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8.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9.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codeName="ThisWorkbook" defaultThemeVersion="166925"/>
  <mc:AlternateContent xmlns:mc="http://schemas.openxmlformats.org/markup-compatibility/2006">
    <mc:Choice Requires="x15">
      <x15ac:absPath xmlns:x15ac="http://schemas.microsoft.com/office/spreadsheetml/2010/11/ac" url="https://mercurycontrol-my.sharepoint.com/personal/ibird_mercurycontrolac_com/Documents/Mercury/Bids/Current/1b_Templates/"/>
    </mc:Choice>
  </mc:AlternateContent>
  <xr:revisionPtr revIDLastSave="977" documentId="8_{E1E0F682-2858-4344-893C-30F9EA2352AD}" xr6:coauthVersionLast="47" xr6:coauthVersionMax="47" xr10:uidLastSave="{7399C135-178C-4D81-AD9A-DE518340517A}"/>
  <bookViews>
    <workbookView xWindow="-120" yWindow="-120" windowWidth="29040" windowHeight="15720" xr2:uid="{2E92672F-AFE8-4A8D-BE77-F33E25E6C323}"/>
  </bookViews>
  <sheets>
    <sheet name="Summary" sheetId="12" r:id="rId1"/>
    <sheet name="OverheadCalculator" sheetId="20" state="hidden" r:id="rId2"/>
    <sheet name="General" sheetId="15" r:id="rId3"/>
    <sheet name="Unit Sched" sheetId="19" r:id="rId4"/>
    <sheet name="CW Pipe Sched" sheetId="17" r:id="rId5"/>
    <sheet name="CW Pipe Size" sheetId="18" r:id="rId6"/>
    <sheet name="VAV Schedule" sheetId="7" r:id="rId7"/>
    <sheet name="Electric Heat Sched" sheetId="8" r:id="rId8"/>
    <sheet name="Metal Duct" sheetId="4" r:id="rId9"/>
    <sheet name="Ahmed Square Duct" sheetId="31" r:id="rId10"/>
    <sheet name="Ahmed Round Duct" sheetId="30" r:id="rId11"/>
    <sheet name="Ahmed Square Data" sheetId="29" r:id="rId12"/>
    <sheet name="Fan Schedule" sheetId="9" r:id="rId13"/>
    <sheet name="Louvers &amp; FD" sheetId="28" r:id="rId14"/>
    <sheet name="Diffuser Schedule" sheetId="10" r:id="rId15"/>
    <sheet name="MF_PurchaseList" sheetId="21" r:id="rId16"/>
    <sheet name="MF Overview" sheetId="22" r:id="rId17"/>
    <sheet name="MF Unit Material" sheetId="23" r:id="rId18"/>
    <sheet name="MF Duct Board &amp; Flex" sheetId="24" r:id="rId19"/>
    <sheet name="MF Pricing" sheetId="27" r:id="rId20"/>
    <sheet name="Notes" sheetId="5" r:id="rId21"/>
  </sheets>
  <externalReferences>
    <externalReference r:id="rId22"/>
    <externalReference r:id="rId23"/>
  </externalReferences>
  <definedNames>
    <definedName name="_xlnm._FilterDatabase" localSheetId="14" hidden="1">'Diffuser Schedule'!$B$3:$N$3</definedName>
    <definedName name="_xlnm._FilterDatabase" localSheetId="7" hidden="1">'Electric Heat Sched'!$B$3:$I$3</definedName>
    <definedName name="_xlnm._FilterDatabase" localSheetId="12" hidden="1">'Fan Schedule'!$J$5:$J$29</definedName>
    <definedName name="_xlnm._FilterDatabase" localSheetId="13" hidden="1">'Louvers &amp; FD'!$J$5:$J$29</definedName>
    <definedName name="_xlnm._FilterDatabase" localSheetId="18" hidden="1">'MF Duct Board &amp; Flex'!$B$3:$Z$227</definedName>
    <definedName name="_xlnm._FilterDatabase" localSheetId="19" hidden="1">'MF Pricing'!$B$4:$AA$226</definedName>
    <definedName name="_xlnm._FilterDatabase" localSheetId="3" hidden="1">'Unit Sched'!$B$56:$Z$56</definedName>
    <definedName name="_xlnm._FilterDatabase" localSheetId="6" hidden="1">'VAV Schedule'!$B$3:$N$3</definedName>
    <definedName name="apartmentcnt">'MF Overview'!$W$30</definedName>
    <definedName name="inp_557ratio">'MF Unit Material'!$AK$31</definedName>
    <definedName name="inp_boxlab">'MF Unit Material'!$AJ$63</definedName>
    <definedName name="inp_caulkratio">'MF Unit Material'!$AK$30</definedName>
    <definedName name="inp_condlen">'MF Unit Material'!$AK$20</definedName>
    <definedName name="inp_cuwaste">'MF Unit Material'!$AK$24</definedName>
    <definedName name="inp_dbtaperatio">'MF Unit Material'!$AK$28</definedName>
    <definedName name="inp_dbwaste">'MF Unit Material'!$AK$25</definedName>
    <definedName name="Inp_ductboardlab">'MF Unit Material'!$AJ$61</definedName>
    <definedName name="inp_ductbrdsize">'MF Unit Material'!$AK$26</definedName>
    <definedName name="inp_firecaulkratio">'MF Unit Material'!$AK$29</definedName>
    <definedName name="inp_fittings">'MF Unit Material'!$AK$21</definedName>
    <definedName name="inp_flexlabor">'MF Unit Material'!$AJ$62</definedName>
    <definedName name="inp_flextaperatio">'MF Unit Material'!$AK$35</definedName>
    <definedName name="inp_floors">'MF Overview'!$O$35</definedName>
    <definedName name="inp_grillslab">'MF Unit Material'!$AJ$64</definedName>
    <definedName name="inp_labdry">'MF Unit Material'!$AJ$55</definedName>
    <definedName name="inp_labexh">'MF Unit Material'!$AJ$54</definedName>
    <definedName name="inp_labpatio">'MF Unit Material'!$AJ$56</definedName>
    <definedName name="inp_labpen">'MF Unit Material'!$AJ$57</definedName>
    <definedName name="inp_labpipe" localSheetId="19">'MF Pricing'!$AG$13</definedName>
    <definedName name="inp_labpipe">'MF Unit Material'!$AJ$58</definedName>
    <definedName name="inp_loglabor">'MF Unit Material'!$AJ$67</definedName>
    <definedName name="inp_metstrap">'MF Unit Material'!$AK$23</definedName>
    <definedName name="inp_pookratio">'MF Unit Material'!$AK$27</definedName>
    <definedName name="inp_statdist">'MF Unit Material'!$AK$22</definedName>
    <definedName name="inp_statwire">'MF Unit Material'!$AK$34</definedName>
    <definedName name="inp_unitlaborrough">'MF Unit Material'!$AJ$50</definedName>
    <definedName name="inp_unitlabstart">'MF Unit Material'!$AJ$51</definedName>
    <definedName name="inp_UVtaperatio">'MF Unit Material'!$AK$32</definedName>
    <definedName name="inp_warrlab">'MF Unit Material'!$AJ$68</definedName>
    <definedName name="Max_Width__Inch">[1]Data!$Q$34:$Q$38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 i="20" l="1"/>
  <c r="S52" i="20" s="1"/>
  <c r="S54" i="20" s="1"/>
  <c r="S9" i="20"/>
  <c r="S46" i="20" s="1"/>
  <c r="S48" i="20" s="1"/>
  <c r="S8" i="20"/>
  <c r="S40" i="20" s="1"/>
  <c r="S42" i="20" s="1"/>
  <c r="S7" i="20"/>
  <c r="S34" i="20" s="1"/>
  <c r="S36" i="20" s="1"/>
  <c r="S6" i="20"/>
  <c r="S27" i="20" s="1"/>
  <c r="S29" i="20" s="1"/>
  <c r="S5" i="20"/>
  <c r="S21" i="20" s="1"/>
  <c r="S23" i="20" s="1"/>
  <c r="S4" i="20"/>
  <c r="S14" i="20" s="1"/>
  <c r="S16" i="20" s="1"/>
  <c r="S57" i="20" s="1"/>
  <c r="S59" i="20" s="1"/>
  <c r="T3" i="20"/>
  <c r="V69" i="30"/>
  <c r="U69" i="30"/>
  <c r="T69" i="30"/>
  <c r="S69" i="30"/>
  <c r="V68" i="30"/>
  <c r="U68" i="30"/>
  <c r="T68" i="30"/>
  <c r="S68" i="30"/>
  <c r="V67" i="30"/>
  <c r="U67" i="30"/>
  <c r="T67" i="30"/>
  <c r="S67" i="30"/>
  <c r="V66" i="30"/>
  <c r="U66" i="30"/>
  <c r="T66" i="30"/>
  <c r="S66" i="30"/>
  <c r="N66" i="30"/>
  <c r="V65" i="30"/>
  <c r="U65" i="30"/>
  <c r="T65" i="30"/>
  <c r="S65" i="30"/>
  <c r="N65" i="30"/>
  <c r="V64" i="30"/>
  <c r="U64" i="30"/>
  <c r="T64" i="30"/>
  <c r="S64" i="30"/>
  <c r="N64" i="30"/>
  <c r="F64" i="30"/>
  <c r="V63" i="30"/>
  <c r="U63" i="30"/>
  <c r="T63" i="30"/>
  <c r="S63" i="30"/>
  <c r="N63" i="30"/>
  <c r="F63" i="30"/>
  <c r="V62" i="30"/>
  <c r="U62" i="30"/>
  <c r="T62" i="30"/>
  <c r="S62" i="30"/>
  <c r="N62" i="30"/>
  <c r="F62" i="30"/>
  <c r="V61" i="30"/>
  <c r="U61" i="30"/>
  <c r="T61" i="30"/>
  <c r="S61" i="30"/>
  <c r="N61" i="30"/>
  <c r="F61" i="30"/>
  <c r="V60" i="30"/>
  <c r="U60" i="30"/>
  <c r="T60" i="30"/>
  <c r="S60" i="30"/>
  <c r="R60" i="30"/>
  <c r="Q60" i="30"/>
  <c r="P60" i="30"/>
  <c r="O60" i="30"/>
  <c r="N60" i="30"/>
  <c r="M60" i="30"/>
  <c r="L60" i="30"/>
  <c r="G60" i="30"/>
  <c r="F60" i="30"/>
  <c r="V59" i="30"/>
  <c r="U59" i="30"/>
  <c r="T59" i="30"/>
  <c r="S59" i="30"/>
  <c r="R59" i="30"/>
  <c r="Q59" i="30"/>
  <c r="P59" i="30"/>
  <c r="O59" i="30"/>
  <c r="N59" i="30"/>
  <c r="M59" i="30"/>
  <c r="L59" i="30"/>
  <c r="G59" i="30"/>
  <c r="F59" i="30"/>
  <c r="V58" i="30"/>
  <c r="U58" i="30"/>
  <c r="T58" i="30"/>
  <c r="S58" i="30"/>
  <c r="R58" i="30"/>
  <c r="Q58" i="30"/>
  <c r="P58" i="30"/>
  <c r="O58" i="30"/>
  <c r="N58" i="30"/>
  <c r="M58" i="30"/>
  <c r="L58" i="30"/>
  <c r="K58" i="30"/>
  <c r="J58" i="30"/>
  <c r="I58" i="30"/>
  <c r="H58" i="30"/>
  <c r="G58" i="30"/>
  <c r="F58" i="30"/>
  <c r="V57" i="30"/>
  <c r="U57" i="30"/>
  <c r="T57" i="30"/>
  <c r="S57" i="30"/>
  <c r="R57" i="30"/>
  <c r="Q57" i="30"/>
  <c r="P57" i="30"/>
  <c r="O57" i="30"/>
  <c r="N57" i="30"/>
  <c r="M57" i="30"/>
  <c r="L57" i="30"/>
  <c r="K57" i="30"/>
  <c r="J57" i="30"/>
  <c r="I57" i="30"/>
  <c r="H57" i="30"/>
  <c r="G57" i="30"/>
  <c r="F57" i="30"/>
  <c r="V56" i="30"/>
  <c r="U56" i="30"/>
  <c r="T56" i="30"/>
  <c r="S56" i="30"/>
  <c r="R56" i="30"/>
  <c r="Q56" i="30"/>
  <c r="P56" i="30"/>
  <c r="O56" i="30"/>
  <c r="N56" i="30"/>
  <c r="M56" i="30"/>
  <c r="L56" i="30"/>
  <c r="K56" i="30"/>
  <c r="J56" i="30"/>
  <c r="I56" i="30"/>
  <c r="H56" i="30"/>
  <c r="G56" i="30"/>
  <c r="F56" i="30"/>
  <c r="V55" i="30"/>
  <c r="U55" i="30"/>
  <c r="T55" i="30"/>
  <c r="S55" i="30"/>
  <c r="R55" i="30"/>
  <c r="Q55" i="30"/>
  <c r="P55" i="30"/>
  <c r="O55" i="30"/>
  <c r="N55" i="30"/>
  <c r="M55" i="30"/>
  <c r="L55" i="30"/>
  <c r="K55" i="30"/>
  <c r="J55" i="30"/>
  <c r="I55" i="30"/>
  <c r="H55" i="30"/>
  <c r="G55" i="30"/>
  <c r="F55" i="30"/>
  <c r="V54" i="30"/>
  <c r="U54" i="30"/>
  <c r="T54" i="30"/>
  <c r="S54" i="30"/>
  <c r="R54" i="30"/>
  <c r="Q54" i="30"/>
  <c r="P54" i="30"/>
  <c r="O54" i="30"/>
  <c r="N54" i="30"/>
  <c r="M54" i="30"/>
  <c r="L54" i="30"/>
  <c r="K54" i="30"/>
  <c r="J54" i="30"/>
  <c r="I54" i="30"/>
  <c r="H54" i="30"/>
  <c r="G54" i="30"/>
  <c r="F54" i="30"/>
  <c r="V53" i="30"/>
  <c r="U53" i="30"/>
  <c r="T53" i="30"/>
  <c r="S53" i="30"/>
  <c r="R53" i="30"/>
  <c r="Q53" i="30"/>
  <c r="P53" i="30"/>
  <c r="O53" i="30"/>
  <c r="N53" i="30"/>
  <c r="M53" i="30"/>
  <c r="L53" i="30"/>
  <c r="K53" i="30"/>
  <c r="J53" i="30"/>
  <c r="I53" i="30"/>
  <c r="H53" i="30"/>
  <c r="G53" i="30"/>
  <c r="F53" i="30"/>
  <c r="V52" i="30"/>
  <c r="U52" i="30"/>
  <c r="T52" i="30"/>
  <c r="S52" i="30"/>
  <c r="R52" i="30"/>
  <c r="Q52" i="30"/>
  <c r="P52" i="30"/>
  <c r="O52" i="30"/>
  <c r="N52" i="30"/>
  <c r="M52" i="30"/>
  <c r="L52" i="30"/>
  <c r="K52" i="30"/>
  <c r="J52" i="30"/>
  <c r="I52" i="30"/>
  <c r="H52" i="30"/>
  <c r="G52" i="30"/>
  <c r="F52" i="30"/>
  <c r="V51" i="30"/>
  <c r="U51" i="30"/>
  <c r="T51" i="30"/>
  <c r="S51" i="30"/>
  <c r="R51" i="30"/>
  <c r="Q51" i="30"/>
  <c r="P51" i="30"/>
  <c r="O51" i="30"/>
  <c r="N51" i="30"/>
  <c r="M51" i="30"/>
  <c r="L51" i="30"/>
  <c r="K51" i="30"/>
  <c r="J51" i="30"/>
  <c r="I51" i="30"/>
  <c r="H51" i="30"/>
  <c r="G51" i="30"/>
  <c r="F51" i="30"/>
  <c r="V50" i="30"/>
  <c r="U50" i="30"/>
  <c r="T50" i="30"/>
  <c r="S50" i="30"/>
  <c r="R50" i="30"/>
  <c r="Q50" i="30"/>
  <c r="P50" i="30"/>
  <c r="O50" i="30"/>
  <c r="N50" i="30"/>
  <c r="M50" i="30"/>
  <c r="L50" i="30"/>
  <c r="K50" i="30"/>
  <c r="J50" i="30"/>
  <c r="I50" i="30"/>
  <c r="H50" i="30"/>
  <c r="G50" i="30"/>
  <c r="F50" i="30"/>
  <c r="V49" i="30"/>
  <c r="U49" i="30"/>
  <c r="T49" i="30"/>
  <c r="S49" i="30"/>
  <c r="R49" i="30"/>
  <c r="Q49" i="30"/>
  <c r="P49" i="30"/>
  <c r="O49" i="30"/>
  <c r="N49" i="30"/>
  <c r="M49" i="30"/>
  <c r="L49" i="30"/>
  <c r="K49" i="30"/>
  <c r="J49" i="30"/>
  <c r="I49" i="30"/>
  <c r="H49" i="30"/>
  <c r="G49" i="30"/>
  <c r="F49" i="30"/>
  <c r="V48" i="30"/>
  <c r="U48" i="30"/>
  <c r="T48" i="30"/>
  <c r="S48" i="30"/>
  <c r="R48" i="30"/>
  <c r="Q48" i="30"/>
  <c r="P48" i="30"/>
  <c r="O48" i="30"/>
  <c r="N48" i="30"/>
  <c r="M48" i="30"/>
  <c r="L48" i="30"/>
  <c r="K48" i="30"/>
  <c r="J48" i="30"/>
  <c r="I48" i="30"/>
  <c r="H48" i="30"/>
  <c r="G48" i="30"/>
  <c r="F48" i="30"/>
  <c r="V47" i="30"/>
  <c r="U47" i="30"/>
  <c r="T47" i="30"/>
  <c r="S47" i="30"/>
  <c r="R47" i="30"/>
  <c r="Q47" i="30"/>
  <c r="P47" i="30"/>
  <c r="O47" i="30"/>
  <c r="N47" i="30"/>
  <c r="M47" i="30"/>
  <c r="L47" i="30"/>
  <c r="K47" i="30"/>
  <c r="J47" i="30"/>
  <c r="I47" i="30"/>
  <c r="H47" i="30"/>
  <c r="G47" i="30"/>
  <c r="F47" i="30"/>
  <c r="V46" i="30"/>
  <c r="U46" i="30"/>
  <c r="T46" i="30"/>
  <c r="S46" i="30"/>
  <c r="R46" i="30"/>
  <c r="Q46" i="30"/>
  <c r="P46" i="30"/>
  <c r="O46" i="30"/>
  <c r="N46" i="30"/>
  <c r="M46" i="30"/>
  <c r="L46" i="30"/>
  <c r="K46" i="30"/>
  <c r="J46" i="30"/>
  <c r="I46" i="30"/>
  <c r="H46" i="30"/>
  <c r="G46" i="30"/>
  <c r="F46" i="30"/>
  <c r="V45" i="30"/>
  <c r="U45" i="30"/>
  <c r="T45" i="30"/>
  <c r="S45" i="30"/>
  <c r="R45" i="30"/>
  <c r="Q45" i="30"/>
  <c r="P45" i="30"/>
  <c r="O45" i="30"/>
  <c r="N45" i="30"/>
  <c r="M45" i="30"/>
  <c r="L45" i="30"/>
  <c r="K45" i="30"/>
  <c r="J45" i="30"/>
  <c r="I45" i="30"/>
  <c r="H45" i="30"/>
  <c r="G45" i="30"/>
  <c r="F45" i="30"/>
  <c r="V44" i="30"/>
  <c r="U44" i="30"/>
  <c r="T44" i="30"/>
  <c r="S44" i="30"/>
  <c r="R44" i="30"/>
  <c r="Q44" i="30"/>
  <c r="P44" i="30"/>
  <c r="O44" i="30"/>
  <c r="N44" i="30"/>
  <c r="M44" i="30"/>
  <c r="L44" i="30"/>
  <c r="K44" i="30"/>
  <c r="J44" i="30"/>
  <c r="I44" i="30"/>
  <c r="H44" i="30"/>
  <c r="G44" i="30"/>
  <c r="F44" i="30"/>
  <c r="V43" i="30"/>
  <c r="U43" i="30"/>
  <c r="T43" i="30"/>
  <c r="S43" i="30"/>
  <c r="R43" i="30"/>
  <c r="Q43" i="30"/>
  <c r="P43" i="30"/>
  <c r="O43" i="30"/>
  <c r="N43" i="30"/>
  <c r="M43" i="30"/>
  <c r="L43" i="30"/>
  <c r="K43" i="30"/>
  <c r="J43" i="30"/>
  <c r="I43" i="30"/>
  <c r="H43" i="30"/>
  <c r="G43" i="30"/>
  <c r="F43" i="30"/>
  <c r="V42" i="30"/>
  <c r="U42" i="30"/>
  <c r="T42" i="30"/>
  <c r="S42" i="30"/>
  <c r="R42" i="30"/>
  <c r="Q42" i="30"/>
  <c r="P42" i="30"/>
  <c r="O42" i="30"/>
  <c r="N42" i="30"/>
  <c r="M42" i="30"/>
  <c r="L42" i="30"/>
  <c r="K42" i="30"/>
  <c r="J42" i="30"/>
  <c r="I42" i="30"/>
  <c r="H42" i="30"/>
  <c r="G42" i="30"/>
  <c r="F42" i="30"/>
  <c r="V41" i="30"/>
  <c r="U41" i="30"/>
  <c r="T41" i="30"/>
  <c r="S41" i="30"/>
  <c r="R41" i="30"/>
  <c r="Q41" i="30"/>
  <c r="P41" i="30"/>
  <c r="O41" i="30"/>
  <c r="N41" i="30"/>
  <c r="M41" i="30"/>
  <c r="L41" i="30"/>
  <c r="K41" i="30"/>
  <c r="J41" i="30"/>
  <c r="I41" i="30"/>
  <c r="H41" i="30"/>
  <c r="G41" i="30"/>
  <c r="F41" i="30"/>
  <c r="V40" i="30"/>
  <c r="U40" i="30"/>
  <c r="T40" i="30"/>
  <c r="S40" i="30"/>
  <c r="R40" i="30"/>
  <c r="Q40" i="30"/>
  <c r="P40" i="30"/>
  <c r="O40" i="30"/>
  <c r="N40" i="30"/>
  <c r="M40" i="30"/>
  <c r="L40" i="30"/>
  <c r="K40" i="30"/>
  <c r="J40" i="30"/>
  <c r="I40" i="30"/>
  <c r="H40" i="30"/>
  <c r="G40" i="30"/>
  <c r="F40" i="30"/>
  <c r="V39" i="30"/>
  <c r="U39" i="30"/>
  <c r="T39" i="30"/>
  <c r="S39" i="30"/>
  <c r="R39" i="30"/>
  <c r="Q39" i="30"/>
  <c r="P39" i="30"/>
  <c r="O39" i="30"/>
  <c r="N39" i="30"/>
  <c r="M39" i="30"/>
  <c r="L39" i="30"/>
  <c r="K39" i="30"/>
  <c r="J39" i="30"/>
  <c r="I39" i="30"/>
  <c r="H39" i="30"/>
  <c r="G39" i="30"/>
  <c r="F39" i="30"/>
  <c r="V38" i="30"/>
  <c r="U38" i="30"/>
  <c r="T38" i="30"/>
  <c r="S38" i="30"/>
  <c r="R38" i="30"/>
  <c r="Q38" i="30"/>
  <c r="P38" i="30"/>
  <c r="O38" i="30"/>
  <c r="N38" i="30"/>
  <c r="M38" i="30"/>
  <c r="L38" i="30"/>
  <c r="K38" i="30"/>
  <c r="J38" i="30"/>
  <c r="G38" i="30"/>
  <c r="F38" i="30"/>
  <c r="V37" i="30"/>
  <c r="U37" i="30"/>
  <c r="T37" i="30"/>
  <c r="S37" i="30"/>
  <c r="R37" i="30"/>
  <c r="Q37" i="30"/>
  <c r="P37" i="30"/>
  <c r="O37" i="30"/>
  <c r="N37" i="30"/>
  <c r="M37" i="30"/>
  <c r="L37" i="30"/>
  <c r="K37" i="30"/>
  <c r="J37" i="30"/>
  <c r="G37" i="30"/>
  <c r="F37" i="30"/>
  <c r="V36" i="30"/>
  <c r="U36" i="30"/>
  <c r="T36" i="30"/>
  <c r="S36" i="30"/>
  <c r="R36" i="30"/>
  <c r="Q36" i="30"/>
  <c r="P36" i="30"/>
  <c r="O36" i="30"/>
  <c r="N36" i="30"/>
  <c r="M36" i="30"/>
  <c r="L36" i="30"/>
  <c r="K36" i="30"/>
  <c r="J36" i="30"/>
  <c r="I36" i="30"/>
  <c r="H36" i="30"/>
  <c r="G36" i="30"/>
  <c r="F36" i="30"/>
  <c r="V35" i="30"/>
  <c r="U35" i="30"/>
  <c r="T35" i="30"/>
  <c r="S35" i="30"/>
  <c r="R35" i="30"/>
  <c r="Q35" i="30"/>
  <c r="P35" i="30"/>
  <c r="O35" i="30"/>
  <c r="N35" i="30"/>
  <c r="M35" i="30"/>
  <c r="L35" i="30"/>
  <c r="K35" i="30"/>
  <c r="J35" i="30"/>
  <c r="I35" i="30"/>
  <c r="H35" i="30"/>
  <c r="G35" i="30"/>
  <c r="F35" i="30"/>
  <c r="V34" i="30"/>
  <c r="U34" i="30"/>
  <c r="T34" i="30"/>
  <c r="S34" i="30"/>
  <c r="R34" i="30"/>
  <c r="Q34" i="30"/>
  <c r="P34" i="30"/>
  <c r="O34" i="30"/>
  <c r="N34" i="30"/>
  <c r="M34" i="30"/>
  <c r="L34" i="30"/>
  <c r="K34" i="30"/>
  <c r="J34" i="30"/>
  <c r="I34" i="30"/>
  <c r="H34" i="30"/>
  <c r="G34" i="30"/>
  <c r="F34" i="30"/>
  <c r="V33" i="30"/>
  <c r="U33" i="30"/>
  <c r="T33" i="30"/>
  <c r="S33" i="30"/>
  <c r="R33" i="30"/>
  <c r="Q33" i="30"/>
  <c r="P33" i="30"/>
  <c r="O33" i="30"/>
  <c r="N33" i="30"/>
  <c r="M33" i="30"/>
  <c r="L33" i="30"/>
  <c r="K33" i="30"/>
  <c r="J33" i="30"/>
  <c r="I33" i="30"/>
  <c r="H33" i="30"/>
  <c r="G33" i="30"/>
  <c r="F33" i="30"/>
  <c r="V32" i="30"/>
  <c r="U32" i="30"/>
  <c r="T32" i="30"/>
  <c r="S32" i="30"/>
  <c r="R32" i="30"/>
  <c r="Q32" i="30"/>
  <c r="P32" i="30"/>
  <c r="O32" i="30"/>
  <c r="N32" i="30"/>
  <c r="M32" i="30"/>
  <c r="L32" i="30"/>
  <c r="K32" i="30"/>
  <c r="J32" i="30"/>
  <c r="I32" i="30"/>
  <c r="H32" i="30"/>
  <c r="G32" i="30"/>
  <c r="F32" i="30"/>
  <c r="V31" i="30"/>
  <c r="U31" i="30"/>
  <c r="T31" i="30"/>
  <c r="S31" i="30"/>
  <c r="R31" i="30"/>
  <c r="Q31" i="30"/>
  <c r="P31" i="30"/>
  <c r="O31" i="30"/>
  <c r="N31" i="30"/>
  <c r="M31" i="30"/>
  <c r="L31" i="30"/>
  <c r="K31" i="30"/>
  <c r="J31" i="30"/>
  <c r="I31" i="30"/>
  <c r="H31" i="30"/>
  <c r="G31" i="30"/>
  <c r="F31" i="30"/>
  <c r="V30" i="30"/>
  <c r="U30" i="30"/>
  <c r="T30" i="30"/>
  <c r="S30" i="30"/>
  <c r="R30" i="30"/>
  <c r="Q30" i="30"/>
  <c r="P30" i="30"/>
  <c r="O30" i="30"/>
  <c r="N30" i="30"/>
  <c r="M30" i="30"/>
  <c r="L30" i="30"/>
  <c r="K30" i="30"/>
  <c r="J30" i="30"/>
  <c r="I30" i="30"/>
  <c r="H30" i="30"/>
  <c r="G30" i="30"/>
  <c r="F30" i="30"/>
  <c r="V29" i="30"/>
  <c r="U29" i="30"/>
  <c r="T29" i="30"/>
  <c r="S29" i="30"/>
  <c r="R29" i="30"/>
  <c r="Q29" i="30"/>
  <c r="P29" i="30"/>
  <c r="O29" i="30"/>
  <c r="N29" i="30"/>
  <c r="M29" i="30"/>
  <c r="L29" i="30"/>
  <c r="K29" i="30"/>
  <c r="J29" i="30"/>
  <c r="I29" i="30"/>
  <c r="H29" i="30"/>
  <c r="G29" i="30"/>
  <c r="F29" i="30"/>
  <c r="V28" i="30"/>
  <c r="U28" i="30"/>
  <c r="T28" i="30"/>
  <c r="S28" i="30"/>
  <c r="R28" i="30"/>
  <c r="Q28" i="30"/>
  <c r="P28" i="30"/>
  <c r="O28" i="30"/>
  <c r="N28" i="30"/>
  <c r="M28" i="30"/>
  <c r="L28" i="30"/>
  <c r="K28" i="30"/>
  <c r="J28" i="30"/>
  <c r="I28" i="30"/>
  <c r="H28" i="30"/>
  <c r="G28" i="30"/>
  <c r="F28" i="30"/>
  <c r="V27" i="30"/>
  <c r="U27" i="30"/>
  <c r="T27" i="30"/>
  <c r="S27" i="30"/>
  <c r="R27" i="30"/>
  <c r="Q27" i="30"/>
  <c r="P27" i="30"/>
  <c r="O27" i="30"/>
  <c r="N27" i="30"/>
  <c r="M27" i="30"/>
  <c r="L27" i="30"/>
  <c r="K27" i="30"/>
  <c r="J27" i="30"/>
  <c r="I27" i="30"/>
  <c r="H27" i="30"/>
  <c r="G27" i="30"/>
  <c r="F27" i="30"/>
  <c r="V26" i="30"/>
  <c r="U26" i="30"/>
  <c r="T26" i="30"/>
  <c r="S26" i="30"/>
  <c r="R26" i="30"/>
  <c r="Q26" i="30"/>
  <c r="P26" i="30"/>
  <c r="O26" i="30"/>
  <c r="N26" i="30"/>
  <c r="M26" i="30"/>
  <c r="L26" i="30"/>
  <c r="K26" i="30"/>
  <c r="J26" i="30"/>
  <c r="I26" i="30"/>
  <c r="H26" i="30"/>
  <c r="G26" i="30"/>
  <c r="F26" i="30"/>
  <c r="V25" i="30"/>
  <c r="U25" i="30"/>
  <c r="T25" i="30"/>
  <c r="S25" i="30"/>
  <c r="R25" i="30"/>
  <c r="Q25" i="30"/>
  <c r="P25" i="30"/>
  <c r="O25" i="30"/>
  <c r="N25" i="30"/>
  <c r="M25" i="30"/>
  <c r="L25" i="30"/>
  <c r="K25" i="30"/>
  <c r="J25" i="30"/>
  <c r="I25" i="30"/>
  <c r="H25" i="30"/>
  <c r="G25" i="30"/>
  <c r="F25" i="30"/>
  <c r="V24" i="30"/>
  <c r="U24" i="30"/>
  <c r="T24" i="30"/>
  <c r="S24" i="30"/>
  <c r="R24" i="30"/>
  <c r="Q24" i="30"/>
  <c r="P24" i="30"/>
  <c r="O24" i="30"/>
  <c r="N24" i="30"/>
  <c r="M24" i="30"/>
  <c r="L24" i="30"/>
  <c r="K24" i="30"/>
  <c r="J24" i="30"/>
  <c r="I24" i="30"/>
  <c r="H24" i="30"/>
  <c r="G24" i="30"/>
  <c r="F24" i="30"/>
  <c r="Y23" i="30"/>
  <c r="Y29" i="30" s="1"/>
  <c r="V23" i="30"/>
  <c r="U23" i="30"/>
  <c r="T23" i="30"/>
  <c r="S23" i="30"/>
  <c r="R23" i="30"/>
  <c r="Q23" i="30"/>
  <c r="P23" i="30"/>
  <c r="O23" i="30"/>
  <c r="N23" i="30"/>
  <c r="M23" i="30"/>
  <c r="L23" i="30"/>
  <c r="K23" i="30"/>
  <c r="J23" i="30"/>
  <c r="I23" i="30"/>
  <c r="H23" i="30"/>
  <c r="G23" i="30"/>
  <c r="F23" i="30"/>
  <c r="V22" i="30"/>
  <c r="U22" i="30"/>
  <c r="T22" i="30"/>
  <c r="S22" i="30"/>
  <c r="R22" i="30"/>
  <c r="N22" i="30"/>
  <c r="O22" i="30" s="1"/>
  <c r="P22" i="30" s="1"/>
  <c r="Q22" i="30" s="1"/>
  <c r="L22" i="30"/>
  <c r="M22" i="30" s="1"/>
  <c r="G22" i="30"/>
  <c r="F22" i="30"/>
  <c r="V21" i="30"/>
  <c r="U21" i="30"/>
  <c r="T21" i="30"/>
  <c r="S21" i="30"/>
  <c r="R21" i="30"/>
  <c r="N21" i="30"/>
  <c r="O21" i="30" s="1"/>
  <c r="P21" i="30" s="1"/>
  <c r="Q21" i="30" s="1"/>
  <c r="L21" i="30"/>
  <c r="M21" i="30" s="1"/>
  <c r="G21" i="30"/>
  <c r="F21" i="30"/>
  <c r="V20" i="30"/>
  <c r="U20" i="30"/>
  <c r="T20" i="30"/>
  <c r="S20" i="30"/>
  <c r="R20" i="30"/>
  <c r="N20" i="30"/>
  <c r="O20" i="30" s="1"/>
  <c r="P20" i="30" s="1"/>
  <c r="Q20" i="30" s="1"/>
  <c r="L20" i="30"/>
  <c r="M20" i="30" s="1"/>
  <c r="G20" i="30"/>
  <c r="F20" i="30"/>
  <c r="V19" i="30"/>
  <c r="U19" i="30"/>
  <c r="T19" i="30"/>
  <c r="S19" i="30"/>
  <c r="R19" i="30"/>
  <c r="N19" i="30"/>
  <c r="O19" i="30" s="1"/>
  <c r="P19" i="30" s="1"/>
  <c r="Q19" i="30" s="1"/>
  <c r="L19" i="30"/>
  <c r="M19" i="30" s="1"/>
  <c r="G19" i="30"/>
  <c r="F19" i="30"/>
  <c r="Y18" i="30"/>
  <c r="Y19" i="30" s="1"/>
  <c r="V18" i="30"/>
  <c r="U18" i="30"/>
  <c r="T18" i="30"/>
  <c r="S18" i="30"/>
  <c r="R18" i="30"/>
  <c r="N18" i="30"/>
  <c r="O18" i="30" s="1"/>
  <c r="P18" i="30" s="1"/>
  <c r="Q18" i="30" s="1"/>
  <c r="L18" i="30"/>
  <c r="M18" i="30" s="1"/>
  <c r="G18" i="30"/>
  <c r="F18" i="30"/>
  <c r="V17" i="30"/>
  <c r="U17" i="30"/>
  <c r="T17" i="30"/>
  <c r="S17" i="30"/>
  <c r="R17" i="30"/>
  <c r="N17" i="30"/>
  <c r="O17" i="30" s="1"/>
  <c r="P17" i="30" s="1"/>
  <c r="Q17" i="30" s="1"/>
  <c r="L17" i="30"/>
  <c r="M17" i="30" s="1"/>
  <c r="G17" i="30"/>
  <c r="F17" i="30"/>
  <c r="V16" i="30"/>
  <c r="U16" i="30"/>
  <c r="T16" i="30"/>
  <c r="S16" i="30"/>
  <c r="R16" i="30"/>
  <c r="N16" i="30"/>
  <c r="O16" i="30" s="1"/>
  <c r="P16" i="30" s="1"/>
  <c r="Q16" i="30" s="1"/>
  <c r="L16" i="30"/>
  <c r="M16" i="30" s="1"/>
  <c r="G16" i="30"/>
  <c r="F16" i="30"/>
  <c r="V15" i="30"/>
  <c r="U15" i="30"/>
  <c r="T15" i="30"/>
  <c r="S15" i="30"/>
  <c r="R15" i="30"/>
  <c r="N15" i="30"/>
  <c r="O15" i="30" s="1"/>
  <c r="P15" i="30" s="1"/>
  <c r="Q15" i="30" s="1"/>
  <c r="L15" i="30"/>
  <c r="M15" i="30" s="1"/>
  <c r="G15" i="30"/>
  <c r="F15" i="30"/>
  <c r="V14" i="30"/>
  <c r="U14" i="30"/>
  <c r="T14" i="30"/>
  <c r="S14" i="30"/>
  <c r="R14" i="30"/>
  <c r="N14" i="30"/>
  <c r="O14" i="30" s="1"/>
  <c r="P14" i="30" s="1"/>
  <c r="Q14" i="30" s="1"/>
  <c r="L14" i="30"/>
  <c r="M14" i="30" s="1"/>
  <c r="G14" i="30"/>
  <c r="F14" i="30"/>
  <c r="V13" i="30"/>
  <c r="U13" i="30"/>
  <c r="T13" i="30"/>
  <c r="S13" i="30"/>
  <c r="R13" i="30"/>
  <c r="N13" i="30"/>
  <c r="O13" i="30" s="1"/>
  <c r="P13" i="30" s="1"/>
  <c r="Q13" i="30" s="1"/>
  <c r="L13" i="30"/>
  <c r="M13" i="30" s="1"/>
  <c r="G13" i="30"/>
  <c r="F13" i="30"/>
  <c r="V12" i="30"/>
  <c r="U12" i="30"/>
  <c r="T12" i="30"/>
  <c r="S12" i="30"/>
  <c r="R12" i="30"/>
  <c r="N12" i="30"/>
  <c r="O12" i="30" s="1"/>
  <c r="P12" i="30" s="1"/>
  <c r="Q12" i="30" s="1"/>
  <c r="L12" i="30"/>
  <c r="M12" i="30" s="1"/>
  <c r="G12" i="30"/>
  <c r="F12" i="30"/>
  <c r="V11" i="30"/>
  <c r="U11" i="30"/>
  <c r="T11" i="30"/>
  <c r="S11" i="30"/>
  <c r="R11" i="30"/>
  <c r="N11" i="30"/>
  <c r="O11" i="30" s="1"/>
  <c r="P11" i="30" s="1"/>
  <c r="Q11" i="30" s="1"/>
  <c r="L11" i="30"/>
  <c r="M11" i="30" s="1"/>
  <c r="G11" i="30"/>
  <c r="F11" i="30"/>
  <c r="V10" i="30"/>
  <c r="U10" i="30"/>
  <c r="T10" i="30"/>
  <c r="S10" i="30"/>
  <c r="R10" i="30"/>
  <c r="N10" i="30"/>
  <c r="O10" i="30" s="1"/>
  <c r="P10" i="30" s="1"/>
  <c r="Q10" i="30" s="1"/>
  <c r="L10" i="30"/>
  <c r="M10" i="30" s="1"/>
  <c r="G10" i="30"/>
  <c r="F10" i="30"/>
  <c r="V9" i="30"/>
  <c r="U9" i="30"/>
  <c r="T9" i="30"/>
  <c r="S9" i="30"/>
  <c r="R9" i="30"/>
  <c r="N9" i="30"/>
  <c r="L9" i="30"/>
  <c r="G9" i="30"/>
  <c r="F9" i="30"/>
  <c r="D8" i="30"/>
  <c r="C8" i="30"/>
  <c r="V69" i="31"/>
  <c r="U69" i="31"/>
  <c r="T69" i="31"/>
  <c r="S69" i="31"/>
  <c r="V68" i="31"/>
  <c r="U68" i="31"/>
  <c r="T68" i="31"/>
  <c r="S68" i="31"/>
  <c r="V67" i="31"/>
  <c r="U67" i="31"/>
  <c r="T67" i="31"/>
  <c r="S67" i="31"/>
  <c r="V66" i="31"/>
  <c r="U66" i="31"/>
  <c r="T66" i="31"/>
  <c r="S66" i="31"/>
  <c r="N66" i="31"/>
  <c r="V65" i="31"/>
  <c r="U65" i="31"/>
  <c r="T65" i="31"/>
  <c r="S65" i="31"/>
  <c r="N65" i="31"/>
  <c r="V64" i="31"/>
  <c r="U64" i="31"/>
  <c r="T64" i="31"/>
  <c r="S64" i="31"/>
  <c r="N64" i="31"/>
  <c r="V63" i="31"/>
  <c r="U63" i="31"/>
  <c r="T63" i="31"/>
  <c r="S63" i="31"/>
  <c r="R63" i="31"/>
  <c r="Q63" i="31"/>
  <c r="P63" i="31"/>
  <c r="N63" i="31"/>
  <c r="O63" i="31" s="1"/>
  <c r="M63" i="31"/>
  <c r="L63" i="31"/>
  <c r="K63" i="31"/>
  <c r="J63" i="31"/>
  <c r="I63" i="31"/>
  <c r="H63" i="31"/>
  <c r="G63" i="31"/>
  <c r="F63" i="31"/>
  <c r="V62" i="31"/>
  <c r="U62" i="31"/>
  <c r="T62" i="31"/>
  <c r="S62" i="31"/>
  <c r="R62" i="31"/>
  <c r="N62" i="31"/>
  <c r="O62" i="31" s="1"/>
  <c r="P62" i="31" s="1"/>
  <c r="Q62" i="31" s="1"/>
  <c r="L62" i="31"/>
  <c r="M62" i="31" s="1"/>
  <c r="G62" i="31"/>
  <c r="F62" i="31"/>
  <c r="V61" i="31"/>
  <c r="U61" i="31"/>
  <c r="T61" i="31"/>
  <c r="S61" i="31"/>
  <c r="R61" i="31"/>
  <c r="N61" i="31"/>
  <c r="O61" i="31" s="1"/>
  <c r="P61" i="31" s="1"/>
  <c r="Q61" i="31" s="1"/>
  <c r="L61" i="31"/>
  <c r="M61" i="31" s="1"/>
  <c r="G61" i="31"/>
  <c r="F61" i="31"/>
  <c r="V60" i="31"/>
  <c r="U60" i="31"/>
  <c r="T60" i="31"/>
  <c r="S60" i="31"/>
  <c r="R60" i="31"/>
  <c r="N60" i="31"/>
  <c r="O60" i="31" s="1"/>
  <c r="P60" i="31" s="1"/>
  <c r="Q60" i="31" s="1"/>
  <c r="L60" i="31"/>
  <c r="M60" i="31" s="1"/>
  <c r="G60" i="31"/>
  <c r="F60" i="31"/>
  <c r="V59" i="31"/>
  <c r="U59" i="31"/>
  <c r="T59" i="31"/>
  <c r="S59" i="31"/>
  <c r="R59" i="31"/>
  <c r="N59" i="31"/>
  <c r="O59" i="31" s="1"/>
  <c r="P59" i="31" s="1"/>
  <c r="Q59" i="31" s="1"/>
  <c r="L59" i="31"/>
  <c r="M59" i="31" s="1"/>
  <c r="G59" i="31"/>
  <c r="F59" i="31"/>
  <c r="V58" i="31"/>
  <c r="U58" i="31"/>
  <c r="T58" i="31"/>
  <c r="S58" i="31"/>
  <c r="R58" i="31"/>
  <c r="N58" i="31"/>
  <c r="O58" i="31" s="1"/>
  <c r="P58" i="31" s="1"/>
  <c r="Q58" i="31" s="1"/>
  <c r="L58" i="31"/>
  <c r="M58" i="31" s="1"/>
  <c r="G58" i="31"/>
  <c r="F58" i="31"/>
  <c r="V57" i="31"/>
  <c r="U57" i="31"/>
  <c r="T57" i="31"/>
  <c r="S57" i="31"/>
  <c r="R57" i="31"/>
  <c r="N57" i="31"/>
  <c r="O57" i="31" s="1"/>
  <c r="P57" i="31" s="1"/>
  <c r="Q57" i="31" s="1"/>
  <c r="L57" i="31"/>
  <c r="M57" i="31" s="1"/>
  <c r="G57" i="31"/>
  <c r="F57" i="31"/>
  <c r="V56" i="31"/>
  <c r="U56" i="31"/>
  <c r="T56" i="31"/>
  <c r="S56" i="31"/>
  <c r="R56" i="31"/>
  <c r="N56" i="31"/>
  <c r="O56" i="31" s="1"/>
  <c r="P56" i="31" s="1"/>
  <c r="Q56" i="31" s="1"/>
  <c r="L56" i="31"/>
  <c r="M56" i="31" s="1"/>
  <c r="G56" i="31"/>
  <c r="F56" i="31"/>
  <c r="V55" i="31"/>
  <c r="U55" i="31"/>
  <c r="T55" i="31"/>
  <c r="S55" i="31"/>
  <c r="R55" i="31"/>
  <c r="N55" i="31"/>
  <c r="O55" i="31" s="1"/>
  <c r="P55" i="31" s="1"/>
  <c r="Q55" i="31" s="1"/>
  <c r="L55" i="31"/>
  <c r="M55" i="31" s="1"/>
  <c r="G55" i="31"/>
  <c r="F55" i="31"/>
  <c r="V54" i="31"/>
  <c r="U54" i="31"/>
  <c r="T54" i="31"/>
  <c r="S54" i="31"/>
  <c r="R54" i="31"/>
  <c r="N54" i="31"/>
  <c r="O54" i="31" s="1"/>
  <c r="P54" i="31" s="1"/>
  <c r="Q54" i="31" s="1"/>
  <c r="L54" i="31"/>
  <c r="M54" i="31" s="1"/>
  <c r="G54" i="31"/>
  <c r="F54" i="31"/>
  <c r="V53" i="31"/>
  <c r="U53" i="31"/>
  <c r="T53" i="31"/>
  <c r="S53" i="31"/>
  <c r="R53" i="31"/>
  <c r="N53" i="31"/>
  <c r="O53" i="31" s="1"/>
  <c r="P53" i="31" s="1"/>
  <c r="Q53" i="31" s="1"/>
  <c r="L53" i="31"/>
  <c r="M53" i="31" s="1"/>
  <c r="G53" i="31"/>
  <c r="F53" i="31"/>
  <c r="V52" i="31"/>
  <c r="U52" i="31"/>
  <c r="T52" i="31"/>
  <c r="S52" i="31"/>
  <c r="R52" i="31"/>
  <c r="N52" i="31"/>
  <c r="O52" i="31" s="1"/>
  <c r="P52" i="31" s="1"/>
  <c r="Q52" i="31" s="1"/>
  <c r="L52" i="31"/>
  <c r="M52" i="31" s="1"/>
  <c r="G52" i="31"/>
  <c r="F52" i="31"/>
  <c r="V51" i="31"/>
  <c r="U51" i="31"/>
  <c r="T51" i="31"/>
  <c r="S51" i="31"/>
  <c r="R51" i="31"/>
  <c r="N51" i="31"/>
  <c r="O51" i="31" s="1"/>
  <c r="P51" i="31" s="1"/>
  <c r="Q51" i="31" s="1"/>
  <c r="L51" i="31"/>
  <c r="M51" i="31" s="1"/>
  <c r="G51" i="31"/>
  <c r="F51" i="31"/>
  <c r="V50" i="31"/>
  <c r="U50" i="31"/>
  <c r="T50" i="31"/>
  <c r="S50" i="31"/>
  <c r="R50" i="31"/>
  <c r="N50" i="31"/>
  <c r="O50" i="31" s="1"/>
  <c r="P50" i="31" s="1"/>
  <c r="Q50" i="31" s="1"/>
  <c r="L50" i="31"/>
  <c r="M50" i="31" s="1"/>
  <c r="G50" i="31"/>
  <c r="F50" i="31"/>
  <c r="V49" i="31"/>
  <c r="U49" i="31"/>
  <c r="T49" i="31"/>
  <c r="S49" i="31"/>
  <c r="R49" i="31"/>
  <c r="N49" i="31"/>
  <c r="O49" i="31" s="1"/>
  <c r="P49" i="31" s="1"/>
  <c r="Q49" i="31" s="1"/>
  <c r="L49" i="31"/>
  <c r="M49" i="31" s="1"/>
  <c r="G49" i="31"/>
  <c r="F49" i="31"/>
  <c r="V48" i="31"/>
  <c r="U48" i="31"/>
  <c r="T48" i="31"/>
  <c r="S48" i="31"/>
  <c r="R48" i="31"/>
  <c r="N48" i="31"/>
  <c r="O48" i="31" s="1"/>
  <c r="P48" i="31" s="1"/>
  <c r="Q48" i="31" s="1"/>
  <c r="L48" i="31"/>
  <c r="M48" i="31" s="1"/>
  <c r="G48" i="31"/>
  <c r="F48" i="31"/>
  <c r="V47" i="31"/>
  <c r="U47" i="31"/>
  <c r="T47" i="31"/>
  <c r="S47" i="31"/>
  <c r="R47" i="31"/>
  <c r="N47" i="31"/>
  <c r="O47" i="31" s="1"/>
  <c r="P47" i="31" s="1"/>
  <c r="Q47" i="31" s="1"/>
  <c r="L47" i="31"/>
  <c r="M47" i="31" s="1"/>
  <c r="G47" i="31"/>
  <c r="F47" i="31"/>
  <c r="V46" i="31"/>
  <c r="U46" i="31"/>
  <c r="T46" i="31"/>
  <c r="S46" i="31"/>
  <c r="R46" i="31"/>
  <c r="N46" i="31"/>
  <c r="O46" i="31" s="1"/>
  <c r="P46" i="31" s="1"/>
  <c r="Q46" i="31" s="1"/>
  <c r="L46" i="31"/>
  <c r="M46" i="31" s="1"/>
  <c r="G46" i="31"/>
  <c r="F46" i="31"/>
  <c r="V45" i="31"/>
  <c r="U45" i="31"/>
  <c r="T45" i="31"/>
  <c r="S45" i="31"/>
  <c r="R45" i="31"/>
  <c r="N45" i="31"/>
  <c r="O45" i="31" s="1"/>
  <c r="P45" i="31" s="1"/>
  <c r="Q45" i="31" s="1"/>
  <c r="L45" i="31"/>
  <c r="M45" i="31" s="1"/>
  <c r="G45" i="31"/>
  <c r="F45" i="31"/>
  <c r="V44" i="31"/>
  <c r="U44" i="31"/>
  <c r="T44" i="31"/>
  <c r="S44" i="31"/>
  <c r="R44" i="31"/>
  <c r="N44" i="31"/>
  <c r="O44" i="31" s="1"/>
  <c r="P44" i="31" s="1"/>
  <c r="Q44" i="31" s="1"/>
  <c r="L44" i="31"/>
  <c r="M44" i="31" s="1"/>
  <c r="G44" i="31"/>
  <c r="F44" i="31"/>
  <c r="V43" i="31"/>
  <c r="U43" i="31"/>
  <c r="T43" i="31"/>
  <c r="S43" i="31"/>
  <c r="R43" i="31"/>
  <c r="N43" i="31"/>
  <c r="O43" i="31" s="1"/>
  <c r="P43" i="31" s="1"/>
  <c r="Q43" i="31" s="1"/>
  <c r="L43" i="31"/>
  <c r="M43" i="31" s="1"/>
  <c r="G43" i="31"/>
  <c r="F43" i="31"/>
  <c r="V42" i="31"/>
  <c r="U42" i="31"/>
  <c r="T42" i="31"/>
  <c r="S42" i="31"/>
  <c r="R42" i="31"/>
  <c r="N42" i="31"/>
  <c r="O42" i="31" s="1"/>
  <c r="P42" i="31" s="1"/>
  <c r="Q42" i="31" s="1"/>
  <c r="L42" i="31"/>
  <c r="M42" i="31" s="1"/>
  <c r="G42" i="31"/>
  <c r="F42" i="31"/>
  <c r="V41" i="31"/>
  <c r="U41" i="31"/>
  <c r="T41" i="31"/>
  <c r="S41" i="31"/>
  <c r="R41" i="31"/>
  <c r="N41" i="31"/>
  <c r="O41" i="31" s="1"/>
  <c r="P41" i="31" s="1"/>
  <c r="Q41" i="31" s="1"/>
  <c r="L41" i="31"/>
  <c r="M41" i="31" s="1"/>
  <c r="G41" i="31"/>
  <c r="F41" i="31"/>
  <c r="V40" i="31"/>
  <c r="U40" i="31"/>
  <c r="T40" i="31"/>
  <c r="S40" i="31"/>
  <c r="R40" i="31"/>
  <c r="N40" i="31"/>
  <c r="O40" i="31" s="1"/>
  <c r="P40" i="31" s="1"/>
  <c r="Q40" i="31" s="1"/>
  <c r="L40" i="31"/>
  <c r="M40" i="31" s="1"/>
  <c r="G40" i="31"/>
  <c r="F40" i="31"/>
  <c r="V39" i="31"/>
  <c r="U39" i="31"/>
  <c r="T39" i="31"/>
  <c r="S39" i="31"/>
  <c r="R39" i="31"/>
  <c r="N39" i="31"/>
  <c r="O39" i="31" s="1"/>
  <c r="P39" i="31" s="1"/>
  <c r="Q39" i="31" s="1"/>
  <c r="L39" i="31"/>
  <c r="M39" i="31" s="1"/>
  <c r="G39" i="31"/>
  <c r="F39" i="31"/>
  <c r="V38" i="31"/>
  <c r="U38" i="31"/>
  <c r="T38" i="31"/>
  <c r="S38" i="31"/>
  <c r="R38" i="31"/>
  <c r="N38" i="31"/>
  <c r="O38" i="31" s="1"/>
  <c r="P38" i="31" s="1"/>
  <c r="Q38" i="31" s="1"/>
  <c r="L38" i="31"/>
  <c r="M38" i="31" s="1"/>
  <c r="G38" i="31"/>
  <c r="F38" i="31"/>
  <c r="J38" i="31" s="1"/>
  <c r="K38" i="31" s="1"/>
  <c r="V37" i="31"/>
  <c r="U37" i="31"/>
  <c r="T37" i="31"/>
  <c r="S37" i="31"/>
  <c r="R37" i="31"/>
  <c r="N37" i="31"/>
  <c r="O37" i="31" s="1"/>
  <c r="P37" i="31" s="1"/>
  <c r="Q37" i="31" s="1"/>
  <c r="L37" i="31"/>
  <c r="M37" i="31" s="1"/>
  <c r="G37" i="31"/>
  <c r="F37" i="31"/>
  <c r="J37" i="31" s="1"/>
  <c r="K37" i="31" s="1"/>
  <c r="V36" i="31"/>
  <c r="U36" i="31"/>
  <c r="T36" i="31"/>
  <c r="S36" i="31"/>
  <c r="R36" i="31"/>
  <c r="N36" i="31"/>
  <c r="O36" i="31" s="1"/>
  <c r="P36" i="31" s="1"/>
  <c r="Q36" i="31" s="1"/>
  <c r="L36" i="31"/>
  <c r="M36" i="31" s="1"/>
  <c r="G36" i="31"/>
  <c r="F36" i="31"/>
  <c r="V35" i="31"/>
  <c r="U35" i="31"/>
  <c r="T35" i="31"/>
  <c r="S35" i="31"/>
  <c r="R35" i="31"/>
  <c r="N35" i="31"/>
  <c r="O35" i="31" s="1"/>
  <c r="P35" i="31" s="1"/>
  <c r="Q35" i="31" s="1"/>
  <c r="L35" i="31"/>
  <c r="M35" i="31" s="1"/>
  <c r="G35" i="31"/>
  <c r="F35" i="31"/>
  <c r="V34" i="31"/>
  <c r="U34" i="31"/>
  <c r="T34" i="31"/>
  <c r="S34" i="31"/>
  <c r="R34" i="31"/>
  <c r="N34" i="31"/>
  <c r="O34" i="31" s="1"/>
  <c r="P34" i="31" s="1"/>
  <c r="Q34" i="31" s="1"/>
  <c r="L34" i="31"/>
  <c r="M34" i="31" s="1"/>
  <c r="G34" i="31"/>
  <c r="F34" i="31"/>
  <c r="V33" i="31"/>
  <c r="U33" i="31"/>
  <c r="T33" i="31"/>
  <c r="S33" i="31"/>
  <c r="R33" i="31"/>
  <c r="N33" i="31"/>
  <c r="O33" i="31" s="1"/>
  <c r="P33" i="31" s="1"/>
  <c r="Q33" i="31" s="1"/>
  <c r="L33" i="31"/>
  <c r="M33" i="31" s="1"/>
  <c r="G33" i="31"/>
  <c r="F33" i="31"/>
  <c r="V32" i="31"/>
  <c r="U32" i="31"/>
  <c r="T32" i="31"/>
  <c r="S32" i="31"/>
  <c r="R32" i="31"/>
  <c r="N32" i="31"/>
  <c r="O32" i="31" s="1"/>
  <c r="P32" i="31" s="1"/>
  <c r="Q32" i="31" s="1"/>
  <c r="L32" i="31"/>
  <c r="M32" i="31" s="1"/>
  <c r="G32" i="31"/>
  <c r="F32" i="31"/>
  <c r="V31" i="31"/>
  <c r="U31" i="31"/>
  <c r="T31" i="31"/>
  <c r="S31" i="31"/>
  <c r="R31" i="31"/>
  <c r="N31" i="31"/>
  <c r="O31" i="31" s="1"/>
  <c r="P31" i="31" s="1"/>
  <c r="Q31" i="31" s="1"/>
  <c r="L31" i="31"/>
  <c r="M31" i="31" s="1"/>
  <c r="G31" i="31"/>
  <c r="F31" i="31"/>
  <c r="V30" i="31"/>
  <c r="U30" i="31"/>
  <c r="T30" i="31"/>
  <c r="S30" i="31"/>
  <c r="R30" i="31"/>
  <c r="N30" i="31"/>
  <c r="O30" i="31" s="1"/>
  <c r="P30" i="31" s="1"/>
  <c r="Q30" i="31" s="1"/>
  <c r="L30" i="31"/>
  <c r="M30" i="31" s="1"/>
  <c r="G30" i="31"/>
  <c r="F30" i="31"/>
  <c r="V29" i="31"/>
  <c r="U29" i="31"/>
  <c r="T29" i="31"/>
  <c r="S29" i="31"/>
  <c r="R29" i="31"/>
  <c r="N29" i="31"/>
  <c r="O29" i="31" s="1"/>
  <c r="P29" i="31" s="1"/>
  <c r="Q29" i="31" s="1"/>
  <c r="L29" i="31"/>
  <c r="M29" i="31" s="1"/>
  <c r="G29" i="31"/>
  <c r="F29" i="31"/>
  <c r="V28" i="31"/>
  <c r="U28" i="31"/>
  <c r="T28" i="31"/>
  <c r="S28" i="31"/>
  <c r="R28" i="31"/>
  <c r="N28" i="31"/>
  <c r="O28" i="31" s="1"/>
  <c r="P28" i="31" s="1"/>
  <c r="Q28" i="31" s="1"/>
  <c r="L28" i="31"/>
  <c r="M28" i="31" s="1"/>
  <c r="G28" i="31"/>
  <c r="F28" i="31"/>
  <c r="V27" i="31"/>
  <c r="U27" i="31"/>
  <c r="T27" i="31"/>
  <c r="S27" i="31"/>
  <c r="R27" i="31"/>
  <c r="N27" i="31"/>
  <c r="O27" i="31" s="1"/>
  <c r="P27" i="31" s="1"/>
  <c r="Q27" i="31" s="1"/>
  <c r="L27" i="31"/>
  <c r="M27" i="31" s="1"/>
  <c r="G27" i="31"/>
  <c r="F27" i="31"/>
  <c r="V26" i="31"/>
  <c r="U26" i="31"/>
  <c r="T26" i="31"/>
  <c r="S26" i="31"/>
  <c r="R26" i="31"/>
  <c r="N26" i="31"/>
  <c r="O26" i="31" s="1"/>
  <c r="P26" i="31" s="1"/>
  <c r="Q26" i="31" s="1"/>
  <c r="L26" i="31"/>
  <c r="M26" i="31" s="1"/>
  <c r="G26" i="31"/>
  <c r="F26" i="31"/>
  <c r="V25" i="31"/>
  <c r="U25" i="31"/>
  <c r="T25" i="31"/>
  <c r="S25" i="31"/>
  <c r="R25" i="31"/>
  <c r="N25" i="31"/>
  <c r="O25" i="31" s="1"/>
  <c r="P25" i="31" s="1"/>
  <c r="Q25" i="31" s="1"/>
  <c r="L25" i="31"/>
  <c r="M25" i="31" s="1"/>
  <c r="G25" i="31"/>
  <c r="F25" i="31"/>
  <c r="V24" i="31"/>
  <c r="U24" i="31"/>
  <c r="T24" i="31"/>
  <c r="S24" i="31"/>
  <c r="R24" i="31"/>
  <c r="N24" i="31"/>
  <c r="O24" i="31" s="1"/>
  <c r="P24" i="31" s="1"/>
  <c r="Q24" i="31" s="1"/>
  <c r="L24" i="31"/>
  <c r="M24" i="31" s="1"/>
  <c r="G24" i="31"/>
  <c r="F24" i="31"/>
  <c r="Y23" i="31"/>
  <c r="Y29" i="31" s="1"/>
  <c r="V23" i="31"/>
  <c r="U23" i="31"/>
  <c r="T23" i="31"/>
  <c r="S23" i="31"/>
  <c r="R23" i="31"/>
  <c r="N23" i="31"/>
  <c r="O23" i="31" s="1"/>
  <c r="P23" i="31" s="1"/>
  <c r="Q23" i="31" s="1"/>
  <c r="L23" i="31"/>
  <c r="M23" i="31" s="1"/>
  <c r="G23" i="31"/>
  <c r="F23" i="31"/>
  <c r="V22" i="31"/>
  <c r="U22" i="31"/>
  <c r="T22" i="31"/>
  <c r="S22" i="31"/>
  <c r="R22" i="31"/>
  <c r="N22" i="31"/>
  <c r="O22" i="31" s="1"/>
  <c r="P22" i="31" s="1"/>
  <c r="Q22" i="31" s="1"/>
  <c r="L22" i="31"/>
  <c r="M22" i="31" s="1"/>
  <c r="G22" i="31"/>
  <c r="F22" i="31"/>
  <c r="V21" i="31"/>
  <c r="U21" i="31"/>
  <c r="T21" i="31"/>
  <c r="S21" i="31"/>
  <c r="R21" i="31"/>
  <c r="N21" i="31"/>
  <c r="O21" i="31" s="1"/>
  <c r="P21" i="31" s="1"/>
  <c r="Q21" i="31" s="1"/>
  <c r="L21" i="31"/>
  <c r="M21" i="31" s="1"/>
  <c r="G21" i="31"/>
  <c r="F21" i="31"/>
  <c r="V20" i="31"/>
  <c r="U20" i="31"/>
  <c r="T20" i="31"/>
  <c r="S20" i="31"/>
  <c r="R20" i="31"/>
  <c r="N20" i="31"/>
  <c r="O20" i="31" s="1"/>
  <c r="P20" i="31" s="1"/>
  <c r="Q20" i="31" s="1"/>
  <c r="L20" i="31"/>
  <c r="M20" i="31" s="1"/>
  <c r="G20" i="31"/>
  <c r="F20" i="31"/>
  <c r="V19" i="31"/>
  <c r="U19" i="31"/>
  <c r="T19" i="31"/>
  <c r="S19" i="31"/>
  <c r="R19" i="31"/>
  <c r="N19" i="31"/>
  <c r="O19" i="31" s="1"/>
  <c r="P19" i="31" s="1"/>
  <c r="Q19" i="31" s="1"/>
  <c r="L19" i="31"/>
  <c r="M19" i="31" s="1"/>
  <c r="G19" i="31"/>
  <c r="F19" i="31"/>
  <c r="Y18" i="31"/>
  <c r="Y19" i="31" s="1"/>
  <c r="V18" i="31"/>
  <c r="U18" i="31"/>
  <c r="T18" i="31"/>
  <c r="S18" i="31"/>
  <c r="R18" i="31"/>
  <c r="N18" i="31"/>
  <c r="O18" i="31" s="1"/>
  <c r="P18" i="31" s="1"/>
  <c r="Q18" i="31" s="1"/>
  <c r="L18" i="31"/>
  <c r="M18" i="31" s="1"/>
  <c r="G18" i="31"/>
  <c r="F18" i="31"/>
  <c r="V17" i="31"/>
  <c r="U17" i="31"/>
  <c r="T17" i="31"/>
  <c r="S17" i="31"/>
  <c r="R17" i="31"/>
  <c r="N17" i="31"/>
  <c r="O17" i="31" s="1"/>
  <c r="P17" i="31" s="1"/>
  <c r="Q17" i="31" s="1"/>
  <c r="L17" i="31"/>
  <c r="M17" i="31" s="1"/>
  <c r="G17" i="31"/>
  <c r="F17" i="31"/>
  <c r="V16" i="31"/>
  <c r="U16" i="31"/>
  <c r="T16" i="31"/>
  <c r="S16" i="31"/>
  <c r="R16" i="31"/>
  <c r="N16" i="31"/>
  <c r="O16" i="31" s="1"/>
  <c r="P16" i="31" s="1"/>
  <c r="Q16" i="31" s="1"/>
  <c r="L16" i="31"/>
  <c r="M16" i="31" s="1"/>
  <c r="G16" i="31"/>
  <c r="F16" i="31"/>
  <c r="V15" i="31"/>
  <c r="U15" i="31"/>
  <c r="T15" i="31"/>
  <c r="S15" i="31"/>
  <c r="R15" i="31"/>
  <c r="N15" i="31"/>
  <c r="O15" i="31" s="1"/>
  <c r="P15" i="31" s="1"/>
  <c r="Q15" i="31" s="1"/>
  <c r="L15" i="31"/>
  <c r="M15" i="31" s="1"/>
  <c r="G15" i="31"/>
  <c r="F15" i="31"/>
  <c r="V14" i="31"/>
  <c r="U14" i="31"/>
  <c r="T14" i="31"/>
  <c r="S14" i="31"/>
  <c r="R14" i="31"/>
  <c r="N14" i="31"/>
  <c r="O14" i="31" s="1"/>
  <c r="P14" i="31" s="1"/>
  <c r="Q14" i="31" s="1"/>
  <c r="L14" i="31"/>
  <c r="M14" i="31" s="1"/>
  <c r="G14" i="31"/>
  <c r="F14" i="31"/>
  <c r="V13" i="31"/>
  <c r="U13" i="31"/>
  <c r="T13" i="31"/>
  <c r="S13" i="31"/>
  <c r="R13" i="31"/>
  <c r="N13" i="31"/>
  <c r="O13" i="31" s="1"/>
  <c r="P13" i="31" s="1"/>
  <c r="Q13" i="31" s="1"/>
  <c r="L13" i="31"/>
  <c r="M13" i="31" s="1"/>
  <c r="G13" i="31"/>
  <c r="F13" i="31"/>
  <c r="V12" i="31"/>
  <c r="U12" i="31"/>
  <c r="T12" i="31"/>
  <c r="S12" i="31"/>
  <c r="R12" i="31"/>
  <c r="N12" i="31"/>
  <c r="O12" i="31" s="1"/>
  <c r="P12" i="31" s="1"/>
  <c r="Q12" i="31" s="1"/>
  <c r="L12" i="31"/>
  <c r="M12" i="31" s="1"/>
  <c r="G12" i="31"/>
  <c r="F12" i="31"/>
  <c r="V11" i="31"/>
  <c r="U11" i="31"/>
  <c r="T11" i="31"/>
  <c r="S11" i="31"/>
  <c r="R11" i="31"/>
  <c r="N11" i="31"/>
  <c r="O11" i="31" s="1"/>
  <c r="P11" i="31" s="1"/>
  <c r="Q11" i="31" s="1"/>
  <c r="L11" i="31"/>
  <c r="M11" i="31" s="1"/>
  <c r="G11" i="31"/>
  <c r="F11" i="31"/>
  <c r="V10" i="31"/>
  <c r="U10" i="31"/>
  <c r="T10" i="31"/>
  <c r="S10" i="31"/>
  <c r="R10" i="31"/>
  <c r="N10" i="31"/>
  <c r="O10" i="31" s="1"/>
  <c r="P10" i="31" s="1"/>
  <c r="Q10" i="31" s="1"/>
  <c r="L10" i="31"/>
  <c r="M10" i="31" s="1"/>
  <c r="G10" i="31"/>
  <c r="F10" i="31"/>
  <c r="V9" i="31"/>
  <c r="U9" i="31"/>
  <c r="T9" i="31"/>
  <c r="S9" i="31"/>
  <c r="R9" i="31"/>
  <c r="N9" i="31"/>
  <c r="L9" i="31"/>
  <c r="G9" i="31"/>
  <c r="F9" i="31"/>
  <c r="D8" i="31"/>
  <c r="C8" i="31"/>
  <c r="M23" i="10"/>
  <c r="M22" i="10"/>
  <c r="M21" i="10"/>
  <c r="M20" i="10"/>
  <c r="M19" i="10"/>
  <c r="M18" i="10"/>
  <c r="M17" i="10"/>
  <c r="M16" i="10"/>
  <c r="M15" i="10"/>
  <c r="M14" i="10"/>
  <c r="M13" i="10"/>
  <c r="M12" i="10"/>
  <c r="M11" i="10"/>
  <c r="M10" i="10"/>
  <c r="M9" i="10"/>
  <c r="M8" i="10"/>
  <c r="M7" i="10"/>
  <c r="J23" i="10"/>
  <c r="J22" i="10"/>
  <c r="J21" i="10"/>
  <c r="J20" i="10"/>
  <c r="J19" i="10"/>
  <c r="J18" i="10"/>
  <c r="J17" i="10"/>
  <c r="J16" i="10"/>
  <c r="J15" i="10"/>
  <c r="J14" i="10"/>
  <c r="J13" i="10"/>
  <c r="J12" i="10"/>
  <c r="J11" i="10"/>
  <c r="J10" i="10"/>
  <c r="J9" i="10"/>
  <c r="J8" i="10"/>
  <c r="J7" i="10"/>
  <c r="J6" i="10"/>
  <c r="M6" i="10" s="1"/>
  <c r="J5" i="10"/>
  <c r="M5" i="10" s="1"/>
  <c r="J4" i="10"/>
  <c r="M4" i="10" s="1"/>
  <c r="L23" i="10"/>
  <c r="L22" i="10"/>
  <c r="L21" i="10"/>
  <c r="L20" i="10"/>
  <c r="L19" i="10"/>
  <c r="L18" i="10"/>
  <c r="L17" i="10"/>
  <c r="L16" i="10"/>
  <c r="L15" i="10"/>
  <c r="L14" i="10"/>
  <c r="L13" i="10"/>
  <c r="L12" i="10"/>
  <c r="L11" i="10"/>
  <c r="L10" i="10"/>
  <c r="L9" i="10"/>
  <c r="L8" i="10"/>
  <c r="L7" i="10"/>
  <c r="I23" i="10"/>
  <c r="I22" i="10"/>
  <c r="I21" i="10"/>
  <c r="I20" i="10"/>
  <c r="I19" i="10"/>
  <c r="I18" i="10"/>
  <c r="I17" i="10"/>
  <c r="I16" i="10"/>
  <c r="I15" i="10"/>
  <c r="I14" i="10"/>
  <c r="I13" i="10"/>
  <c r="I12" i="10"/>
  <c r="I11" i="10"/>
  <c r="I10" i="10"/>
  <c r="I9" i="10"/>
  <c r="I8" i="10"/>
  <c r="I7" i="10"/>
  <c r="H23" i="10"/>
  <c r="H22" i="10"/>
  <c r="H21" i="10"/>
  <c r="H20" i="10"/>
  <c r="H19" i="10"/>
  <c r="H18" i="10"/>
  <c r="H17" i="10"/>
  <c r="H16" i="10"/>
  <c r="H15" i="10"/>
  <c r="H14" i="10"/>
  <c r="H13" i="10"/>
  <c r="H12" i="10"/>
  <c r="H11" i="10"/>
  <c r="H10" i="10"/>
  <c r="H9" i="10"/>
  <c r="H8" i="10"/>
  <c r="H7" i="10"/>
  <c r="H6" i="10"/>
  <c r="H5" i="10"/>
  <c r="H4" i="10"/>
  <c r="G23" i="10"/>
  <c r="G22" i="10"/>
  <c r="G21" i="10"/>
  <c r="G20" i="10"/>
  <c r="G19" i="10"/>
  <c r="G18" i="10"/>
  <c r="G17" i="10"/>
  <c r="G16" i="10"/>
  <c r="G15" i="10"/>
  <c r="G14" i="10"/>
  <c r="G13" i="10"/>
  <c r="G12" i="10"/>
  <c r="G11" i="10"/>
  <c r="G10" i="10"/>
  <c r="G9" i="10"/>
  <c r="G8" i="10"/>
  <c r="G7" i="10"/>
  <c r="G6" i="10"/>
  <c r="G5" i="10"/>
  <c r="G4" i="10"/>
  <c r="I4" i="10" s="1"/>
  <c r="L4" i="10" s="1"/>
  <c r="M29" i="9"/>
  <c r="M28" i="9"/>
  <c r="M27" i="9"/>
  <c r="M26" i="9"/>
  <c r="M25" i="9"/>
  <c r="M24" i="9"/>
  <c r="M23" i="9"/>
  <c r="M22" i="9"/>
  <c r="M21" i="9"/>
  <c r="M20" i="9"/>
  <c r="M19" i="9"/>
  <c r="M18" i="9"/>
  <c r="M17" i="9"/>
  <c r="M16" i="9"/>
  <c r="M15" i="9"/>
  <c r="M14" i="9"/>
  <c r="M13" i="9"/>
  <c r="M12" i="9"/>
  <c r="M11" i="9"/>
  <c r="M10" i="9"/>
  <c r="M9" i="9"/>
  <c r="M8" i="9"/>
  <c r="M7" i="9"/>
  <c r="M6" i="9"/>
  <c r="L74" i="28"/>
  <c r="L73" i="28"/>
  <c r="L72" i="28"/>
  <c r="L71" i="28"/>
  <c r="L70" i="28"/>
  <c r="L69" i="28"/>
  <c r="L68" i="28"/>
  <c r="L67" i="28"/>
  <c r="L66" i="28"/>
  <c r="L65" i="28"/>
  <c r="L64" i="28"/>
  <c r="L63" i="28"/>
  <c r="L62" i="28"/>
  <c r="L61" i="28"/>
  <c r="L60" i="28"/>
  <c r="L59" i="28"/>
  <c r="L58" i="28"/>
  <c r="L57" i="28"/>
  <c r="L56" i="28"/>
  <c r="L55" i="28"/>
  <c r="L54" i="28"/>
  <c r="L53" i="28"/>
  <c r="L52" i="28"/>
  <c r="L51" i="28"/>
  <c r="L50" i="28"/>
  <c r="K74" i="28"/>
  <c r="K73" i="28"/>
  <c r="K72" i="28"/>
  <c r="K71" i="28"/>
  <c r="K70" i="28"/>
  <c r="K69" i="28"/>
  <c r="K68" i="28"/>
  <c r="K67" i="28"/>
  <c r="K66" i="28"/>
  <c r="K65" i="28"/>
  <c r="K64" i="28"/>
  <c r="K63" i="28"/>
  <c r="K62" i="28"/>
  <c r="K61" i="28"/>
  <c r="K60" i="28"/>
  <c r="K59" i="28"/>
  <c r="K58" i="28"/>
  <c r="K57" i="28"/>
  <c r="K56" i="28"/>
  <c r="K55" i="28"/>
  <c r="K54" i="28"/>
  <c r="K53" i="28"/>
  <c r="K52" i="28"/>
  <c r="K51" i="28"/>
  <c r="K50" i="28"/>
  <c r="M74" i="28"/>
  <c r="M73" i="28"/>
  <c r="M72" i="28"/>
  <c r="M71" i="28"/>
  <c r="M70" i="28"/>
  <c r="M69" i="28"/>
  <c r="M68" i="28"/>
  <c r="M67" i="28"/>
  <c r="M66" i="28"/>
  <c r="M65" i="28"/>
  <c r="M64" i="28"/>
  <c r="M63" i="28"/>
  <c r="M62" i="28"/>
  <c r="M61" i="28"/>
  <c r="M60" i="28"/>
  <c r="M59" i="28"/>
  <c r="M58" i="28"/>
  <c r="M57" i="28"/>
  <c r="M56" i="28"/>
  <c r="M55" i="28"/>
  <c r="M54" i="28"/>
  <c r="M53" i="28"/>
  <c r="M52" i="28"/>
  <c r="M51" i="28"/>
  <c r="M50" i="28"/>
  <c r="M29" i="28"/>
  <c r="M28" i="28"/>
  <c r="M27" i="28"/>
  <c r="M26" i="28"/>
  <c r="M25" i="28"/>
  <c r="M24" i="28"/>
  <c r="M23" i="28"/>
  <c r="M22" i="28"/>
  <c r="M21" i="28"/>
  <c r="M20" i="28"/>
  <c r="M19" i="28"/>
  <c r="M18" i="28"/>
  <c r="M17" i="28"/>
  <c r="M16" i="28"/>
  <c r="M15" i="28"/>
  <c r="M14" i="28"/>
  <c r="M13" i="28"/>
  <c r="M12" i="28"/>
  <c r="M11" i="28"/>
  <c r="M10" i="28"/>
  <c r="M9" i="28"/>
  <c r="M8" i="28"/>
  <c r="M7" i="28"/>
  <c r="M6" i="28"/>
  <c r="O74" i="28"/>
  <c r="O73" i="28"/>
  <c r="O72" i="28"/>
  <c r="O71" i="28"/>
  <c r="O70" i="28"/>
  <c r="O69" i="28"/>
  <c r="O68" i="28"/>
  <c r="O67" i="28"/>
  <c r="O66" i="28"/>
  <c r="O65" i="28"/>
  <c r="O64" i="28"/>
  <c r="O63" i="28"/>
  <c r="O62" i="28"/>
  <c r="O61" i="28"/>
  <c r="O60" i="28"/>
  <c r="O59" i="28"/>
  <c r="O58" i="28"/>
  <c r="O57" i="28"/>
  <c r="O56" i="28"/>
  <c r="O55" i="28"/>
  <c r="O54" i="28"/>
  <c r="O53" i="28"/>
  <c r="O52" i="28"/>
  <c r="O51" i="28"/>
  <c r="O50" i="28"/>
  <c r="AC48" i="28"/>
  <c r="N75" i="28"/>
  <c r="J75" i="28"/>
  <c r="I75" i="28"/>
  <c r="H75" i="28"/>
  <c r="G75" i="28"/>
  <c r="Q74" i="28"/>
  <c r="P74" i="28"/>
  <c r="Q73" i="28"/>
  <c r="P73" i="28"/>
  <c r="Q72" i="28"/>
  <c r="P72" i="28"/>
  <c r="Q71" i="28"/>
  <c r="P71" i="28"/>
  <c r="Q70" i="28"/>
  <c r="P70" i="28"/>
  <c r="Q69" i="28"/>
  <c r="P69" i="28"/>
  <c r="Q68" i="28"/>
  <c r="P68" i="28"/>
  <c r="Q67" i="28"/>
  <c r="P67" i="28"/>
  <c r="Q66" i="28"/>
  <c r="P66" i="28"/>
  <c r="Q65" i="28"/>
  <c r="P65" i="28"/>
  <c r="Q64" i="28"/>
  <c r="P64" i="28"/>
  <c r="Q63" i="28"/>
  <c r="P63" i="28"/>
  <c r="Q62" i="28"/>
  <c r="P62" i="28"/>
  <c r="Q61" i="28"/>
  <c r="P61" i="28"/>
  <c r="Q60" i="28"/>
  <c r="P60" i="28"/>
  <c r="Q59" i="28"/>
  <c r="P59" i="28"/>
  <c r="Q58" i="28"/>
  <c r="P58" i="28"/>
  <c r="Q57" i="28"/>
  <c r="P57" i="28"/>
  <c r="Q56" i="28"/>
  <c r="P56" i="28"/>
  <c r="Q55" i="28"/>
  <c r="P55" i="28"/>
  <c r="Q54" i="28"/>
  <c r="P54" i="28"/>
  <c r="Q53" i="28"/>
  <c r="P53" i="28"/>
  <c r="Q52" i="28"/>
  <c r="P52" i="28"/>
  <c r="Q51" i="28"/>
  <c r="P51" i="28"/>
  <c r="B51" i="28"/>
  <c r="B52" i="28" s="1"/>
  <c r="B53" i="28" s="1"/>
  <c r="B54" i="28" s="1"/>
  <c r="B55" i="28" s="1"/>
  <c r="B56" i="28" s="1"/>
  <c r="B57" i="28" s="1"/>
  <c r="B58" i="28" s="1"/>
  <c r="B59" i="28" s="1"/>
  <c r="B60" i="28" s="1"/>
  <c r="B61" i="28" s="1"/>
  <c r="B62" i="28" s="1"/>
  <c r="B63" i="28" s="1"/>
  <c r="B64" i="28" s="1"/>
  <c r="B65" i="28" s="1"/>
  <c r="B66" i="28" s="1"/>
  <c r="B67" i="28" s="1"/>
  <c r="B68" i="28" s="1"/>
  <c r="B69" i="28" s="1"/>
  <c r="B70" i="28" s="1"/>
  <c r="B71" i="28" s="1"/>
  <c r="B72" i="28" s="1"/>
  <c r="B73" i="28" s="1"/>
  <c r="B74" i="28" s="1"/>
  <c r="Q50" i="28"/>
  <c r="Q75" i="28" s="1"/>
  <c r="P50" i="28"/>
  <c r="P75" i="28" s="1"/>
  <c r="O75" i="28"/>
  <c r="M75" i="28"/>
  <c r="L75" i="28"/>
  <c r="K75" i="28"/>
  <c r="N30" i="28"/>
  <c r="J30" i="28"/>
  <c r="I30" i="28"/>
  <c r="H30" i="28"/>
  <c r="G30" i="28"/>
  <c r="Q29" i="28"/>
  <c r="P29" i="28"/>
  <c r="O29" i="28"/>
  <c r="L29" i="28"/>
  <c r="K29" i="28"/>
  <c r="Q28" i="28"/>
  <c r="P28" i="28"/>
  <c r="O28" i="28"/>
  <c r="L28" i="28"/>
  <c r="K28" i="28"/>
  <c r="Q27" i="28"/>
  <c r="P27" i="28"/>
  <c r="O27" i="28"/>
  <c r="L27" i="28"/>
  <c r="K27" i="28"/>
  <c r="Q26" i="28"/>
  <c r="P26" i="28"/>
  <c r="O26" i="28"/>
  <c r="L26" i="28"/>
  <c r="K26" i="28"/>
  <c r="Q25" i="28"/>
  <c r="P25" i="28"/>
  <c r="O25" i="28"/>
  <c r="L25" i="28"/>
  <c r="K25" i="28"/>
  <c r="Q24" i="28"/>
  <c r="P24" i="28"/>
  <c r="O24" i="28"/>
  <c r="L24" i="28"/>
  <c r="K24" i="28"/>
  <c r="Q23" i="28"/>
  <c r="P23" i="28"/>
  <c r="O23" i="28"/>
  <c r="L23" i="28"/>
  <c r="K23" i="28"/>
  <c r="Q22" i="28"/>
  <c r="P22" i="28"/>
  <c r="O22" i="28"/>
  <c r="L22" i="28"/>
  <c r="K22" i="28"/>
  <c r="Q21" i="28"/>
  <c r="P21" i="28"/>
  <c r="O21" i="28"/>
  <c r="L21" i="28"/>
  <c r="K21" i="28"/>
  <c r="Q20" i="28"/>
  <c r="P20" i="28"/>
  <c r="O20" i="28"/>
  <c r="L20" i="28"/>
  <c r="K20" i="28"/>
  <c r="Q19" i="28"/>
  <c r="P19" i="28"/>
  <c r="O19" i="28"/>
  <c r="L19" i="28"/>
  <c r="K19" i="28"/>
  <c r="Q18" i="28"/>
  <c r="P18" i="28"/>
  <c r="O18" i="28"/>
  <c r="L18" i="28"/>
  <c r="K18" i="28"/>
  <c r="Q17" i="28"/>
  <c r="P17" i="28"/>
  <c r="O17" i="28"/>
  <c r="L17" i="28"/>
  <c r="K17" i="28"/>
  <c r="Q16" i="28"/>
  <c r="P16" i="28"/>
  <c r="O16" i="28"/>
  <c r="L16" i="28"/>
  <c r="K16" i="28"/>
  <c r="Q15" i="28"/>
  <c r="P15" i="28"/>
  <c r="O15" i="28"/>
  <c r="L15" i="28"/>
  <c r="K15" i="28"/>
  <c r="Q14" i="28"/>
  <c r="P14" i="28"/>
  <c r="O14" i="28"/>
  <c r="L14" i="28"/>
  <c r="K14" i="28"/>
  <c r="Q13" i="28"/>
  <c r="P13" i="28"/>
  <c r="O13" i="28"/>
  <c r="L13" i="28"/>
  <c r="K13" i="28"/>
  <c r="Q12" i="28"/>
  <c r="P12" i="28"/>
  <c r="O12" i="28"/>
  <c r="L12" i="28"/>
  <c r="K12" i="28"/>
  <c r="Q11" i="28"/>
  <c r="P11" i="28"/>
  <c r="O11" i="28"/>
  <c r="L11" i="28"/>
  <c r="K11" i="28"/>
  <c r="Q10" i="28"/>
  <c r="P10" i="28"/>
  <c r="O10" i="28"/>
  <c r="L10" i="28"/>
  <c r="K10" i="28"/>
  <c r="Q9" i="28"/>
  <c r="P9" i="28"/>
  <c r="O9" i="28"/>
  <c r="L9" i="28"/>
  <c r="K9" i="28"/>
  <c r="Q8" i="28"/>
  <c r="P8" i="28"/>
  <c r="O8" i="28"/>
  <c r="L8" i="28"/>
  <c r="K8" i="28"/>
  <c r="Q7" i="28"/>
  <c r="P7" i="28"/>
  <c r="O7" i="28"/>
  <c r="L7" i="28"/>
  <c r="K7" i="28"/>
  <c r="Q6" i="28"/>
  <c r="P6" i="28"/>
  <c r="O6" i="28"/>
  <c r="L6" i="28"/>
  <c r="K6" i="28"/>
  <c r="B6" i="28"/>
  <c r="B7" i="28" s="1"/>
  <c r="B8" i="28" s="1"/>
  <c r="B9" i="28" s="1"/>
  <c r="B10" i="28" s="1"/>
  <c r="B11" i="28" s="1"/>
  <c r="B12" i="28" s="1"/>
  <c r="B13" i="28" s="1"/>
  <c r="B14" i="28" s="1"/>
  <c r="B15" i="28" s="1"/>
  <c r="B16" i="28" s="1"/>
  <c r="B17" i="28" s="1"/>
  <c r="B18" i="28" s="1"/>
  <c r="B19" i="28" s="1"/>
  <c r="B20" i="28" s="1"/>
  <c r="B21" i="28" s="1"/>
  <c r="B22" i="28" s="1"/>
  <c r="B23" i="28" s="1"/>
  <c r="B24" i="28" s="1"/>
  <c r="B25" i="28" s="1"/>
  <c r="B26" i="28" s="1"/>
  <c r="B27" i="28" s="1"/>
  <c r="B28" i="28" s="1"/>
  <c r="B29" i="28" s="1"/>
  <c r="O5" i="28"/>
  <c r="L5" i="28"/>
  <c r="L30" i="28" s="1"/>
  <c r="K5" i="28"/>
  <c r="M5" i="28" s="1"/>
  <c r="B1" i="28"/>
  <c r="O29" i="9"/>
  <c r="O28" i="9"/>
  <c r="O27" i="9"/>
  <c r="O26" i="9"/>
  <c r="O25" i="9"/>
  <c r="O24" i="9"/>
  <c r="O23" i="9"/>
  <c r="O22" i="9"/>
  <c r="O21" i="9"/>
  <c r="O20" i="9"/>
  <c r="O19" i="9"/>
  <c r="O18" i="9"/>
  <c r="O17" i="9"/>
  <c r="O16" i="9"/>
  <c r="O15" i="9"/>
  <c r="O14" i="9"/>
  <c r="O13" i="9"/>
  <c r="O12" i="9"/>
  <c r="O11" i="9"/>
  <c r="O10" i="9"/>
  <c r="O9" i="9"/>
  <c r="O8" i="9"/>
  <c r="O7" i="9"/>
  <c r="O6" i="9"/>
  <c r="O5" i="9"/>
  <c r="AC10" i="9"/>
  <c r="AB10" i="9"/>
  <c r="AA10" i="9"/>
  <c r="AC9" i="9"/>
  <c r="AB9" i="9"/>
  <c r="AA9" i="9"/>
  <c r="AC8" i="9"/>
  <c r="AB8" i="9"/>
  <c r="AA8" i="9"/>
  <c r="AC7" i="9"/>
  <c r="AB7" i="9"/>
  <c r="AA7" i="9"/>
  <c r="AC6" i="9"/>
  <c r="AB6" i="9"/>
  <c r="AA6" i="9"/>
  <c r="AC5" i="9"/>
  <c r="AB5" i="9"/>
  <c r="AA5" i="9"/>
  <c r="L29" i="9"/>
  <c r="L28" i="9"/>
  <c r="L27" i="9"/>
  <c r="L26" i="9"/>
  <c r="L25" i="9"/>
  <c r="L24" i="9"/>
  <c r="L23" i="9"/>
  <c r="L22" i="9"/>
  <c r="L21" i="9"/>
  <c r="L20" i="9"/>
  <c r="L19" i="9"/>
  <c r="L18" i="9"/>
  <c r="L17" i="9"/>
  <c r="L16" i="9"/>
  <c r="L15" i="9"/>
  <c r="L14" i="9"/>
  <c r="L13" i="9"/>
  <c r="L12" i="9"/>
  <c r="L11" i="9"/>
  <c r="L10" i="9"/>
  <c r="L9" i="9"/>
  <c r="L8" i="9"/>
  <c r="L7" i="9"/>
  <c r="L6" i="9"/>
  <c r="L5" i="9"/>
  <c r="Q29" i="9"/>
  <c r="Q28" i="9"/>
  <c r="Q27" i="9"/>
  <c r="Q26" i="9"/>
  <c r="Q25" i="9"/>
  <c r="Q24" i="9"/>
  <c r="Q23" i="9"/>
  <c r="Q22" i="9"/>
  <c r="Q21" i="9"/>
  <c r="Q20" i="9"/>
  <c r="Q19" i="9"/>
  <c r="Q18" i="9"/>
  <c r="Q17" i="9"/>
  <c r="Q16" i="9"/>
  <c r="Q15" i="9"/>
  <c r="Q14" i="9"/>
  <c r="Q13" i="9"/>
  <c r="Q12" i="9"/>
  <c r="Q11" i="9"/>
  <c r="Q10" i="9"/>
  <c r="Q9" i="9"/>
  <c r="Q8" i="9"/>
  <c r="Q7" i="9"/>
  <c r="Q6" i="9"/>
  <c r="O30" i="9"/>
  <c r="P29" i="9"/>
  <c r="P28" i="9"/>
  <c r="P27" i="9"/>
  <c r="P26" i="9"/>
  <c r="P25" i="9"/>
  <c r="P24" i="9"/>
  <c r="P23" i="9"/>
  <c r="P22" i="9"/>
  <c r="P21" i="9"/>
  <c r="P20" i="9"/>
  <c r="P19" i="9"/>
  <c r="P18" i="9"/>
  <c r="P17" i="9"/>
  <c r="P16" i="9"/>
  <c r="P15" i="9"/>
  <c r="P14" i="9"/>
  <c r="P13" i="9"/>
  <c r="P12" i="9"/>
  <c r="P11" i="9"/>
  <c r="P10" i="9"/>
  <c r="P9" i="9"/>
  <c r="P8" i="9"/>
  <c r="P7" i="9"/>
  <c r="P6" i="9"/>
  <c r="P5" i="9"/>
  <c r="P30" i="9" s="1"/>
  <c r="E15" i="12" s="1"/>
  <c r="K29" i="9"/>
  <c r="K28" i="9"/>
  <c r="K27" i="9"/>
  <c r="K26" i="9"/>
  <c r="K25" i="9"/>
  <c r="K24" i="9"/>
  <c r="K23" i="9"/>
  <c r="K22" i="9"/>
  <c r="K21" i="9"/>
  <c r="K20" i="9"/>
  <c r="K19" i="9"/>
  <c r="K18" i="9"/>
  <c r="K17" i="9"/>
  <c r="K16" i="9"/>
  <c r="K15" i="9"/>
  <c r="K14" i="9"/>
  <c r="K13" i="9"/>
  <c r="K12" i="9"/>
  <c r="K11" i="9"/>
  <c r="K10" i="9"/>
  <c r="K9" i="9"/>
  <c r="K8" i="9"/>
  <c r="K7" i="9"/>
  <c r="K6" i="9"/>
  <c r="K5" i="9"/>
  <c r="M5" i="9" s="1"/>
  <c r="K30" i="9"/>
  <c r="S753" i="4"/>
  <c r="S752" i="4"/>
  <c r="S751" i="4"/>
  <c r="S750" i="4"/>
  <c r="S749" i="4"/>
  <c r="S748" i="4"/>
  <c r="S747" i="4"/>
  <c r="S746" i="4"/>
  <c r="S745" i="4"/>
  <c r="S744" i="4"/>
  <c r="S743" i="4"/>
  <c r="S742" i="4"/>
  <c r="S741" i="4"/>
  <c r="S740" i="4"/>
  <c r="S739" i="4"/>
  <c r="S738" i="4"/>
  <c r="S737" i="4"/>
  <c r="S736" i="4"/>
  <c r="S735" i="4"/>
  <c r="S734" i="4"/>
  <c r="S733" i="4"/>
  <c r="S732" i="4"/>
  <c r="S731" i="4"/>
  <c r="S730" i="4"/>
  <c r="S729" i="4"/>
  <c r="S728" i="4"/>
  <c r="S727" i="4"/>
  <c r="S726" i="4"/>
  <c r="S725" i="4"/>
  <c r="S724" i="4"/>
  <c r="S723" i="4"/>
  <c r="S722" i="4"/>
  <c r="S721" i="4"/>
  <c r="S720" i="4"/>
  <c r="S719" i="4"/>
  <c r="S718" i="4"/>
  <c r="S717" i="4"/>
  <c r="S716" i="4"/>
  <c r="S715" i="4"/>
  <c r="S714" i="4"/>
  <c r="S713" i="4"/>
  <c r="S712" i="4"/>
  <c r="S711" i="4"/>
  <c r="S710" i="4"/>
  <c r="S709" i="4"/>
  <c r="S708" i="4"/>
  <c r="S707" i="4"/>
  <c r="S706" i="4"/>
  <c r="S705" i="4"/>
  <c r="S704" i="4"/>
  <c r="S703" i="4"/>
  <c r="S702" i="4"/>
  <c r="S701" i="4"/>
  <c r="S700" i="4"/>
  <c r="S699" i="4"/>
  <c r="S698" i="4"/>
  <c r="S697" i="4"/>
  <c r="S696" i="4"/>
  <c r="S695" i="4"/>
  <c r="S694" i="4"/>
  <c r="S693" i="4"/>
  <c r="S692" i="4"/>
  <c r="S691" i="4"/>
  <c r="S690" i="4"/>
  <c r="S689" i="4"/>
  <c r="S688" i="4"/>
  <c r="S687" i="4"/>
  <c r="S686" i="4"/>
  <c r="S685" i="4"/>
  <c r="S684" i="4"/>
  <c r="S683" i="4"/>
  <c r="S682" i="4"/>
  <c r="S681" i="4"/>
  <c r="S680" i="4"/>
  <c r="S679" i="4"/>
  <c r="S678" i="4"/>
  <c r="S677" i="4"/>
  <c r="S676" i="4"/>
  <c r="S675" i="4"/>
  <c r="S674" i="4"/>
  <c r="S673" i="4"/>
  <c r="S672" i="4"/>
  <c r="S671" i="4"/>
  <c r="S670" i="4"/>
  <c r="S669" i="4"/>
  <c r="S668" i="4"/>
  <c r="S667" i="4"/>
  <c r="S666" i="4"/>
  <c r="S665" i="4"/>
  <c r="S664" i="4"/>
  <c r="S663" i="4"/>
  <c r="S662" i="4"/>
  <c r="S661" i="4"/>
  <c r="S660" i="4"/>
  <c r="S659" i="4"/>
  <c r="S658" i="4"/>
  <c r="S657" i="4"/>
  <c r="S656" i="4"/>
  <c r="S655" i="4"/>
  <c r="S654" i="4"/>
  <c r="S653" i="4"/>
  <c r="S652" i="4"/>
  <c r="S651" i="4"/>
  <c r="S650" i="4"/>
  <c r="S649" i="4"/>
  <c r="S648" i="4"/>
  <c r="S647" i="4"/>
  <c r="S646" i="4"/>
  <c r="S645" i="4"/>
  <c r="S644" i="4"/>
  <c r="S643" i="4"/>
  <c r="S642" i="4"/>
  <c r="S641" i="4"/>
  <c r="S640" i="4"/>
  <c r="S639" i="4"/>
  <c r="S638" i="4"/>
  <c r="S637" i="4"/>
  <c r="S636" i="4"/>
  <c r="S635" i="4"/>
  <c r="S634" i="4"/>
  <c r="S633" i="4"/>
  <c r="S632" i="4"/>
  <c r="S631" i="4"/>
  <c r="S630" i="4"/>
  <c r="S629" i="4"/>
  <c r="S628" i="4"/>
  <c r="S627" i="4"/>
  <c r="S626" i="4"/>
  <c r="S625" i="4"/>
  <c r="S624" i="4"/>
  <c r="S623" i="4"/>
  <c r="S622" i="4"/>
  <c r="S621" i="4"/>
  <c r="S620" i="4"/>
  <c r="S619" i="4"/>
  <c r="S618" i="4"/>
  <c r="S617" i="4"/>
  <c r="S616" i="4"/>
  <c r="S615" i="4"/>
  <c r="S614" i="4"/>
  <c r="S613" i="4"/>
  <c r="S612" i="4"/>
  <c r="S611" i="4"/>
  <c r="S610" i="4"/>
  <c r="S609" i="4"/>
  <c r="S608" i="4"/>
  <c r="S607" i="4"/>
  <c r="S606" i="4"/>
  <c r="S605" i="4"/>
  <c r="S604" i="4"/>
  <c r="S603" i="4"/>
  <c r="S602" i="4"/>
  <c r="S601" i="4"/>
  <c r="S600" i="4"/>
  <c r="S599" i="4"/>
  <c r="S598" i="4"/>
  <c r="S597" i="4"/>
  <c r="S596" i="4"/>
  <c r="S595" i="4"/>
  <c r="S594" i="4"/>
  <c r="S593" i="4"/>
  <c r="S592" i="4"/>
  <c r="S591" i="4"/>
  <c r="S590" i="4"/>
  <c r="S589" i="4"/>
  <c r="S588" i="4"/>
  <c r="S587" i="4"/>
  <c r="S586" i="4"/>
  <c r="S585" i="4"/>
  <c r="S584" i="4"/>
  <c r="S583" i="4"/>
  <c r="S582" i="4"/>
  <c r="S581" i="4"/>
  <c r="S580" i="4"/>
  <c r="S579" i="4"/>
  <c r="S578" i="4"/>
  <c r="S577" i="4"/>
  <c r="S576" i="4"/>
  <c r="S575" i="4"/>
  <c r="S574" i="4"/>
  <c r="S573" i="4"/>
  <c r="S572" i="4"/>
  <c r="S571" i="4"/>
  <c r="S570" i="4"/>
  <c r="S569" i="4"/>
  <c r="S568" i="4"/>
  <c r="S567" i="4"/>
  <c r="S566" i="4"/>
  <c r="S565" i="4"/>
  <c r="S564" i="4"/>
  <c r="S563" i="4"/>
  <c r="S562" i="4"/>
  <c r="S561" i="4"/>
  <c r="S560" i="4"/>
  <c r="S559" i="4"/>
  <c r="S558" i="4"/>
  <c r="S557" i="4"/>
  <c r="S556" i="4"/>
  <c r="S555" i="4"/>
  <c r="S554" i="4"/>
  <c r="S553" i="4"/>
  <c r="S552" i="4"/>
  <c r="S551" i="4"/>
  <c r="S550" i="4"/>
  <c r="S549" i="4"/>
  <c r="S548" i="4"/>
  <c r="S547" i="4"/>
  <c r="S546" i="4"/>
  <c r="S545" i="4"/>
  <c r="S544" i="4"/>
  <c r="S543" i="4"/>
  <c r="S542" i="4"/>
  <c r="S541" i="4"/>
  <c r="S540" i="4"/>
  <c r="S539" i="4"/>
  <c r="S538" i="4"/>
  <c r="S537" i="4"/>
  <c r="S536" i="4"/>
  <c r="S535" i="4"/>
  <c r="S534" i="4"/>
  <c r="S533" i="4"/>
  <c r="S532" i="4"/>
  <c r="S531" i="4"/>
  <c r="S530" i="4"/>
  <c r="S529" i="4"/>
  <c r="S528" i="4"/>
  <c r="S527" i="4"/>
  <c r="S526" i="4"/>
  <c r="S525" i="4"/>
  <c r="S524" i="4"/>
  <c r="S523" i="4"/>
  <c r="S522" i="4"/>
  <c r="S521" i="4"/>
  <c r="S520" i="4"/>
  <c r="S519" i="4"/>
  <c r="S518" i="4"/>
  <c r="S517" i="4"/>
  <c r="S516" i="4"/>
  <c r="S515" i="4"/>
  <c r="S514" i="4"/>
  <c r="S513" i="4"/>
  <c r="S512" i="4"/>
  <c r="S511" i="4"/>
  <c r="S510" i="4"/>
  <c r="S509" i="4"/>
  <c r="S508" i="4"/>
  <c r="S507" i="4"/>
  <c r="S506" i="4"/>
  <c r="S505" i="4"/>
  <c r="S504" i="4"/>
  <c r="S503" i="4"/>
  <c r="S502" i="4"/>
  <c r="S501" i="4"/>
  <c r="S500" i="4"/>
  <c r="S499" i="4"/>
  <c r="S498" i="4"/>
  <c r="S497" i="4"/>
  <c r="S496" i="4"/>
  <c r="S495" i="4"/>
  <c r="S494" i="4"/>
  <c r="S493" i="4"/>
  <c r="S492" i="4"/>
  <c r="S491" i="4"/>
  <c r="S490" i="4"/>
  <c r="S489" i="4"/>
  <c r="S488" i="4"/>
  <c r="S487" i="4"/>
  <c r="S486" i="4"/>
  <c r="S485" i="4"/>
  <c r="S484" i="4"/>
  <c r="S483" i="4"/>
  <c r="S482" i="4"/>
  <c r="S481" i="4"/>
  <c r="S480" i="4"/>
  <c r="S479" i="4"/>
  <c r="S478" i="4"/>
  <c r="S477" i="4"/>
  <c r="S476" i="4"/>
  <c r="S475" i="4"/>
  <c r="S474" i="4"/>
  <c r="S473" i="4"/>
  <c r="S472" i="4"/>
  <c r="S471" i="4"/>
  <c r="S470" i="4"/>
  <c r="S469" i="4"/>
  <c r="S468" i="4"/>
  <c r="S467" i="4"/>
  <c r="S466" i="4"/>
  <c r="S465" i="4"/>
  <c r="S464" i="4"/>
  <c r="S463" i="4"/>
  <c r="S462" i="4"/>
  <c r="S461" i="4"/>
  <c r="S460" i="4"/>
  <c r="S459" i="4"/>
  <c r="S458" i="4"/>
  <c r="S457" i="4"/>
  <c r="S456" i="4"/>
  <c r="S455" i="4"/>
  <c r="S454" i="4"/>
  <c r="S453" i="4"/>
  <c r="S452" i="4"/>
  <c r="S451" i="4"/>
  <c r="S450" i="4"/>
  <c r="S449" i="4"/>
  <c r="S448" i="4"/>
  <c r="S447" i="4"/>
  <c r="S446" i="4"/>
  <c r="S445" i="4"/>
  <c r="S444" i="4"/>
  <c r="S443" i="4"/>
  <c r="S442" i="4"/>
  <c r="S441" i="4"/>
  <c r="S440" i="4"/>
  <c r="S439" i="4"/>
  <c r="S438" i="4"/>
  <c r="S437" i="4"/>
  <c r="S436" i="4"/>
  <c r="S435" i="4"/>
  <c r="S434" i="4"/>
  <c r="S433" i="4"/>
  <c r="S432" i="4"/>
  <c r="S431" i="4"/>
  <c r="S430" i="4"/>
  <c r="S429" i="4"/>
  <c r="S428" i="4"/>
  <c r="S427" i="4"/>
  <c r="S426" i="4"/>
  <c r="S425" i="4"/>
  <c r="S424" i="4"/>
  <c r="S423" i="4"/>
  <c r="S422" i="4"/>
  <c r="S421" i="4"/>
  <c r="S420" i="4"/>
  <c r="S419" i="4"/>
  <c r="S418" i="4"/>
  <c r="S417" i="4"/>
  <c r="S416" i="4"/>
  <c r="S415" i="4"/>
  <c r="S414" i="4"/>
  <c r="S413" i="4"/>
  <c r="S412" i="4"/>
  <c r="S411" i="4"/>
  <c r="S410" i="4"/>
  <c r="S409" i="4"/>
  <c r="S408" i="4"/>
  <c r="S407" i="4"/>
  <c r="S406" i="4"/>
  <c r="S405" i="4"/>
  <c r="S404" i="4"/>
  <c r="S403" i="4"/>
  <c r="S402" i="4"/>
  <c r="S401" i="4"/>
  <c r="S400" i="4"/>
  <c r="S399" i="4"/>
  <c r="S398" i="4"/>
  <c r="S397" i="4"/>
  <c r="S396" i="4"/>
  <c r="S395" i="4"/>
  <c r="S394" i="4"/>
  <c r="S393" i="4"/>
  <c r="S392" i="4"/>
  <c r="S391" i="4"/>
  <c r="S390" i="4"/>
  <c r="S389" i="4"/>
  <c r="S388" i="4"/>
  <c r="S387" i="4"/>
  <c r="S386" i="4"/>
  <c r="S385" i="4"/>
  <c r="S384" i="4"/>
  <c r="S383" i="4"/>
  <c r="S382" i="4"/>
  <c r="S381" i="4"/>
  <c r="S380" i="4"/>
  <c r="S379" i="4"/>
  <c r="S378" i="4"/>
  <c r="S377" i="4"/>
  <c r="S376" i="4"/>
  <c r="S375" i="4"/>
  <c r="S374" i="4"/>
  <c r="S373" i="4"/>
  <c r="S372" i="4"/>
  <c r="S371" i="4"/>
  <c r="S370" i="4"/>
  <c r="S369" i="4"/>
  <c r="S368" i="4"/>
  <c r="S367" i="4"/>
  <c r="S366" i="4"/>
  <c r="S365" i="4"/>
  <c r="S364" i="4"/>
  <c r="S363" i="4"/>
  <c r="S362" i="4"/>
  <c r="S361" i="4"/>
  <c r="S360" i="4"/>
  <c r="S359" i="4"/>
  <c r="S358" i="4"/>
  <c r="S357" i="4"/>
  <c r="S356" i="4"/>
  <c r="S355" i="4"/>
  <c r="S354" i="4"/>
  <c r="S353" i="4"/>
  <c r="S352" i="4"/>
  <c r="S351" i="4"/>
  <c r="S350" i="4"/>
  <c r="S349" i="4"/>
  <c r="S348" i="4"/>
  <c r="S347" i="4"/>
  <c r="S346" i="4"/>
  <c r="S345" i="4"/>
  <c r="S344" i="4"/>
  <c r="S343" i="4"/>
  <c r="S342" i="4"/>
  <c r="S341" i="4"/>
  <c r="S340" i="4"/>
  <c r="S339" i="4"/>
  <c r="S338" i="4"/>
  <c r="S337" i="4"/>
  <c r="S336" i="4"/>
  <c r="S335" i="4"/>
  <c r="S334" i="4"/>
  <c r="S333" i="4"/>
  <c r="S332" i="4"/>
  <c r="S331" i="4"/>
  <c r="S330" i="4"/>
  <c r="S329" i="4"/>
  <c r="S328" i="4"/>
  <c r="S327" i="4"/>
  <c r="S326" i="4"/>
  <c r="S325" i="4"/>
  <c r="S324" i="4"/>
  <c r="S323" i="4"/>
  <c r="S322" i="4"/>
  <c r="S321" i="4"/>
  <c r="S320" i="4"/>
  <c r="S319" i="4"/>
  <c r="S318" i="4"/>
  <c r="S317" i="4"/>
  <c r="S316" i="4"/>
  <c r="S315" i="4"/>
  <c r="S314" i="4"/>
  <c r="S313" i="4"/>
  <c r="S312" i="4"/>
  <c r="S311" i="4"/>
  <c r="S310" i="4"/>
  <c r="S309" i="4"/>
  <c r="S308" i="4"/>
  <c r="S307" i="4"/>
  <c r="S306" i="4"/>
  <c r="S305" i="4"/>
  <c r="S304" i="4"/>
  <c r="S303" i="4"/>
  <c r="S302" i="4"/>
  <c r="S301" i="4"/>
  <c r="S300" i="4"/>
  <c r="S299" i="4"/>
  <c r="S298" i="4"/>
  <c r="S297" i="4"/>
  <c r="S296" i="4"/>
  <c r="S295" i="4"/>
  <c r="S294" i="4"/>
  <c r="S293" i="4"/>
  <c r="S292" i="4"/>
  <c r="S291" i="4"/>
  <c r="S290" i="4"/>
  <c r="S289" i="4"/>
  <c r="S288" i="4"/>
  <c r="S287" i="4"/>
  <c r="S286" i="4"/>
  <c r="S285" i="4"/>
  <c r="S284" i="4"/>
  <c r="S283" i="4"/>
  <c r="S282" i="4"/>
  <c r="S281" i="4"/>
  <c r="S280" i="4"/>
  <c r="S279" i="4"/>
  <c r="S278" i="4"/>
  <c r="S277" i="4"/>
  <c r="S276" i="4"/>
  <c r="S275" i="4"/>
  <c r="S274" i="4"/>
  <c r="S273" i="4"/>
  <c r="S272" i="4"/>
  <c r="S271" i="4"/>
  <c r="S270" i="4"/>
  <c r="S269" i="4"/>
  <c r="S268" i="4"/>
  <c r="S267" i="4"/>
  <c r="S266" i="4"/>
  <c r="S265" i="4"/>
  <c r="S264" i="4"/>
  <c r="S263" i="4"/>
  <c r="S262" i="4"/>
  <c r="S261" i="4"/>
  <c r="S260" i="4"/>
  <c r="S259" i="4"/>
  <c r="S258" i="4"/>
  <c r="S257" i="4"/>
  <c r="S256" i="4"/>
  <c r="S255" i="4"/>
  <c r="S254" i="4"/>
  <c r="S253" i="4"/>
  <c r="S252" i="4"/>
  <c r="S251" i="4"/>
  <c r="S250" i="4"/>
  <c r="S249" i="4"/>
  <c r="S248" i="4"/>
  <c r="S247" i="4"/>
  <c r="S246" i="4"/>
  <c r="S245" i="4"/>
  <c r="S244" i="4"/>
  <c r="S243" i="4"/>
  <c r="S242" i="4"/>
  <c r="S241" i="4"/>
  <c r="S240" i="4"/>
  <c r="S239" i="4"/>
  <c r="S238" i="4"/>
  <c r="S237" i="4"/>
  <c r="S236" i="4"/>
  <c r="S235" i="4"/>
  <c r="S234" i="4"/>
  <c r="S233" i="4"/>
  <c r="S232" i="4"/>
  <c r="S231" i="4"/>
  <c r="S230" i="4"/>
  <c r="S229" i="4"/>
  <c r="S228" i="4"/>
  <c r="S227" i="4"/>
  <c r="S226" i="4"/>
  <c r="S225" i="4"/>
  <c r="S224" i="4"/>
  <c r="S223" i="4"/>
  <c r="S222" i="4"/>
  <c r="S221" i="4"/>
  <c r="S220" i="4"/>
  <c r="S219" i="4"/>
  <c r="S218" i="4"/>
  <c r="S217" i="4"/>
  <c r="S216" i="4"/>
  <c r="S215" i="4"/>
  <c r="S214" i="4"/>
  <c r="S213" i="4"/>
  <c r="S212" i="4"/>
  <c r="S211" i="4"/>
  <c r="S210" i="4"/>
  <c r="S209" i="4"/>
  <c r="S208" i="4"/>
  <c r="S207" i="4"/>
  <c r="S206" i="4"/>
  <c r="S205" i="4"/>
  <c r="S204" i="4"/>
  <c r="S203" i="4"/>
  <c r="S202" i="4"/>
  <c r="S201" i="4"/>
  <c r="S200" i="4"/>
  <c r="S199" i="4"/>
  <c r="S198" i="4"/>
  <c r="S197" i="4"/>
  <c r="S196" i="4"/>
  <c r="S195" i="4"/>
  <c r="S194" i="4"/>
  <c r="S193" i="4"/>
  <c r="S192" i="4"/>
  <c r="S191" i="4"/>
  <c r="S190" i="4"/>
  <c r="S189" i="4"/>
  <c r="S188" i="4"/>
  <c r="S187" i="4"/>
  <c r="S186" i="4"/>
  <c r="S185" i="4"/>
  <c r="S184" i="4"/>
  <c r="S183" i="4"/>
  <c r="S182" i="4"/>
  <c r="S181" i="4"/>
  <c r="S180" i="4"/>
  <c r="S179" i="4"/>
  <c r="S178" i="4"/>
  <c r="S177" i="4"/>
  <c r="S176" i="4"/>
  <c r="S175" i="4"/>
  <c r="S174" i="4"/>
  <c r="S173" i="4"/>
  <c r="S172" i="4"/>
  <c r="S171" i="4"/>
  <c r="S170" i="4"/>
  <c r="S169" i="4"/>
  <c r="S168" i="4"/>
  <c r="S167" i="4"/>
  <c r="S166" i="4"/>
  <c r="S165" i="4"/>
  <c r="S164" i="4"/>
  <c r="S163" i="4"/>
  <c r="S162" i="4"/>
  <c r="S161" i="4"/>
  <c r="S160" i="4"/>
  <c r="S159" i="4"/>
  <c r="S158" i="4"/>
  <c r="S157" i="4"/>
  <c r="S156" i="4"/>
  <c r="S155" i="4"/>
  <c r="S154" i="4"/>
  <c r="S153" i="4"/>
  <c r="S152" i="4"/>
  <c r="S151" i="4"/>
  <c r="S150" i="4"/>
  <c r="S149" i="4"/>
  <c r="S148" i="4"/>
  <c r="S147" i="4"/>
  <c r="S146" i="4"/>
  <c r="S145" i="4"/>
  <c r="S144" i="4"/>
  <c r="S143" i="4"/>
  <c r="S142" i="4"/>
  <c r="S141" i="4"/>
  <c r="S140" i="4"/>
  <c r="S139" i="4"/>
  <c r="S138" i="4"/>
  <c r="S137" i="4"/>
  <c r="S136" i="4"/>
  <c r="S135" i="4"/>
  <c r="S134" i="4"/>
  <c r="S133" i="4"/>
  <c r="S132" i="4"/>
  <c r="S131" i="4"/>
  <c r="S130" i="4"/>
  <c r="S129" i="4"/>
  <c r="S128" i="4"/>
  <c r="S127" i="4"/>
  <c r="S126" i="4"/>
  <c r="S125" i="4"/>
  <c r="S124" i="4"/>
  <c r="S123" i="4"/>
  <c r="S122" i="4"/>
  <c r="S121" i="4"/>
  <c r="S120" i="4"/>
  <c r="S119" i="4"/>
  <c r="S118" i="4"/>
  <c r="S117" i="4"/>
  <c r="S116" i="4"/>
  <c r="S115" i="4"/>
  <c r="S114" i="4"/>
  <c r="S113" i="4"/>
  <c r="S112" i="4"/>
  <c r="S111" i="4"/>
  <c r="S110" i="4"/>
  <c r="S109" i="4"/>
  <c r="S108" i="4"/>
  <c r="S107" i="4"/>
  <c r="S106" i="4"/>
  <c r="S105" i="4"/>
  <c r="S104" i="4"/>
  <c r="S103" i="4"/>
  <c r="S102" i="4"/>
  <c r="S101" i="4"/>
  <c r="S100" i="4"/>
  <c r="S99" i="4"/>
  <c r="S98" i="4"/>
  <c r="S97" i="4"/>
  <c r="S96" i="4"/>
  <c r="S95" i="4"/>
  <c r="S94" i="4"/>
  <c r="S93" i="4"/>
  <c r="S92" i="4"/>
  <c r="S91" i="4"/>
  <c r="S90" i="4"/>
  <c r="S89" i="4"/>
  <c r="S88" i="4"/>
  <c r="S87" i="4"/>
  <c r="S86" i="4"/>
  <c r="S85" i="4"/>
  <c r="S84" i="4"/>
  <c r="S83" i="4"/>
  <c r="S82" i="4"/>
  <c r="S81" i="4"/>
  <c r="S80" i="4"/>
  <c r="S79" i="4"/>
  <c r="S78" i="4"/>
  <c r="S77" i="4"/>
  <c r="S76" i="4"/>
  <c r="S75" i="4"/>
  <c r="S74" i="4"/>
  <c r="S73" i="4"/>
  <c r="S72" i="4"/>
  <c r="S71" i="4"/>
  <c r="S70" i="4"/>
  <c r="S69" i="4"/>
  <c r="S68" i="4"/>
  <c r="S67" i="4"/>
  <c r="S66" i="4"/>
  <c r="S65" i="4"/>
  <c r="S64" i="4"/>
  <c r="S63" i="4"/>
  <c r="S62" i="4"/>
  <c r="S61" i="4"/>
  <c r="S60" i="4"/>
  <c r="S59" i="4"/>
  <c r="S58" i="4"/>
  <c r="S57" i="4"/>
  <c r="S56" i="4"/>
  <c r="S55" i="4"/>
  <c r="S54" i="4"/>
  <c r="S53" i="4"/>
  <c r="S52" i="4"/>
  <c r="S51" i="4"/>
  <c r="S50" i="4"/>
  <c r="S49" i="4"/>
  <c r="S48" i="4"/>
  <c r="S47" i="4"/>
  <c r="S46" i="4"/>
  <c r="S45" i="4"/>
  <c r="S44" i="4"/>
  <c r="S43" i="4"/>
  <c r="S42" i="4"/>
  <c r="S41" i="4"/>
  <c r="S40" i="4"/>
  <c r="S39" i="4"/>
  <c r="S38" i="4"/>
  <c r="S37" i="4"/>
  <c r="S36" i="4"/>
  <c r="S35" i="4"/>
  <c r="S34" i="4"/>
  <c r="S33" i="4"/>
  <c r="S32" i="4"/>
  <c r="S31" i="4"/>
  <c r="S30" i="4"/>
  <c r="S29" i="4"/>
  <c r="S28" i="4"/>
  <c r="S27" i="4"/>
  <c r="S26" i="4"/>
  <c r="S25" i="4"/>
  <c r="S24" i="4"/>
  <c r="S23" i="4"/>
  <c r="S22" i="4"/>
  <c r="S21" i="4"/>
  <c r="S20" i="4"/>
  <c r="S19" i="4"/>
  <c r="S18" i="4"/>
  <c r="S17" i="4"/>
  <c r="S16" i="4"/>
  <c r="S15" i="4"/>
  <c r="S14" i="4"/>
  <c r="S13" i="4"/>
  <c r="S12" i="4"/>
  <c r="S11" i="4"/>
  <c r="S10" i="4"/>
  <c r="S9" i="4"/>
  <c r="S8" i="4"/>
  <c r="S7" i="4"/>
  <c r="S6" i="4"/>
  <c r="S4" i="4"/>
  <c r="S5" i="4"/>
  <c r="U753" i="4"/>
  <c r="U752" i="4"/>
  <c r="U751" i="4"/>
  <c r="U750" i="4"/>
  <c r="U749" i="4"/>
  <c r="U748" i="4"/>
  <c r="U747" i="4"/>
  <c r="U746" i="4"/>
  <c r="U745" i="4"/>
  <c r="U744" i="4"/>
  <c r="U743" i="4"/>
  <c r="U742" i="4"/>
  <c r="U741" i="4"/>
  <c r="U740" i="4"/>
  <c r="U739" i="4"/>
  <c r="U738" i="4"/>
  <c r="U737" i="4"/>
  <c r="U736" i="4"/>
  <c r="U735" i="4"/>
  <c r="U734" i="4"/>
  <c r="U733" i="4"/>
  <c r="U732" i="4"/>
  <c r="U731" i="4"/>
  <c r="U730" i="4"/>
  <c r="U729" i="4"/>
  <c r="U728" i="4"/>
  <c r="U727" i="4"/>
  <c r="U726" i="4"/>
  <c r="U725" i="4"/>
  <c r="U724" i="4"/>
  <c r="U723" i="4"/>
  <c r="U722" i="4"/>
  <c r="U721" i="4"/>
  <c r="U720" i="4"/>
  <c r="U719" i="4"/>
  <c r="U718" i="4"/>
  <c r="U717" i="4"/>
  <c r="U716" i="4"/>
  <c r="U715" i="4"/>
  <c r="U714" i="4"/>
  <c r="U713" i="4"/>
  <c r="U712" i="4"/>
  <c r="U711" i="4"/>
  <c r="U710" i="4"/>
  <c r="U709" i="4"/>
  <c r="U708" i="4"/>
  <c r="U707" i="4"/>
  <c r="U706" i="4"/>
  <c r="U705" i="4"/>
  <c r="U704" i="4"/>
  <c r="U703" i="4"/>
  <c r="U702" i="4"/>
  <c r="U701" i="4"/>
  <c r="U700" i="4"/>
  <c r="U699" i="4"/>
  <c r="U698" i="4"/>
  <c r="U697" i="4"/>
  <c r="U696" i="4"/>
  <c r="U695" i="4"/>
  <c r="U694" i="4"/>
  <c r="U693" i="4"/>
  <c r="U692" i="4"/>
  <c r="U691" i="4"/>
  <c r="U690" i="4"/>
  <c r="U689" i="4"/>
  <c r="U688" i="4"/>
  <c r="U687" i="4"/>
  <c r="U686" i="4"/>
  <c r="U685" i="4"/>
  <c r="U684" i="4"/>
  <c r="U683" i="4"/>
  <c r="U682" i="4"/>
  <c r="U681" i="4"/>
  <c r="U680" i="4"/>
  <c r="U679" i="4"/>
  <c r="U678" i="4"/>
  <c r="U677" i="4"/>
  <c r="U676" i="4"/>
  <c r="U675" i="4"/>
  <c r="U674" i="4"/>
  <c r="U673" i="4"/>
  <c r="U672" i="4"/>
  <c r="U671" i="4"/>
  <c r="U670" i="4"/>
  <c r="U669" i="4"/>
  <c r="U668" i="4"/>
  <c r="U667" i="4"/>
  <c r="U666" i="4"/>
  <c r="U665" i="4"/>
  <c r="U664" i="4"/>
  <c r="U663" i="4"/>
  <c r="U662" i="4"/>
  <c r="U661" i="4"/>
  <c r="U660" i="4"/>
  <c r="U659" i="4"/>
  <c r="U658" i="4"/>
  <c r="U657" i="4"/>
  <c r="U656" i="4"/>
  <c r="U655" i="4"/>
  <c r="U654" i="4"/>
  <c r="U653" i="4"/>
  <c r="U652" i="4"/>
  <c r="U651" i="4"/>
  <c r="U650" i="4"/>
  <c r="U649" i="4"/>
  <c r="U648" i="4"/>
  <c r="U647" i="4"/>
  <c r="U646" i="4"/>
  <c r="U645" i="4"/>
  <c r="U644" i="4"/>
  <c r="U643" i="4"/>
  <c r="U642" i="4"/>
  <c r="U641" i="4"/>
  <c r="U640" i="4"/>
  <c r="U639" i="4"/>
  <c r="U638" i="4"/>
  <c r="U637" i="4"/>
  <c r="U636" i="4"/>
  <c r="U635" i="4"/>
  <c r="U634" i="4"/>
  <c r="U633" i="4"/>
  <c r="U632" i="4"/>
  <c r="U631" i="4"/>
  <c r="U630" i="4"/>
  <c r="U629" i="4"/>
  <c r="U628" i="4"/>
  <c r="U627" i="4"/>
  <c r="U626" i="4"/>
  <c r="U625" i="4"/>
  <c r="U624" i="4"/>
  <c r="U623" i="4"/>
  <c r="U622" i="4"/>
  <c r="U621" i="4"/>
  <c r="U620" i="4"/>
  <c r="U619" i="4"/>
  <c r="U618" i="4"/>
  <c r="U617" i="4"/>
  <c r="U616" i="4"/>
  <c r="U615" i="4"/>
  <c r="U614" i="4"/>
  <c r="U613" i="4"/>
  <c r="U612" i="4"/>
  <c r="U611" i="4"/>
  <c r="U610" i="4"/>
  <c r="U609" i="4"/>
  <c r="U608" i="4"/>
  <c r="U607" i="4"/>
  <c r="U606" i="4"/>
  <c r="U605" i="4"/>
  <c r="U604" i="4"/>
  <c r="U603" i="4"/>
  <c r="U602" i="4"/>
  <c r="U601" i="4"/>
  <c r="U600" i="4"/>
  <c r="U599" i="4"/>
  <c r="U598" i="4"/>
  <c r="U597" i="4"/>
  <c r="U596" i="4"/>
  <c r="U595" i="4"/>
  <c r="U594" i="4"/>
  <c r="U593" i="4"/>
  <c r="U592" i="4"/>
  <c r="U591" i="4"/>
  <c r="U590" i="4"/>
  <c r="U589" i="4"/>
  <c r="U588" i="4"/>
  <c r="U587" i="4"/>
  <c r="U586" i="4"/>
  <c r="U585" i="4"/>
  <c r="U584" i="4"/>
  <c r="U583" i="4"/>
  <c r="U582" i="4"/>
  <c r="U581" i="4"/>
  <c r="U580" i="4"/>
  <c r="U579" i="4"/>
  <c r="U578" i="4"/>
  <c r="U577" i="4"/>
  <c r="U576" i="4"/>
  <c r="U575" i="4"/>
  <c r="U574" i="4"/>
  <c r="U573" i="4"/>
  <c r="U572" i="4"/>
  <c r="U571" i="4"/>
  <c r="U570" i="4"/>
  <c r="U569" i="4"/>
  <c r="U568" i="4"/>
  <c r="U567" i="4"/>
  <c r="U566" i="4"/>
  <c r="U565" i="4"/>
  <c r="U564" i="4"/>
  <c r="U563" i="4"/>
  <c r="U562" i="4"/>
  <c r="U561" i="4"/>
  <c r="U560" i="4"/>
  <c r="U559" i="4"/>
  <c r="U558" i="4"/>
  <c r="U557" i="4"/>
  <c r="U556" i="4"/>
  <c r="U555" i="4"/>
  <c r="U554" i="4"/>
  <c r="U553" i="4"/>
  <c r="U552" i="4"/>
  <c r="U551" i="4"/>
  <c r="U550" i="4"/>
  <c r="U549" i="4"/>
  <c r="U548" i="4"/>
  <c r="U547" i="4"/>
  <c r="U546" i="4"/>
  <c r="U545" i="4"/>
  <c r="U544" i="4"/>
  <c r="U543" i="4"/>
  <c r="U542" i="4"/>
  <c r="U541" i="4"/>
  <c r="U540" i="4"/>
  <c r="U539" i="4"/>
  <c r="U538" i="4"/>
  <c r="U537" i="4"/>
  <c r="U536" i="4"/>
  <c r="U535" i="4"/>
  <c r="U534" i="4"/>
  <c r="U533" i="4"/>
  <c r="U532" i="4"/>
  <c r="U531" i="4"/>
  <c r="U530" i="4"/>
  <c r="U529" i="4"/>
  <c r="U528" i="4"/>
  <c r="U527" i="4"/>
  <c r="U526" i="4"/>
  <c r="U525" i="4"/>
  <c r="U524" i="4"/>
  <c r="U523" i="4"/>
  <c r="U522" i="4"/>
  <c r="U521" i="4"/>
  <c r="U520" i="4"/>
  <c r="U519" i="4"/>
  <c r="U518" i="4"/>
  <c r="U517" i="4"/>
  <c r="U516" i="4"/>
  <c r="U515" i="4"/>
  <c r="U514" i="4"/>
  <c r="U513" i="4"/>
  <c r="U512" i="4"/>
  <c r="U511" i="4"/>
  <c r="U510" i="4"/>
  <c r="U509" i="4"/>
  <c r="U508" i="4"/>
  <c r="U507" i="4"/>
  <c r="U506" i="4"/>
  <c r="U505" i="4"/>
  <c r="U504" i="4"/>
  <c r="U503" i="4"/>
  <c r="U502" i="4"/>
  <c r="U501" i="4"/>
  <c r="U500" i="4"/>
  <c r="U499" i="4"/>
  <c r="U498" i="4"/>
  <c r="U497" i="4"/>
  <c r="U496" i="4"/>
  <c r="U495" i="4"/>
  <c r="U494" i="4"/>
  <c r="U493" i="4"/>
  <c r="U492" i="4"/>
  <c r="U491" i="4"/>
  <c r="U490" i="4"/>
  <c r="U489" i="4"/>
  <c r="U488" i="4"/>
  <c r="U487" i="4"/>
  <c r="U486" i="4"/>
  <c r="U485" i="4"/>
  <c r="U484" i="4"/>
  <c r="U483" i="4"/>
  <c r="U482" i="4"/>
  <c r="U481" i="4"/>
  <c r="U480" i="4"/>
  <c r="U479" i="4"/>
  <c r="U478" i="4"/>
  <c r="U477" i="4"/>
  <c r="U476" i="4"/>
  <c r="U475" i="4"/>
  <c r="U474" i="4"/>
  <c r="U473" i="4"/>
  <c r="U472" i="4"/>
  <c r="U471" i="4"/>
  <c r="U470" i="4"/>
  <c r="U469" i="4"/>
  <c r="U468" i="4"/>
  <c r="U467" i="4"/>
  <c r="U466" i="4"/>
  <c r="U465" i="4"/>
  <c r="U464" i="4"/>
  <c r="U463" i="4"/>
  <c r="U462" i="4"/>
  <c r="U461" i="4"/>
  <c r="U460" i="4"/>
  <c r="U459" i="4"/>
  <c r="U458" i="4"/>
  <c r="U457" i="4"/>
  <c r="U456" i="4"/>
  <c r="U455" i="4"/>
  <c r="U454" i="4"/>
  <c r="U453" i="4"/>
  <c r="U452" i="4"/>
  <c r="U451" i="4"/>
  <c r="U450" i="4"/>
  <c r="U449" i="4"/>
  <c r="U448" i="4"/>
  <c r="U447" i="4"/>
  <c r="U446" i="4"/>
  <c r="U445" i="4"/>
  <c r="U444" i="4"/>
  <c r="U443" i="4"/>
  <c r="U442" i="4"/>
  <c r="U441" i="4"/>
  <c r="U440" i="4"/>
  <c r="U439" i="4"/>
  <c r="U438" i="4"/>
  <c r="U437" i="4"/>
  <c r="U436" i="4"/>
  <c r="U435" i="4"/>
  <c r="U434" i="4"/>
  <c r="U433" i="4"/>
  <c r="U432" i="4"/>
  <c r="U431" i="4"/>
  <c r="U430" i="4"/>
  <c r="U429" i="4"/>
  <c r="U428" i="4"/>
  <c r="U427" i="4"/>
  <c r="U426" i="4"/>
  <c r="U425" i="4"/>
  <c r="U424" i="4"/>
  <c r="U423" i="4"/>
  <c r="U422" i="4"/>
  <c r="U421" i="4"/>
  <c r="U420" i="4"/>
  <c r="U419" i="4"/>
  <c r="U418" i="4"/>
  <c r="U417" i="4"/>
  <c r="U416" i="4"/>
  <c r="U415" i="4"/>
  <c r="U414" i="4"/>
  <c r="U413" i="4"/>
  <c r="U412" i="4"/>
  <c r="U411" i="4"/>
  <c r="U410" i="4"/>
  <c r="U409" i="4"/>
  <c r="U408" i="4"/>
  <c r="U407" i="4"/>
  <c r="U406" i="4"/>
  <c r="U405" i="4"/>
  <c r="U404" i="4"/>
  <c r="U403" i="4"/>
  <c r="U402" i="4"/>
  <c r="U401" i="4"/>
  <c r="U400" i="4"/>
  <c r="U399" i="4"/>
  <c r="U398" i="4"/>
  <c r="U397" i="4"/>
  <c r="U396" i="4"/>
  <c r="U395" i="4"/>
  <c r="U394" i="4"/>
  <c r="U393" i="4"/>
  <c r="U392" i="4"/>
  <c r="U391" i="4"/>
  <c r="U390" i="4"/>
  <c r="U389" i="4"/>
  <c r="U388" i="4"/>
  <c r="U387" i="4"/>
  <c r="U386" i="4"/>
  <c r="U385" i="4"/>
  <c r="U384" i="4"/>
  <c r="U383" i="4"/>
  <c r="U382" i="4"/>
  <c r="U381" i="4"/>
  <c r="U380" i="4"/>
  <c r="U379" i="4"/>
  <c r="U378" i="4"/>
  <c r="U377" i="4"/>
  <c r="U376" i="4"/>
  <c r="U375" i="4"/>
  <c r="U374" i="4"/>
  <c r="U373" i="4"/>
  <c r="U372" i="4"/>
  <c r="U371" i="4"/>
  <c r="U370" i="4"/>
  <c r="U369" i="4"/>
  <c r="U368" i="4"/>
  <c r="U367" i="4"/>
  <c r="U366" i="4"/>
  <c r="U365" i="4"/>
  <c r="U364" i="4"/>
  <c r="U363" i="4"/>
  <c r="U362" i="4"/>
  <c r="U361" i="4"/>
  <c r="U360" i="4"/>
  <c r="U359" i="4"/>
  <c r="U358" i="4"/>
  <c r="U357" i="4"/>
  <c r="U356" i="4"/>
  <c r="U355" i="4"/>
  <c r="U354" i="4"/>
  <c r="U353" i="4"/>
  <c r="U352" i="4"/>
  <c r="U351" i="4"/>
  <c r="U350" i="4"/>
  <c r="U349" i="4"/>
  <c r="U348" i="4"/>
  <c r="U347" i="4"/>
  <c r="U346" i="4"/>
  <c r="U345" i="4"/>
  <c r="U344" i="4"/>
  <c r="U343" i="4"/>
  <c r="U342" i="4"/>
  <c r="U341" i="4"/>
  <c r="U340" i="4"/>
  <c r="U339" i="4"/>
  <c r="U338" i="4"/>
  <c r="U337" i="4"/>
  <c r="U336" i="4"/>
  <c r="U335" i="4"/>
  <c r="U334" i="4"/>
  <c r="U333" i="4"/>
  <c r="U332" i="4"/>
  <c r="U331" i="4"/>
  <c r="U330" i="4"/>
  <c r="U329" i="4"/>
  <c r="U328" i="4"/>
  <c r="U327" i="4"/>
  <c r="U326" i="4"/>
  <c r="U325" i="4"/>
  <c r="U324" i="4"/>
  <c r="U323" i="4"/>
  <c r="U322" i="4"/>
  <c r="U321" i="4"/>
  <c r="U320" i="4"/>
  <c r="U319" i="4"/>
  <c r="U318" i="4"/>
  <c r="U317" i="4"/>
  <c r="U316" i="4"/>
  <c r="U315" i="4"/>
  <c r="U314" i="4"/>
  <c r="U313" i="4"/>
  <c r="U312" i="4"/>
  <c r="U311" i="4"/>
  <c r="U310" i="4"/>
  <c r="U309" i="4"/>
  <c r="U308" i="4"/>
  <c r="U307" i="4"/>
  <c r="U306" i="4"/>
  <c r="U305" i="4"/>
  <c r="U304" i="4"/>
  <c r="U303" i="4"/>
  <c r="U302" i="4"/>
  <c r="U301" i="4"/>
  <c r="U300" i="4"/>
  <c r="U299" i="4"/>
  <c r="U298" i="4"/>
  <c r="U297" i="4"/>
  <c r="U296" i="4"/>
  <c r="U295" i="4"/>
  <c r="U294" i="4"/>
  <c r="U293" i="4"/>
  <c r="U292" i="4"/>
  <c r="U291" i="4"/>
  <c r="U290" i="4"/>
  <c r="U289" i="4"/>
  <c r="U288" i="4"/>
  <c r="U287" i="4"/>
  <c r="U286" i="4"/>
  <c r="U285" i="4"/>
  <c r="U284" i="4"/>
  <c r="U283" i="4"/>
  <c r="U282" i="4"/>
  <c r="U281" i="4"/>
  <c r="U280" i="4"/>
  <c r="U279" i="4"/>
  <c r="U278" i="4"/>
  <c r="U277" i="4"/>
  <c r="U276" i="4"/>
  <c r="U275" i="4"/>
  <c r="U274" i="4"/>
  <c r="U273" i="4"/>
  <c r="U272" i="4"/>
  <c r="U271" i="4"/>
  <c r="U270" i="4"/>
  <c r="U269" i="4"/>
  <c r="U268" i="4"/>
  <c r="U267" i="4"/>
  <c r="U266" i="4"/>
  <c r="U265" i="4"/>
  <c r="U264" i="4"/>
  <c r="U263" i="4"/>
  <c r="U262" i="4"/>
  <c r="U261" i="4"/>
  <c r="U260" i="4"/>
  <c r="U259" i="4"/>
  <c r="U258" i="4"/>
  <c r="U257" i="4"/>
  <c r="U256" i="4"/>
  <c r="U255" i="4"/>
  <c r="U254" i="4"/>
  <c r="U253" i="4"/>
  <c r="U252" i="4"/>
  <c r="U251" i="4"/>
  <c r="U250" i="4"/>
  <c r="U249" i="4"/>
  <c r="U248" i="4"/>
  <c r="U247" i="4"/>
  <c r="U246" i="4"/>
  <c r="U245" i="4"/>
  <c r="U244" i="4"/>
  <c r="U243" i="4"/>
  <c r="U242" i="4"/>
  <c r="U241" i="4"/>
  <c r="U240" i="4"/>
  <c r="U239" i="4"/>
  <c r="U238" i="4"/>
  <c r="U237" i="4"/>
  <c r="U236" i="4"/>
  <c r="U235" i="4"/>
  <c r="U234" i="4"/>
  <c r="U233" i="4"/>
  <c r="U232" i="4"/>
  <c r="U231" i="4"/>
  <c r="U230" i="4"/>
  <c r="U229" i="4"/>
  <c r="U228" i="4"/>
  <c r="U227" i="4"/>
  <c r="U226" i="4"/>
  <c r="U225" i="4"/>
  <c r="U224" i="4"/>
  <c r="U223" i="4"/>
  <c r="U222" i="4"/>
  <c r="U221" i="4"/>
  <c r="U220" i="4"/>
  <c r="U219" i="4"/>
  <c r="U218" i="4"/>
  <c r="U217" i="4"/>
  <c r="U216" i="4"/>
  <c r="U215" i="4"/>
  <c r="U214" i="4"/>
  <c r="U213" i="4"/>
  <c r="U212" i="4"/>
  <c r="U211" i="4"/>
  <c r="U210" i="4"/>
  <c r="U209" i="4"/>
  <c r="U208" i="4"/>
  <c r="U207" i="4"/>
  <c r="U206" i="4"/>
  <c r="U205" i="4"/>
  <c r="U204" i="4"/>
  <c r="U203" i="4"/>
  <c r="U202" i="4"/>
  <c r="U201" i="4"/>
  <c r="U200" i="4"/>
  <c r="U199" i="4"/>
  <c r="U198" i="4"/>
  <c r="U197" i="4"/>
  <c r="U196" i="4"/>
  <c r="U195" i="4"/>
  <c r="U194" i="4"/>
  <c r="U193" i="4"/>
  <c r="U192" i="4"/>
  <c r="U191" i="4"/>
  <c r="U190" i="4"/>
  <c r="U189" i="4"/>
  <c r="U188" i="4"/>
  <c r="U187" i="4"/>
  <c r="U186" i="4"/>
  <c r="U185" i="4"/>
  <c r="U184" i="4"/>
  <c r="U183" i="4"/>
  <c r="U182" i="4"/>
  <c r="U181" i="4"/>
  <c r="U180" i="4"/>
  <c r="U179" i="4"/>
  <c r="U178" i="4"/>
  <c r="U177" i="4"/>
  <c r="U176" i="4"/>
  <c r="U175" i="4"/>
  <c r="U174" i="4"/>
  <c r="U173" i="4"/>
  <c r="U172" i="4"/>
  <c r="U171" i="4"/>
  <c r="U170" i="4"/>
  <c r="U169" i="4"/>
  <c r="U168" i="4"/>
  <c r="U167" i="4"/>
  <c r="U166" i="4"/>
  <c r="U165" i="4"/>
  <c r="U164" i="4"/>
  <c r="U163" i="4"/>
  <c r="U162" i="4"/>
  <c r="U161" i="4"/>
  <c r="U160" i="4"/>
  <c r="U159" i="4"/>
  <c r="U158" i="4"/>
  <c r="U157" i="4"/>
  <c r="U156" i="4"/>
  <c r="U155" i="4"/>
  <c r="U154" i="4"/>
  <c r="U153" i="4"/>
  <c r="U152" i="4"/>
  <c r="U151" i="4"/>
  <c r="U150" i="4"/>
  <c r="U149" i="4"/>
  <c r="U148" i="4"/>
  <c r="U147" i="4"/>
  <c r="U146" i="4"/>
  <c r="U145" i="4"/>
  <c r="U144" i="4"/>
  <c r="U143" i="4"/>
  <c r="U142" i="4"/>
  <c r="U141" i="4"/>
  <c r="U140" i="4"/>
  <c r="U139" i="4"/>
  <c r="U138" i="4"/>
  <c r="U137" i="4"/>
  <c r="U136" i="4"/>
  <c r="U135" i="4"/>
  <c r="U134" i="4"/>
  <c r="U133" i="4"/>
  <c r="U132" i="4"/>
  <c r="U131" i="4"/>
  <c r="U130" i="4"/>
  <c r="U129" i="4"/>
  <c r="U128" i="4"/>
  <c r="U127" i="4"/>
  <c r="U126" i="4"/>
  <c r="U125" i="4"/>
  <c r="U124" i="4"/>
  <c r="U123" i="4"/>
  <c r="U122" i="4"/>
  <c r="U121" i="4"/>
  <c r="U120" i="4"/>
  <c r="U119" i="4"/>
  <c r="U118" i="4"/>
  <c r="U117" i="4"/>
  <c r="U116" i="4"/>
  <c r="U115" i="4"/>
  <c r="U114" i="4"/>
  <c r="U113" i="4"/>
  <c r="U112" i="4"/>
  <c r="U111" i="4"/>
  <c r="U110" i="4"/>
  <c r="U109" i="4"/>
  <c r="U108" i="4"/>
  <c r="U107" i="4"/>
  <c r="U106" i="4"/>
  <c r="U105" i="4"/>
  <c r="U104" i="4"/>
  <c r="U103" i="4"/>
  <c r="U102" i="4"/>
  <c r="U101" i="4"/>
  <c r="U100" i="4"/>
  <c r="U99" i="4"/>
  <c r="U98" i="4"/>
  <c r="U97" i="4"/>
  <c r="U96" i="4"/>
  <c r="U95" i="4"/>
  <c r="U94" i="4"/>
  <c r="U93" i="4"/>
  <c r="U92" i="4"/>
  <c r="U91" i="4"/>
  <c r="U90" i="4"/>
  <c r="U89" i="4"/>
  <c r="U88" i="4"/>
  <c r="U87" i="4"/>
  <c r="U86" i="4"/>
  <c r="U85" i="4"/>
  <c r="U84" i="4"/>
  <c r="U83" i="4"/>
  <c r="U82" i="4"/>
  <c r="U81" i="4"/>
  <c r="U80" i="4"/>
  <c r="U79" i="4"/>
  <c r="U78" i="4"/>
  <c r="U77" i="4"/>
  <c r="U76" i="4"/>
  <c r="U75" i="4"/>
  <c r="U74" i="4"/>
  <c r="U73" i="4"/>
  <c r="U72" i="4"/>
  <c r="U71" i="4"/>
  <c r="U70" i="4"/>
  <c r="U69" i="4"/>
  <c r="U68" i="4"/>
  <c r="U67" i="4"/>
  <c r="U66" i="4"/>
  <c r="U65" i="4"/>
  <c r="U64" i="4"/>
  <c r="U63" i="4"/>
  <c r="U62" i="4"/>
  <c r="U61" i="4"/>
  <c r="U60" i="4"/>
  <c r="U59" i="4"/>
  <c r="U58" i="4"/>
  <c r="U57" i="4"/>
  <c r="U56" i="4"/>
  <c r="U55" i="4"/>
  <c r="U54" i="4"/>
  <c r="U53" i="4"/>
  <c r="U52" i="4"/>
  <c r="U51" i="4"/>
  <c r="U50" i="4"/>
  <c r="U49" i="4"/>
  <c r="U48" i="4"/>
  <c r="U47" i="4"/>
  <c r="U46" i="4"/>
  <c r="U45" i="4"/>
  <c r="U44" i="4"/>
  <c r="U43" i="4"/>
  <c r="U42" i="4"/>
  <c r="U41" i="4"/>
  <c r="U40" i="4"/>
  <c r="U39" i="4"/>
  <c r="U38" i="4"/>
  <c r="U37" i="4"/>
  <c r="U36" i="4"/>
  <c r="U35" i="4"/>
  <c r="U34" i="4"/>
  <c r="U33" i="4"/>
  <c r="U32" i="4"/>
  <c r="U31" i="4"/>
  <c r="U30" i="4"/>
  <c r="U29" i="4"/>
  <c r="U28" i="4"/>
  <c r="U27" i="4"/>
  <c r="U26" i="4"/>
  <c r="U25" i="4"/>
  <c r="U24" i="4"/>
  <c r="U23" i="4"/>
  <c r="U22" i="4"/>
  <c r="U21" i="4"/>
  <c r="U20" i="4"/>
  <c r="U19" i="4"/>
  <c r="U18" i="4"/>
  <c r="U17" i="4"/>
  <c r="U16" i="4"/>
  <c r="U15" i="4"/>
  <c r="U14" i="4"/>
  <c r="U13" i="4"/>
  <c r="U12" i="4"/>
  <c r="U11" i="4"/>
  <c r="U10" i="4"/>
  <c r="U9" i="4"/>
  <c r="U8" i="4"/>
  <c r="U7" i="4"/>
  <c r="U6" i="4"/>
  <c r="V753" i="4"/>
  <c r="V752" i="4"/>
  <c r="V751" i="4"/>
  <c r="V750" i="4"/>
  <c r="V749" i="4"/>
  <c r="V748" i="4"/>
  <c r="V747" i="4"/>
  <c r="V746" i="4"/>
  <c r="V745" i="4"/>
  <c r="V744" i="4"/>
  <c r="V743" i="4"/>
  <c r="V742" i="4"/>
  <c r="V741" i="4"/>
  <c r="V740" i="4"/>
  <c r="V739" i="4"/>
  <c r="V738" i="4"/>
  <c r="V737" i="4"/>
  <c r="V736" i="4"/>
  <c r="V735" i="4"/>
  <c r="V734" i="4"/>
  <c r="V733" i="4"/>
  <c r="V732" i="4"/>
  <c r="V731" i="4"/>
  <c r="V730" i="4"/>
  <c r="V729" i="4"/>
  <c r="V728" i="4"/>
  <c r="V727" i="4"/>
  <c r="V726" i="4"/>
  <c r="V725" i="4"/>
  <c r="V724" i="4"/>
  <c r="V723" i="4"/>
  <c r="V722" i="4"/>
  <c r="V721" i="4"/>
  <c r="V720" i="4"/>
  <c r="V719" i="4"/>
  <c r="V718" i="4"/>
  <c r="V717" i="4"/>
  <c r="V716" i="4"/>
  <c r="V715" i="4"/>
  <c r="V714" i="4"/>
  <c r="V713" i="4"/>
  <c r="V712" i="4"/>
  <c r="V711" i="4"/>
  <c r="V710" i="4"/>
  <c r="V709" i="4"/>
  <c r="V708" i="4"/>
  <c r="V707" i="4"/>
  <c r="V706" i="4"/>
  <c r="V705" i="4"/>
  <c r="V704" i="4"/>
  <c r="V703" i="4"/>
  <c r="V702" i="4"/>
  <c r="V701" i="4"/>
  <c r="V700" i="4"/>
  <c r="V699" i="4"/>
  <c r="V698" i="4"/>
  <c r="V697" i="4"/>
  <c r="V696" i="4"/>
  <c r="V695" i="4"/>
  <c r="V694" i="4"/>
  <c r="V693" i="4"/>
  <c r="V692" i="4"/>
  <c r="V691" i="4"/>
  <c r="V690" i="4"/>
  <c r="V689" i="4"/>
  <c r="V688" i="4"/>
  <c r="V687" i="4"/>
  <c r="V686" i="4"/>
  <c r="V685" i="4"/>
  <c r="V684" i="4"/>
  <c r="V683" i="4"/>
  <c r="V682" i="4"/>
  <c r="V681" i="4"/>
  <c r="V680" i="4"/>
  <c r="V679" i="4"/>
  <c r="V678" i="4"/>
  <c r="V677" i="4"/>
  <c r="V676" i="4"/>
  <c r="V675" i="4"/>
  <c r="V674" i="4"/>
  <c r="V673" i="4"/>
  <c r="V672" i="4"/>
  <c r="V671" i="4"/>
  <c r="V670" i="4"/>
  <c r="V669" i="4"/>
  <c r="V668" i="4"/>
  <c r="V667" i="4"/>
  <c r="V666" i="4"/>
  <c r="V665" i="4"/>
  <c r="V664" i="4"/>
  <c r="V663" i="4"/>
  <c r="V662" i="4"/>
  <c r="V661" i="4"/>
  <c r="V660" i="4"/>
  <c r="V659" i="4"/>
  <c r="V658" i="4"/>
  <c r="V657" i="4"/>
  <c r="V656" i="4"/>
  <c r="V655" i="4"/>
  <c r="V654" i="4"/>
  <c r="V653" i="4"/>
  <c r="V652" i="4"/>
  <c r="V651" i="4"/>
  <c r="V650" i="4"/>
  <c r="V649" i="4"/>
  <c r="V648" i="4"/>
  <c r="V647" i="4"/>
  <c r="V646" i="4"/>
  <c r="V645" i="4"/>
  <c r="V644" i="4"/>
  <c r="V643" i="4"/>
  <c r="V642" i="4"/>
  <c r="V641" i="4"/>
  <c r="V640" i="4"/>
  <c r="V639" i="4"/>
  <c r="V638" i="4"/>
  <c r="V637" i="4"/>
  <c r="V636" i="4"/>
  <c r="V635" i="4"/>
  <c r="V634" i="4"/>
  <c r="V633" i="4"/>
  <c r="V632" i="4"/>
  <c r="V631" i="4"/>
  <c r="V630" i="4"/>
  <c r="V629" i="4"/>
  <c r="V628" i="4"/>
  <c r="V627" i="4"/>
  <c r="V626" i="4"/>
  <c r="V625" i="4"/>
  <c r="V624" i="4"/>
  <c r="V623" i="4"/>
  <c r="V622" i="4"/>
  <c r="V621" i="4"/>
  <c r="V620" i="4"/>
  <c r="V619" i="4"/>
  <c r="V618" i="4"/>
  <c r="V617" i="4"/>
  <c r="V616" i="4"/>
  <c r="V615" i="4"/>
  <c r="V614" i="4"/>
  <c r="V613" i="4"/>
  <c r="V612" i="4"/>
  <c r="V611" i="4"/>
  <c r="V610" i="4"/>
  <c r="V609" i="4"/>
  <c r="V608" i="4"/>
  <c r="V607" i="4"/>
  <c r="V606" i="4"/>
  <c r="V605" i="4"/>
  <c r="V604" i="4"/>
  <c r="V603" i="4"/>
  <c r="V602" i="4"/>
  <c r="V601" i="4"/>
  <c r="V600" i="4"/>
  <c r="V599" i="4"/>
  <c r="V598" i="4"/>
  <c r="V597" i="4"/>
  <c r="V596" i="4"/>
  <c r="V595" i="4"/>
  <c r="V594" i="4"/>
  <c r="V593" i="4"/>
  <c r="V592" i="4"/>
  <c r="V591" i="4"/>
  <c r="V590" i="4"/>
  <c r="V589" i="4"/>
  <c r="V588" i="4"/>
  <c r="V587" i="4"/>
  <c r="V586" i="4"/>
  <c r="V585" i="4"/>
  <c r="V584" i="4"/>
  <c r="V583" i="4"/>
  <c r="V582" i="4"/>
  <c r="V581" i="4"/>
  <c r="V580" i="4"/>
  <c r="V579" i="4"/>
  <c r="V578" i="4"/>
  <c r="V577" i="4"/>
  <c r="V576" i="4"/>
  <c r="V575" i="4"/>
  <c r="V574" i="4"/>
  <c r="V573" i="4"/>
  <c r="V572" i="4"/>
  <c r="V571" i="4"/>
  <c r="V570" i="4"/>
  <c r="V569" i="4"/>
  <c r="V568" i="4"/>
  <c r="V567" i="4"/>
  <c r="V566" i="4"/>
  <c r="V565" i="4"/>
  <c r="V564" i="4"/>
  <c r="V563" i="4"/>
  <c r="V562" i="4"/>
  <c r="V561" i="4"/>
  <c r="V560" i="4"/>
  <c r="V559" i="4"/>
  <c r="V558" i="4"/>
  <c r="V557" i="4"/>
  <c r="V556" i="4"/>
  <c r="V555" i="4"/>
  <c r="V554" i="4"/>
  <c r="V553" i="4"/>
  <c r="V552" i="4"/>
  <c r="V551" i="4"/>
  <c r="V550" i="4"/>
  <c r="V549" i="4"/>
  <c r="V548" i="4"/>
  <c r="V547" i="4"/>
  <c r="V546" i="4"/>
  <c r="V545" i="4"/>
  <c r="V544" i="4"/>
  <c r="V543" i="4"/>
  <c r="V542" i="4"/>
  <c r="V541" i="4"/>
  <c r="V540" i="4"/>
  <c r="V539" i="4"/>
  <c r="V538" i="4"/>
  <c r="V537" i="4"/>
  <c r="V536" i="4"/>
  <c r="V535" i="4"/>
  <c r="V534" i="4"/>
  <c r="V533" i="4"/>
  <c r="V532" i="4"/>
  <c r="V531" i="4"/>
  <c r="V530" i="4"/>
  <c r="V529" i="4"/>
  <c r="V528" i="4"/>
  <c r="V527" i="4"/>
  <c r="V526" i="4"/>
  <c r="V525" i="4"/>
  <c r="V524" i="4"/>
  <c r="V523" i="4"/>
  <c r="V522" i="4"/>
  <c r="V521" i="4"/>
  <c r="V520" i="4"/>
  <c r="V519" i="4"/>
  <c r="V518" i="4"/>
  <c r="V517" i="4"/>
  <c r="V516" i="4"/>
  <c r="V515" i="4"/>
  <c r="V514" i="4"/>
  <c r="V513" i="4"/>
  <c r="V512" i="4"/>
  <c r="V511" i="4"/>
  <c r="V510" i="4"/>
  <c r="V509" i="4"/>
  <c r="V508" i="4"/>
  <c r="V507" i="4"/>
  <c r="V506" i="4"/>
  <c r="V505" i="4"/>
  <c r="V504" i="4"/>
  <c r="V503" i="4"/>
  <c r="V502" i="4"/>
  <c r="V501" i="4"/>
  <c r="V500" i="4"/>
  <c r="V499" i="4"/>
  <c r="V498" i="4"/>
  <c r="V497" i="4"/>
  <c r="V496" i="4"/>
  <c r="V495" i="4"/>
  <c r="V494" i="4"/>
  <c r="V493" i="4"/>
  <c r="V492" i="4"/>
  <c r="V491" i="4"/>
  <c r="V490" i="4"/>
  <c r="V489" i="4"/>
  <c r="V488" i="4"/>
  <c r="V487" i="4"/>
  <c r="V486" i="4"/>
  <c r="V485" i="4"/>
  <c r="V484" i="4"/>
  <c r="V483" i="4"/>
  <c r="V482" i="4"/>
  <c r="V481" i="4"/>
  <c r="V480" i="4"/>
  <c r="V479" i="4"/>
  <c r="V478" i="4"/>
  <c r="V477" i="4"/>
  <c r="V476" i="4"/>
  <c r="V475" i="4"/>
  <c r="V474" i="4"/>
  <c r="V473" i="4"/>
  <c r="V472" i="4"/>
  <c r="V471" i="4"/>
  <c r="V470" i="4"/>
  <c r="V469" i="4"/>
  <c r="V468" i="4"/>
  <c r="V467" i="4"/>
  <c r="V466" i="4"/>
  <c r="V465" i="4"/>
  <c r="V464" i="4"/>
  <c r="V463" i="4"/>
  <c r="V462" i="4"/>
  <c r="V461" i="4"/>
  <c r="V460" i="4"/>
  <c r="V459" i="4"/>
  <c r="V458" i="4"/>
  <c r="V457" i="4"/>
  <c r="V456" i="4"/>
  <c r="V455" i="4"/>
  <c r="V454" i="4"/>
  <c r="V453" i="4"/>
  <c r="V452" i="4"/>
  <c r="V451" i="4"/>
  <c r="V450" i="4"/>
  <c r="V449" i="4"/>
  <c r="V448" i="4"/>
  <c r="V447" i="4"/>
  <c r="V446" i="4"/>
  <c r="V445" i="4"/>
  <c r="V444" i="4"/>
  <c r="V443" i="4"/>
  <c r="V442" i="4"/>
  <c r="V441" i="4"/>
  <c r="V440" i="4"/>
  <c r="V439" i="4"/>
  <c r="V438" i="4"/>
  <c r="V437" i="4"/>
  <c r="V436" i="4"/>
  <c r="V435" i="4"/>
  <c r="V434" i="4"/>
  <c r="V433" i="4"/>
  <c r="V432" i="4"/>
  <c r="V431" i="4"/>
  <c r="V430" i="4"/>
  <c r="V429" i="4"/>
  <c r="V428" i="4"/>
  <c r="V427" i="4"/>
  <c r="V426" i="4"/>
  <c r="V425" i="4"/>
  <c r="V424" i="4"/>
  <c r="V423" i="4"/>
  <c r="V422" i="4"/>
  <c r="V421" i="4"/>
  <c r="V420" i="4"/>
  <c r="V419" i="4"/>
  <c r="V418" i="4"/>
  <c r="V417" i="4"/>
  <c r="V416" i="4"/>
  <c r="V415" i="4"/>
  <c r="V414" i="4"/>
  <c r="V413" i="4"/>
  <c r="V412" i="4"/>
  <c r="V411" i="4"/>
  <c r="V410" i="4"/>
  <c r="V409" i="4"/>
  <c r="V408" i="4"/>
  <c r="V407" i="4"/>
  <c r="V406" i="4"/>
  <c r="V405" i="4"/>
  <c r="V404" i="4"/>
  <c r="V403" i="4"/>
  <c r="V402" i="4"/>
  <c r="V401" i="4"/>
  <c r="V400" i="4"/>
  <c r="V399" i="4"/>
  <c r="V398" i="4"/>
  <c r="V397" i="4"/>
  <c r="V396" i="4"/>
  <c r="V395" i="4"/>
  <c r="V394" i="4"/>
  <c r="V393" i="4"/>
  <c r="V392" i="4"/>
  <c r="V391" i="4"/>
  <c r="V390" i="4"/>
  <c r="V389" i="4"/>
  <c r="V388" i="4"/>
  <c r="V387" i="4"/>
  <c r="V386" i="4"/>
  <c r="V385" i="4"/>
  <c r="V384" i="4"/>
  <c r="V383" i="4"/>
  <c r="V382" i="4"/>
  <c r="V381" i="4"/>
  <c r="V380" i="4"/>
  <c r="V379" i="4"/>
  <c r="V378" i="4"/>
  <c r="V377" i="4"/>
  <c r="V376" i="4"/>
  <c r="V375" i="4"/>
  <c r="V374" i="4"/>
  <c r="V373" i="4"/>
  <c r="V372" i="4"/>
  <c r="V371" i="4"/>
  <c r="V370" i="4"/>
  <c r="V369" i="4"/>
  <c r="V368" i="4"/>
  <c r="V367" i="4"/>
  <c r="V366" i="4"/>
  <c r="V365" i="4"/>
  <c r="V364" i="4"/>
  <c r="V363" i="4"/>
  <c r="V362" i="4"/>
  <c r="V361" i="4"/>
  <c r="V360" i="4"/>
  <c r="V359" i="4"/>
  <c r="V358" i="4"/>
  <c r="V357" i="4"/>
  <c r="V356" i="4"/>
  <c r="V355" i="4"/>
  <c r="V354" i="4"/>
  <c r="V353" i="4"/>
  <c r="V352" i="4"/>
  <c r="V351" i="4"/>
  <c r="V350" i="4"/>
  <c r="V349" i="4"/>
  <c r="V348" i="4"/>
  <c r="V347" i="4"/>
  <c r="V346" i="4"/>
  <c r="V345" i="4"/>
  <c r="V344" i="4"/>
  <c r="V343" i="4"/>
  <c r="V342" i="4"/>
  <c r="V341" i="4"/>
  <c r="V340" i="4"/>
  <c r="V339" i="4"/>
  <c r="V338" i="4"/>
  <c r="V337" i="4"/>
  <c r="V336" i="4"/>
  <c r="V335" i="4"/>
  <c r="V334" i="4"/>
  <c r="V333" i="4"/>
  <c r="V332" i="4"/>
  <c r="V331" i="4"/>
  <c r="V330" i="4"/>
  <c r="V329" i="4"/>
  <c r="V328" i="4"/>
  <c r="V327" i="4"/>
  <c r="V326" i="4"/>
  <c r="V325" i="4"/>
  <c r="V324" i="4"/>
  <c r="V323" i="4"/>
  <c r="V322" i="4"/>
  <c r="V321" i="4"/>
  <c r="V320" i="4"/>
  <c r="V319" i="4"/>
  <c r="V318" i="4"/>
  <c r="V317" i="4"/>
  <c r="V316" i="4"/>
  <c r="V315" i="4"/>
  <c r="V314" i="4"/>
  <c r="V313" i="4"/>
  <c r="V312" i="4"/>
  <c r="V311" i="4"/>
  <c r="V310" i="4"/>
  <c r="V309" i="4"/>
  <c r="V308" i="4"/>
  <c r="V307" i="4"/>
  <c r="V306" i="4"/>
  <c r="V305" i="4"/>
  <c r="V304" i="4"/>
  <c r="V303" i="4"/>
  <c r="V302" i="4"/>
  <c r="V301" i="4"/>
  <c r="V300" i="4"/>
  <c r="V299" i="4"/>
  <c r="V298" i="4"/>
  <c r="V297" i="4"/>
  <c r="V296" i="4"/>
  <c r="V295" i="4"/>
  <c r="V294" i="4"/>
  <c r="V293" i="4"/>
  <c r="V292" i="4"/>
  <c r="V291" i="4"/>
  <c r="V290" i="4"/>
  <c r="V289" i="4"/>
  <c r="V288" i="4"/>
  <c r="V287" i="4"/>
  <c r="V286" i="4"/>
  <c r="V285" i="4"/>
  <c r="V284" i="4"/>
  <c r="V283" i="4"/>
  <c r="V282" i="4"/>
  <c r="V281" i="4"/>
  <c r="V280" i="4"/>
  <c r="V279" i="4"/>
  <c r="V278" i="4"/>
  <c r="V277" i="4"/>
  <c r="V276" i="4"/>
  <c r="V275" i="4"/>
  <c r="V274" i="4"/>
  <c r="V273" i="4"/>
  <c r="V272" i="4"/>
  <c r="V271" i="4"/>
  <c r="V270" i="4"/>
  <c r="V269" i="4"/>
  <c r="V268" i="4"/>
  <c r="V267" i="4"/>
  <c r="V266" i="4"/>
  <c r="V265" i="4"/>
  <c r="V264" i="4"/>
  <c r="V263" i="4"/>
  <c r="V262" i="4"/>
  <c r="V261" i="4"/>
  <c r="V260" i="4"/>
  <c r="V259" i="4"/>
  <c r="V258" i="4"/>
  <c r="V257" i="4"/>
  <c r="V256" i="4"/>
  <c r="V255" i="4"/>
  <c r="V254" i="4"/>
  <c r="V253" i="4"/>
  <c r="V252" i="4"/>
  <c r="V251" i="4"/>
  <c r="V250" i="4"/>
  <c r="V249" i="4"/>
  <c r="V248" i="4"/>
  <c r="V247" i="4"/>
  <c r="V246" i="4"/>
  <c r="V245" i="4"/>
  <c r="V244" i="4"/>
  <c r="V243" i="4"/>
  <c r="V242" i="4"/>
  <c r="V241" i="4"/>
  <c r="V240" i="4"/>
  <c r="V239" i="4"/>
  <c r="V238" i="4"/>
  <c r="V237" i="4"/>
  <c r="V236" i="4"/>
  <c r="V235" i="4"/>
  <c r="V234" i="4"/>
  <c r="V233" i="4"/>
  <c r="V232" i="4"/>
  <c r="V231" i="4"/>
  <c r="V230" i="4"/>
  <c r="V229" i="4"/>
  <c r="V228" i="4"/>
  <c r="V227" i="4"/>
  <c r="V226" i="4"/>
  <c r="V225" i="4"/>
  <c r="V224" i="4"/>
  <c r="V223" i="4"/>
  <c r="V222" i="4"/>
  <c r="V221" i="4"/>
  <c r="V220" i="4"/>
  <c r="V219" i="4"/>
  <c r="V218" i="4"/>
  <c r="V217" i="4"/>
  <c r="V216" i="4"/>
  <c r="V215" i="4"/>
  <c r="V214" i="4"/>
  <c r="V213" i="4"/>
  <c r="V212" i="4"/>
  <c r="V211" i="4"/>
  <c r="V210" i="4"/>
  <c r="V209" i="4"/>
  <c r="V208" i="4"/>
  <c r="V207" i="4"/>
  <c r="V206" i="4"/>
  <c r="V205" i="4"/>
  <c r="V204" i="4"/>
  <c r="V203" i="4"/>
  <c r="V202" i="4"/>
  <c r="V201" i="4"/>
  <c r="V200" i="4"/>
  <c r="V199" i="4"/>
  <c r="V198" i="4"/>
  <c r="V197" i="4"/>
  <c r="V196" i="4"/>
  <c r="V195" i="4"/>
  <c r="V194" i="4"/>
  <c r="V193" i="4"/>
  <c r="V192" i="4"/>
  <c r="V191" i="4"/>
  <c r="V190" i="4"/>
  <c r="V189" i="4"/>
  <c r="V188" i="4"/>
  <c r="V187" i="4"/>
  <c r="V186" i="4"/>
  <c r="V185" i="4"/>
  <c r="V184" i="4"/>
  <c r="V183" i="4"/>
  <c r="V182" i="4"/>
  <c r="V181" i="4"/>
  <c r="V180" i="4"/>
  <c r="V179" i="4"/>
  <c r="V178" i="4"/>
  <c r="V177" i="4"/>
  <c r="V176" i="4"/>
  <c r="V175" i="4"/>
  <c r="V174" i="4"/>
  <c r="V173" i="4"/>
  <c r="V172" i="4"/>
  <c r="V171" i="4"/>
  <c r="V170" i="4"/>
  <c r="V169" i="4"/>
  <c r="V168" i="4"/>
  <c r="V167" i="4"/>
  <c r="V166" i="4"/>
  <c r="V165" i="4"/>
  <c r="V164" i="4"/>
  <c r="V163" i="4"/>
  <c r="V162" i="4"/>
  <c r="V161" i="4"/>
  <c r="V160" i="4"/>
  <c r="V159" i="4"/>
  <c r="V158" i="4"/>
  <c r="V157" i="4"/>
  <c r="V156" i="4"/>
  <c r="V155" i="4"/>
  <c r="V154" i="4"/>
  <c r="V153" i="4"/>
  <c r="V152" i="4"/>
  <c r="V151" i="4"/>
  <c r="V150" i="4"/>
  <c r="V149" i="4"/>
  <c r="V148" i="4"/>
  <c r="V147" i="4"/>
  <c r="V146" i="4"/>
  <c r="V145" i="4"/>
  <c r="V144" i="4"/>
  <c r="V143" i="4"/>
  <c r="V142" i="4"/>
  <c r="V141" i="4"/>
  <c r="V140" i="4"/>
  <c r="V139" i="4"/>
  <c r="V138" i="4"/>
  <c r="V137" i="4"/>
  <c r="V136" i="4"/>
  <c r="V135" i="4"/>
  <c r="V134" i="4"/>
  <c r="V133" i="4"/>
  <c r="V132" i="4"/>
  <c r="V131" i="4"/>
  <c r="V130" i="4"/>
  <c r="V129" i="4"/>
  <c r="V128" i="4"/>
  <c r="V127" i="4"/>
  <c r="V126" i="4"/>
  <c r="V125" i="4"/>
  <c r="V124" i="4"/>
  <c r="V123" i="4"/>
  <c r="V122" i="4"/>
  <c r="V121" i="4"/>
  <c r="V120" i="4"/>
  <c r="V119" i="4"/>
  <c r="V118" i="4"/>
  <c r="V117" i="4"/>
  <c r="V116" i="4"/>
  <c r="V115" i="4"/>
  <c r="V114" i="4"/>
  <c r="V113" i="4"/>
  <c r="V112" i="4"/>
  <c r="V111" i="4"/>
  <c r="V110" i="4"/>
  <c r="V109" i="4"/>
  <c r="V108" i="4"/>
  <c r="V107" i="4"/>
  <c r="V106" i="4"/>
  <c r="V105" i="4"/>
  <c r="V104" i="4"/>
  <c r="V103" i="4"/>
  <c r="V102" i="4"/>
  <c r="V101" i="4"/>
  <c r="V100" i="4"/>
  <c r="V99" i="4"/>
  <c r="V98" i="4"/>
  <c r="V97" i="4"/>
  <c r="V96" i="4"/>
  <c r="V95" i="4"/>
  <c r="V94" i="4"/>
  <c r="V93" i="4"/>
  <c r="V92" i="4"/>
  <c r="V91" i="4"/>
  <c r="V90" i="4"/>
  <c r="V89" i="4"/>
  <c r="V88" i="4"/>
  <c r="V87" i="4"/>
  <c r="V86" i="4"/>
  <c r="V85" i="4"/>
  <c r="V84" i="4"/>
  <c r="V83" i="4"/>
  <c r="V82" i="4"/>
  <c r="V81" i="4"/>
  <c r="V80" i="4"/>
  <c r="V79" i="4"/>
  <c r="V78" i="4"/>
  <c r="V77" i="4"/>
  <c r="V76" i="4"/>
  <c r="V75" i="4"/>
  <c r="V74" i="4"/>
  <c r="V73" i="4"/>
  <c r="V72" i="4"/>
  <c r="V71" i="4"/>
  <c r="V70" i="4"/>
  <c r="V69" i="4"/>
  <c r="V68" i="4"/>
  <c r="V67" i="4"/>
  <c r="V66" i="4"/>
  <c r="V65" i="4"/>
  <c r="V64" i="4"/>
  <c r="V63" i="4"/>
  <c r="V62" i="4"/>
  <c r="V61" i="4"/>
  <c r="V60" i="4"/>
  <c r="V59" i="4"/>
  <c r="V58" i="4"/>
  <c r="V57" i="4"/>
  <c r="V56" i="4"/>
  <c r="V55" i="4"/>
  <c r="V54" i="4"/>
  <c r="V53" i="4"/>
  <c r="V52" i="4"/>
  <c r="V51" i="4"/>
  <c r="V50" i="4"/>
  <c r="V49" i="4"/>
  <c r="V48" i="4"/>
  <c r="V47" i="4"/>
  <c r="V46" i="4"/>
  <c r="V45" i="4"/>
  <c r="V44" i="4"/>
  <c r="V43" i="4"/>
  <c r="V42" i="4"/>
  <c r="V41" i="4"/>
  <c r="V40" i="4"/>
  <c r="V39" i="4"/>
  <c r="V38" i="4"/>
  <c r="V37" i="4"/>
  <c r="V36" i="4"/>
  <c r="V35" i="4"/>
  <c r="V34" i="4"/>
  <c r="V33" i="4"/>
  <c r="V32" i="4"/>
  <c r="V31" i="4"/>
  <c r="V30" i="4"/>
  <c r="V29" i="4"/>
  <c r="V28" i="4"/>
  <c r="V27" i="4"/>
  <c r="V26" i="4"/>
  <c r="V25" i="4"/>
  <c r="V24" i="4"/>
  <c r="V23" i="4"/>
  <c r="V22" i="4"/>
  <c r="V21" i="4"/>
  <c r="V20" i="4"/>
  <c r="V19" i="4"/>
  <c r="V18" i="4"/>
  <c r="V17" i="4"/>
  <c r="V16" i="4"/>
  <c r="V15" i="4"/>
  <c r="V14" i="4"/>
  <c r="V13" i="4"/>
  <c r="V12" i="4"/>
  <c r="V11" i="4"/>
  <c r="V10" i="4"/>
  <c r="V9" i="4"/>
  <c r="V8" i="4"/>
  <c r="V7" i="4"/>
  <c r="V6" i="4"/>
  <c r="V5" i="4"/>
  <c r="Q753" i="4"/>
  <c r="Q752" i="4"/>
  <c r="Q751" i="4"/>
  <c r="Q750" i="4"/>
  <c r="Q749" i="4"/>
  <c r="Q748" i="4"/>
  <c r="Q747" i="4"/>
  <c r="Q746" i="4"/>
  <c r="Q745" i="4"/>
  <c r="Q744" i="4"/>
  <c r="Q743" i="4"/>
  <c r="Q742" i="4"/>
  <c r="Q741" i="4"/>
  <c r="Q740" i="4"/>
  <c r="Q739" i="4"/>
  <c r="Q738" i="4"/>
  <c r="Q737" i="4"/>
  <c r="Q736" i="4"/>
  <c r="Q735" i="4"/>
  <c r="Q734" i="4"/>
  <c r="Q733" i="4"/>
  <c r="Q732" i="4"/>
  <c r="Q731" i="4"/>
  <c r="Q730" i="4"/>
  <c r="Q729" i="4"/>
  <c r="Q728" i="4"/>
  <c r="Q727" i="4"/>
  <c r="Q726" i="4"/>
  <c r="Q725" i="4"/>
  <c r="Q724" i="4"/>
  <c r="Q723" i="4"/>
  <c r="Q722" i="4"/>
  <c r="Q721" i="4"/>
  <c r="Q720" i="4"/>
  <c r="Q719" i="4"/>
  <c r="Q718" i="4"/>
  <c r="Q717" i="4"/>
  <c r="Q716" i="4"/>
  <c r="Q715" i="4"/>
  <c r="Q714" i="4"/>
  <c r="Q713" i="4"/>
  <c r="Q712" i="4"/>
  <c r="Q711" i="4"/>
  <c r="Q710" i="4"/>
  <c r="Q709" i="4"/>
  <c r="Q708" i="4"/>
  <c r="Q707" i="4"/>
  <c r="Q706" i="4"/>
  <c r="Q705" i="4"/>
  <c r="Q704" i="4"/>
  <c r="Q703" i="4"/>
  <c r="Q702" i="4"/>
  <c r="Q701" i="4"/>
  <c r="Q700" i="4"/>
  <c r="Q699" i="4"/>
  <c r="Q698" i="4"/>
  <c r="Q697" i="4"/>
  <c r="Q696" i="4"/>
  <c r="Q695" i="4"/>
  <c r="Q694" i="4"/>
  <c r="Q693" i="4"/>
  <c r="Q692" i="4"/>
  <c r="Q691" i="4"/>
  <c r="Q690" i="4"/>
  <c r="Q689" i="4"/>
  <c r="Q688" i="4"/>
  <c r="Q687" i="4"/>
  <c r="Q686" i="4"/>
  <c r="Q685" i="4"/>
  <c r="Q684" i="4"/>
  <c r="Q683" i="4"/>
  <c r="Q682" i="4"/>
  <c r="Q681" i="4"/>
  <c r="Q680" i="4"/>
  <c r="Q679" i="4"/>
  <c r="Q678" i="4"/>
  <c r="Q677" i="4"/>
  <c r="Q676" i="4"/>
  <c r="Q675" i="4"/>
  <c r="Q674" i="4"/>
  <c r="Q673" i="4"/>
  <c r="Q672" i="4"/>
  <c r="Q671" i="4"/>
  <c r="Q670" i="4"/>
  <c r="Q669" i="4"/>
  <c r="Q668" i="4"/>
  <c r="Q667" i="4"/>
  <c r="Q666" i="4"/>
  <c r="Q665" i="4"/>
  <c r="Q664" i="4"/>
  <c r="Q663" i="4"/>
  <c r="Q662" i="4"/>
  <c r="Q661" i="4"/>
  <c r="Q660" i="4"/>
  <c r="Q659" i="4"/>
  <c r="Q658" i="4"/>
  <c r="Q657" i="4"/>
  <c r="Q656" i="4"/>
  <c r="Q655" i="4"/>
  <c r="Q654" i="4"/>
  <c r="Q653" i="4"/>
  <c r="Q652" i="4"/>
  <c r="Q651" i="4"/>
  <c r="Q650" i="4"/>
  <c r="Q649" i="4"/>
  <c r="Q648" i="4"/>
  <c r="Q647" i="4"/>
  <c r="Q646" i="4"/>
  <c r="Q645" i="4"/>
  <c r="Q644" i="4"/>
  <c r="Q643" i="4"/>
  <c r="Q642" i="4"/>
  <c r="Q641" i="4"/>
  <c r="Q640" i="4"/>
  <c r="Q639" i="4"/>
  <c r="Q638" i="4"/>
  <c r="Q637" i="4"/>
  <c r="Q636" i="4"/>
  <c r="Q635" i="4"/>
  <c r="Q634" i="4"/>
  <c r="Q633" i="4"/>
  <c r="Q632" i="4"/>
  <c r="Q631" i="4"/>
  <c r="Q630" i="4"/>
  <c r="Q629" i="4"/>
  <c r="Q628" i="4"/>
  <c r="Q627" i="4"/>
  <c r="Q626" i="4"/>
  <c r="Q625" i="4"/>
  <c r="Q624" i="4"/>
  <c r="Q623" i="4"/>
  <c r="Q622" i="4"/>
  <c r="Q621" i="4"/>
  <c r="Q620" i="4"/>
  <c r="Q619" i="4"/>
  <c r="Q618" i="4"/>
  <c r="Q617" i="4"/>
  <c r="Q616" i="4"/>
  <c r="Q615" i="4"/>
  <c r="Q614" i="4"/>
  <c r="Q613" i="4"/>
  <c r="Q612" i="4"/>
  <c r="Q611" i="4"/>
  <c r="Q610" i="4"/>
  <c r="Q609" i="4"/>
  <c r="Q608" i="4"/>
  <c r="Q607" i="4"/>
  <c r="Q606" i="4"/>
  <c r="Q605" i="4"/>
  <c r="Q604" i="4"/>
  <c r="Q603" i="4"/>
  <c r="Q602" i="4"/>
  <c r="Q601" i="4"/>
  <c r="Q600" i="4"/>
  <c r="Q599" i="4"/>
  <c r="Q598" i="4"/>
  <c r="Q597" i="4"/>
  <c r="Q596" i="4"/>
  <c r="Q595" i="4"/>
  <c r="Q594" i="4"/>
  <c r="Q593" i="4"/>
  <c r="Q592" i="4"/>
  <c r="Q591" i="4"/>
  <c r="Q590" i="4"/>
  <c r="Q589" i="4"/>
  <c r="Q588" i="4"/>
  <c r="Q587" i="4"/>
  <c r="Q586" i="4"/>
  <c r="Q585" i="4"/>
  <c r="Q584" i="4"/>
  <c r="Q583" i="4"/>
  <c r="Q582" i="4"/>
  <c r="Q581" i="4"/>
  <c r="Q580" i="4"/>
  <c r="Q579" i="4"/>
  <c r="Q578" i="4"/>
  <c r="Q577" i="4"/>
  <c r="Q576" i="4"/>
  <c r="Q575" i="4"/>
  <c r="Q574" i="4"/>
  <c r="Q573" i="4"/>
  <c r="Q572" i="4"/>
  <c r="Q571" i="4"/>
  <c r="Q570" i="4"/>
  <c r="Q569" i="4"/>
  <c r="Q568" i="4"/>
  <c r="Q567" i="4"/>
  <c r="Q566" i="4"/>
  <c r="Q565" i="4"/>
  <c r="Q564" i="4"/>
  <c r="Q563" i="4"/>
  <c r="Q562" i="4"/>
  <c r="Q561" i="4"/>
  <c r="Q560" i="4"/>
  <c r="Q559" i="4"/>
  <c r="Q558" i="4"/>
  <c r="Q557" i="4"/>
  <c r="Q556" i="4"/>
  <c r="Q555" i="4"/>
  <c r="Q554" i="4"/>
  <c r="Q553" i="4"/>
  <c r="Q552" i="4"/>
  <c r="Q551" i="4"/>
  <c r="Q550" i="4"/>
  <c r="Q549" i="4"/>
  <c r="Q548" i="4"/>
  <c r="Q547" i="4"/>
  <c r="Q546" i="4"/>
  <c r="Q545" i="4"/>
  <c r="Q544" i="4"/>
  <c r="Q543" i="4"/>
  <c r="Q542" i="4"/>
  <c r="Q541" i="4"/>
  <c r="Q540" i="4"/>
  <c r="Q539" i="4"/>
  <c r="Q538" i="4"/>
  <c r="Q537" i="4"/>
  <c r="Q536" i="4"/>
  <c r="Q535" i="4"/>
  <c r="Q534" i="4"/>
  <c r="Q533" i="4"/>
  <c r="Q532" i="4"/>
  <c r="Q531" i="4"/>
  <c r="Q530" i="4"/>
  <c r="Q529" i="4"/>
  <c r="Q528" i="4"/>
  <c r="Q527" i="4"/>
  <c r="Q526" i="4"/>
  <c r="Q525" i="4"/>
  <c r="Q524" i="4"/>
  <c r="Q523" i="4"/>
  <c r="Q522" i="4"/>
  <c r="Q521" i="4"/>
  <c r="Q520" i="4"/>
  <c r="Q519" i="4"/>
  <c r="Q518" i="4"/>
  <c r="Q517" i="4"/>
  <c r="Q516" i="4"/>
  <c r="Q515" i="4"/>
  <c r="Q514" i="4"/>
  <c r="Q513" i="4"/>
  <c r="Q512" i="4"/>
  <c r="Q511" i="4"/>
  <c r="Q510" i="4"/>
  <c r="Q509" i="4"/>
  <c r="Q508" i="4"/>
  <c r="Q507" i="4"/>
  <c r="Q506" i="4"/>
  <c r="Q505" i="4"/>
  <c r="Q504" i="4"/>
  <c r="Q503" i="4"/>
  <c r="Q502" i="4"/>
  <c r="Q501" i="4"/>
  <c r="Q500" i="4"/>
  <c r="Q499" i="4"/>
  <c r="Q498" i="4"/>
  <c r="Q497" i="4"/>
  <c r="Q496" i="4"/>
  <c r="Q495" i="4"/>
  <c r="Q494" i="4"/>
  <c r="Q493" i="4"/>
  <c r="Q492" i="4"/>
  <c r="Q491" i="4"/>
  <c r="Q490" i="4"/>
  <c r="Q489" i="4"/>
  <c r="Q488" i="4"/>
  <c r="Q487" i="4"/>
  <c r="Q486" i="4"/>
  <c r="Q485" i="4"/>
  <c r="Q484" i="4"/>
  <c r="Q483" i="4"/>
  <c r="Q482" i="4"/>
  <c r="Q481" i="4"/>
  <c r="Q480" i="4"/>
  <c r="Q479" i="4"/>
  <c r="Q478" i="4"/>
  <c r="Q477" i="4"/>
  <c r="Q476" i="4"/>
  <c r="Q475" i="4"/>
  <c r="Q474" i="4"/>
  <c r="Q473" i="4"/>
  <c r="Q472" i="4"/>
  <c r="Q471" i="4"/>
  <c r="Q470" i="4"/>
  <c r="Q469" i="4"/>
  <c r="Q468" i="4"/>
  <c r="Q467" i="4"/>
  <c r="Q466" i="4"/>
  <c r="Q465" i="4"/>
  <c r="Q464" i="4"/>
  <c r="Q463" i="4"/>
  <c r="Q462" i="4"/>
  <c r="Q461" i="4"/>
  <c r="Q460" i="4"/>
  <c r="Q459" i="4"/>
  <c r="Q458" i="4"/>
  <c r="Q457" i="4"/>
  <c r="Q456" i="4"/>
  <c r="Q455" i="4"/>
  <c r="Q454" i="4"/>
  <c r="Q453" i="4"/>
  <c r="Q452" i="4"/>
  <c r="Q451" i="4"/>
  <c r="Q450" i="4"/>
  <c r="Q449" i="4"/>
  <c r="Q448" i="4"/>
  <c r="Q447" i="4"/>
  <c r="Q446" i="4"/>
  <c r="Q445" i="4"/>
  <c r="Q444" i="4"/>
  <c r="Q443" i="4"/>
  <c r="Q442" i="4"/>
  <c r="Q441" i="4"/>
  <c r="Q440" i="4"/>
  <c r="Q439" i="4"/>
  <c r="Q438" i="4"/>
  <c r="Q437" i="4"/>
  <c r="Q436" i="4"/>
  <c r="Q435" i="4"/>
  <c r="Q434" i="4"/>
  <c r="Q433" i="4"/>
  <c r="Q432" i="4"/>
  <c r="Q431" i="4"/>
  <c r="Q430" i="4"/>
  <c r="Q429" i="4"/>
  <c r="Q428" i="4"/>
  <c r="Q427" i="4"/>
  <c r="Q426" i="4"/>
  <c r="Q425" i="4"/>
  <c r="Q424" i="4"/>
  <c r="Q423" i="4"/>
  <c r="Q422" i="4"/>
  <c r="Q421" i="4"/>
  <c r="Q420" i="4"/>
  <c r="Q419" i="4"/>
  <c r="Q418" i="4"/>
  <c r="Q417" i="4"/>
  <c r="Q416" i="4"/>
  <c r="Q415" i="4"/>
  <c r="Q414" i="4"/>
  <c r="Q413" i="4"/>
  <c r="Q412" i="4"/>
  <c r="Q411" i="4"/>
  <c r="Q410" i="4"/>
  <c r="Q409" i="4"/>
  <c r="Q408" i="4"/>
  <c r="Q407" i="4"/>
  <c r="Q406" i="4"/>
  <c r="Q405" i="4"/>
  <c r="Q404" i="4"/>
  <c r="Q403" i="4"/>
  <c r="Q402" i="4"/>
  <c r="Q401" i="4"/>
  <c r="Q400" i="4"/>
  <c r="Q399" i="4"/>
  <c r="Q398" i="4"/>
  <c r="Q397" i="4"/>
  <c r="Q396" i="4"/>
  <c r="Q395" i="4"/>
  <c r="Q394" i="4"/>
  <c r="Q393" i="4"/>
  <c r="Q392" i="4"/>
  <c r="Q391" i="4"/>
  <c r="Q390" i="4"/>
  <c r="Q389" i="4"/>
  <c r="Q388" i="4"/>
  <c r="Q387" i="4"/>
  <c r="Q386" i="4"/>
  <c r="Q385" i="4"/>
  <c r="Q384" i="4"/>
  <c r="Q383" i="4"/>
  <c r="Q382" i="4"/>
  <c r="Q381" i="4"/>
  <c r="Q380" i="4"/>
  <c r="Q379" i="4"/>
  <c r="Q378" i="4"/>
  <c r="Q377" i="4"/>
  <c r="Q376" i="4"/>
  <c r="Q375" i="4"/>
  <c r="Q374" i="4"/>
  <c r="Q373" i="4"/>
  <c r="Q372" i="4"/>
  <c r="Q371" i="4"/>
  <c r="Q370" i="4"/>
  <c r="Q369" i="4"/>
  <c r="Q368" i="4"/>
  <c r="Q367" i="4"/>
  <c r="Q366" i="4"/>
  <c r="Q365" i="4"/>
  <c r="Q364" i="4"/>
  <c r="Q363" i="4"/>
  <c r="Q362" i="4"/>
  <c r="Q361" i="4"/>
  <c r="Q360" i="4"/>
  <c r="Q359" i="4"/>
  <c r="Q358" i="4"/>
  <c r="Q357" i="4"/>
  <c r="Q356" i="4"/>
  <c r="Q355" i="4"/>
  <c r="Q354" i="4"/>
  <c r="Q353" i="4"/>
  <c r="Q352" i="4"/>
  <c r="Q351" i="4"/>
  <c r="Q350" i="4"/>
  <c r="Q349" i="4"/>
  <c r="Q348" i="4"/>
  <c r="Q347" i="4"/>
  <c r="Q346" i="4"/>
  <c r="Q345" i="4"/>
  <c r="Q344" i="4"/>
  <c r="Q343" i="4"/>
  <c r="Q342" i="4"/>
  <c r="Q341" i="4"/>
  <c r="Q340" i="4"/>
  <c r="Q339" i="4"/>
  <c r="Q338" i="4"/>
  <c r="Q337" i="4"/>
  <c r="Q336" i="4"/>
  <c r="Q335" i="4"/>
  <c r="Q334" i="4"/>
  <c r="Q333" i="4"/>
  <c r="Q332" i="4"/>
  <c r="Q331" i="4"/>
  <c r="Q330" i="4"/>
  <c r="Q329" i="4"/>
  <c r="Q328" i="4"/>
  <c r="Q327" i="4"/>
  <c r="Q326" i="4"/>
  <c r="Q325" i="4"/>
  <c r="Q324" i="4"/>
  <c r="Q323" i="4"/>
  <c r="Q322" i="4"/>
  <c r="Q321" i="4"/>
  <c r="Q320" i="4"/>
  <c r="Q319" i="4"/>
  <c r="Q318" i="4"/>
  <c r="Q317" i="4"/>
  <c r="Q316" i="4"/>
  <c r="Q315" i="4"/>
  <c r="Q314" i="4"/>
  <c r="Q313" i="4"/>
  <c r="Q312" i="4"/>
  <c r="Q311" i="4"/>
  <c r="Q310" i="4"/>
  <c r="Q309" i="4"/>
  <c r="Q308" i="4"/>
  <c r="Q307" i="4"/>
  <c r="Q306" i="4"/>
  <c r="Q305" i="4"/>
  <c r="Q304" i="4"/>
  <c r="Q303" i="4"/>
  <c r="Q302" i="4"/>
  <c r="Q301" i="4"/>
  <c r="Q300" i="4"/>
  <c r="Q299" i="4"/>
  <c r="Q298" i="4"/>
  <c r="Q297" i="4"/>
  <c r="Q296" i="4"/>
  <c r="Q295" i="4"/>
  <c r="Q294" i="4"/>
  <c r="Q293" i="4"/>
  <c r="Q292" i="4"/>
  <c r="Q291" i="4"/>
  <c r="Q290" i="4"/>
  <c r="Q289" i="4"/>
  <c r="Q288" i="4"/>
  <c r="Q287" i="4"/>
  <c r="Q286" i="4"/>
  <c r="Q285" i="4"/>
  <c r="Q284" i="4"/>
  <c r="Q283" i="4"/>
  <c r="Q282" i="4"/>
  <c r="Q281" i="4"/>
  <c r="Q280" i="4"/>
  <c r="Q279" i="4"/>
  <c r="Q278" i="4"/>
  <c r="Q277" i="4"/>
  <c r="Q276" i="4"/>
  <c r="Q275" i="4"/>
  <c r="Q274" i="4"/>
  <c r="Q273" i="4"/>
  <c r="Q272" i="4"/>
  <c r="Q271" i="4"/>
  <c r="Q270" i="4"/>
  <c r="Q269" i="4"/>
  <c r="Q268" i="4"/>
  <c r="Q267" i="4"/>
  <c r="Q266" i="4"/>
  <c r="Q265" i="4"/>
  <c r="Q264" i="4"/>
  <c r="Q263" i="4"/>
  <c r="Q262" i="4"/>
  <c r="Q261" i="4"/>
  <c r="Q260" i="4"/>
  <c r="Q259" i="4"/>
  <c r="Q258" i="4"/>
  <c r="Q257" i="4"/>
  <c r="Q256" i="4"/>
  <c r="Q255" i="4"/>
  <c r="Q254" i="4"/>
  <c r="Q253" i="4"/>
  <c r="Q252" i="4"/>
  <c r="Q251" i="4"/>
  <c r="Q250" i="4"/>
  <c r="Q249" i="4"/>
  <c r="Q248" i="4"/>
  <c r="Q247" i="4"/>
  <c r="Q246" i="4"/>
  <c r="Q245" i="4"/>
  <c r="Q244" i="4"/>
  <c r="Q243" i="4"/>
  <c r="Q242" i="4"/>
  <c r="Q241" i="4"/>
  <c r="Q240" i="4"/>
  <c r="Q239" i="4"/>
  <c r="Q238" i="4"/>
  <c r="Q237" i="4"/>
  <c r="Q236" i="4"/>
  <c r="Q235" i="4"/>
  <c r="Q234" i="4"/>
  <c r="Q233" i="4"/>
  <c r="Q232" i="4"/>
  <c r="Q231" i="4"/>
  <c r="Q230" i="4"/>
  <c r="Q229" i="4"/>
  <c r="Q228" i="4"/>
  <c r="Q227" i="4"/>
  <c r="Q226" i="4"/>
  <c r="Q225" i="4"/>
  <c r="Q224" i="4"/>
  <c r="Q223" i="4"/>
  <c r="Q222" i="4"/>
  <c r="Q221" i="4"/>
  <c r="Q220" i="4"/>
  <c r="Q219" i="4"/>
  <c r="Q218" i="4"/>
  <c r="Q217" i="4"/>
  <c r="Q216" i="4"/>
  <c r="Q215" i="4"/>
  <c r="Q214" i="4"/>
  <c r="Q213" i="4"/>
  <c r="Q212" i="4"/>
  <c r="Q211" i="4"/>
  <c r="Q210" i="4"/>
  <c r="Q209" i="4"/>
  <c r="Q208" i="4"/>
  <c r="Q207" i="4"/>
  <c r="Q206" i="4"/>
  <c r="Q205" i="4"/>
  <c r="Q204" i="4"/>
  <c r="Q203" i="4"/>
  <c r="Q202" i="4"/>
  <c r="Q201" i="4"/>
  <c r="Q200" i="4"/>
  <c r="Q199" i="4"/>
  <c r="Q198" i="4"/>
  <c r="Q197" i="4"/>
  <c r="Q196" i="4"/>
  <c r="Q195" i="4"/>
  <c r="Q194" i="4"/>
  <c r="Q193" i="4"/>
  <c r="Q192" i="4"/>
  <c r="Q191" i="4"/>
  <c r="Q190" i="4"/>
  <c r="Q189" i="4"/>
  <c r="Q188" i="4"/>
  <c r="Q187" i="4"/>
  <c r="Q186" i="4"/>
  <c r="Q185" i="4"/>
  <c r="Q184" i="4"/>
  <c r="Q183" i="4"/>
  <c r="Q182" i="4"/>
  <c r="Q181" i="4"/>
  <c r="Q180" i="4"/>
  <c r="Q179" i="4"/>
  <c r="Q178" i="4"/>
  <c r="Q177" i="4"/>
  <c r="Q176" i="4"/>
  <c r="Q175" i="4"/>
  <c r="Q174" i="4"/>
  <c r="Q173" i="4"/>
  <c r="Q172" i="4"/>
  <c r="Q171" i="4"/>
  <c r="Q170" i="4"/>
  <c r="Q169" i="4"/>
  <c r="Q168" i="4"/>
  <c r="Q167" i="4"/>
  <c r="Q166" i="4"/>
  <c r="Q165" i="4"/>
  <c r="Q164" i="4"/>
  <c r="Q163" i="4"/>
  <c r="Q162" i="4"/>
  <c r="Q161" i="4"/>
  <c r="Q160" i="4"/>
  <c r="Q159" i="4"/>
  <c r="Q158" i="4"/>
  <c r="Q157" i="4"/>
  <c r="Q156" i="4"/>
  <c r="Q155" i="4"/>
  <c r="Q154" i="4"/>
  <c r="Q153" i="4"/>
  <c r="Q152" i="4"/>
  <c r="Q151" i="4"/>
  <c r="Q150" i="4"/>
  <c r="Q149" i="4"/>
  <c r="Q148" i="4"/>
  <c r="Q147" i="4"/>
  <c r="Q146" i="4"/>
  <c r="Q145" i="4"/>
  <c r="Q144" i="4"/>
  <c r="Q143" i="4"/>
  <c r="Q142" i="4"/>
  <c r="Q141" i="4"/>
  <c r="Q140" i="4"/>
  <c r="Q139" i="4"/>
  <c r="Q138" i="4"/>
  <c r="Q137" i="4"/>
  <c r="Q136" i="4"/>
  <c r="Q135" i="4"/>
  <c r="Q134" i="4"/>
  <c r="Q133" i="4"/>
  <c r="Q132" i="4"/>
  <c r="Q131" i="4"/>
  <c r="Q130" i="4"/>
  <c r="Q129" i="4"/>
  <c r="Q128" i="4"/>
  <c r="Q127" i="4"/>
  <c r="Q126" i="4"/>
  <c r="Q125" i="4"/>
  <c r="Q124" i="4"/>
  <c r="Q123" i="4"/>
  <c r="Q122" i="4"/>
  <c r="Q121" i="4"/>
  <c r="Q120" i="4"/>
  <c r="Q119" i="4"/>
  <c r="Q118" i="4"/>
  <c r="Q117" i="4"/>
  <c r="Q116" i="4"/>
  <c r="Q115" i="4"/>
  <c r="Q114" i="4"/>
  <c r="Q113" i="4"/>
  <c r="Q112" i="4"/>
  <c r="Q111" i="4"/>
  <c r="Q110" i="4"/>
  <c r="Q109" i="4"/>
  <c r="Q108" i="4"/>
  <c r="Q107" i="4"/>
  <c r="Q106" i="4"/>
  <c r="Q105" i="4"/>
  <c r="Q104" i="4"/>
  <c r="Q103" i="4"/>
  <c r="Q102" i="4"/>
  <c r="Q101" i="4"/>
  <c r="Q100" i="4"/>
  <c r="Q99" i="4"/>
  <c r="Q98" i="4"/>
  <c r="Q97" i="4"/>
  <c r="Q96" i="4"/>
  <c r="Q95" i="4"/>
  <c r="Q94" i="4"/>
  <c r="Q93" i="4"/>
  <c r="Q92" i="4"/>
  <c r="Q91" i="4"/>
  <c r="Q90" i="4"/>
  <c r="Q89" i="4"/>
  <c r="Q88" i="4"/>
  <c r="Q87" i="4"/>
  <c r="Q86" i="4"/>
  <c r="Q85" i="4"/>
  <c r="Q84" i="4"/>
  <c r="Q83" i="4"/>
  <c r="Q82" i="4"/>
  <c r="Q81" i="4"/>
  <c r="Q80" i="4"/>
  <c r="Q79" i="4"/>
  <c r="Q78" i="4"/>
  <c r="Q77" i="4"/>
  <c r="Q76" i="4"/>
  <c r="Q75" i="4"/>
  <c r="Q74" i="4"/>
  <c r="Q73" i="4"/>
  <c r="Q72" i="4"/>
  <c r="Q71" i="4"/>
  <c r="Q70" i="4"/>
  <c r="Q69" i="4"/>
  <c r="Q68" i="4"/>
  <c r="Q67" i="4"/>
  <c r="Q66" i="4"/>
  <c r="Q65" i="4"/>
  <c r="Q64" i="4"/>
  <c r="Q63" i="4"/>
  <c r="Q62" i="4"/>
  <c r="Q61" i="4"/>
  <c r="Q60" i="4"/>
  <c r="Q59" i="4"/>
  <c r="Q58" i="4"/>
  <c r="Q57" i="4"/>
  <c r="Q56" i="4"/>
  <c r="Q55" i="4"/>
  <c r="Q54" i="4"/>
  <c r="Q53" i="4"/>
  <c r="Q52" i="4"/>
  <c r="Q51" i="4"/>
  <c r="Q50" i="4"/>
  <c r="Q49" i="4"/>
  <c r="Q48" i="4"/>
  <c r="Q47" i="4"/>
  <c r="Q46" i="4"/>
  <c r="Q45" i="4"/>
  <c r="Q44" i="4"/>
  <c r="Q43" i="4"/>
  <c r="Q42" i="4"/>
  <c r="Q41" i="4"/>
  <c r="Q40" i="4"/>
  <c r="Q39" i="4"/>
  <c r="Q38" i="4"/>
  <c r="Q37" i="4"/>
  <c r="Q36" i="4"/>
  <c r="Q35" i="4"/>
  <c r="Q34" i="4"/>
  <c r="Q33" i="4"/>
  <c r="Q32" i="4"/>
  <c r="Q31" i="4"/>
  <c r="Q30" i="4"/>
  <c r="Q29" i="4"/>
  <c r="Q28" i="4"/>
  <c r="Q27" i="4"/>
  <c r="Q26" i="4"/>
  <c r="Q25" i="4"/>
  <c r="Q24" i="4"/>
  <c r="Q23" i="4"/>
  <c r="Q22" i="4"/>
  <c r="Q21" i="4"/>
  <c r="Q20" i="4"/>
  <c r="Q19" i="4"/>
  <c r="Q18" i="4"/>
  <c r="Q17" i="4"/>
  <c r="Q16" i="4"/>
  <c r="Q15" i="4"/>
  <c r="Q14" i="4"/>
  <c r="Q13" i="4"/>
  <c r="Q12" i="4"/>
  <c r="Q11" i="4"/>
  <c r="Q10" i="4"/>
  <c r="Q9" i="4"/>
  <c r="Q8" i="4"/>
  <c r="Q7" i="4"/>
  <c r="Q6" i="4"/>
  <c r="T753" i="4"/>
  <c r="T752" i="4"/>
  <c r="T751" i="4"/>
  <c r="T750" i="4"/>
  <c r="T749" i="4"/>
  <c r="T748" i="4"/>
  <c r="T747" i="4"/>
  <c r="T746" i="4"/>
  <c r="T745" i="4"/>
  <c r="T744" i="4"/>
  <c r="T743" i="4"/>
  <c r="T742" i="4"/>
  <c r="T741" i="4"/>
  <c r="T740" i="4"/>
  <c r="T739" i="4"/>
  <c r="T738" i="4"/>
  <c r="T737" i="4"/>
  <c r="T736" i="4"/>
  <c r="T735" i="4"/>
  <c r="T734" i="4"/>
  <c r="T733" i="4"/>
  <c r="T732" i="4"/>
  <c r="T731" i="4"/>
  <c r="T730" i="4"/>
  <c r="T729" i="4"/>
  <c r="T728" i="4"/>
  <c r="T727" i="4"/>
  <c r="T726" i="4"/>
  <c r="T725" i="4"/>
  <c r="T724" i="4"/>
  <c r="T723" i="4"/>
  <c r="T722" i="4"/>
  <c r="T721" i="4"/>
  <c r="T720" i="4"/>
  <c r="T719" i="4"/>
  <c r="T718" i="4"/>
  <c r="T717" i="4"/>
  <c r="T716" i="4"/>
  <c r="T715" i="4"/>
  <c r="T714" i="4"/>
  <c r="T713" i="4"/>
  <c r="T712" i="4"/>
  <c r="T711" i="4"/>
  <c r="T710" i="4"/>
  <c r="T709" i="4"/>
  <c r="T708" i="4"/>
  <c r="T707" i="4"/>
  <c r="T706" i="4"/>
  <c r="T705" i="4"/>
  <c r="T704" i="4"/>
  <c r="T703" i="4"/>
  <c r="T702" i="4"/>
  <c r="T701" i="4"/>
  <c r="T700" i="4"/>
  <c r="T699" i="4"/>
  <c r="T698" i="4"/>
  <c r="T697" i="4"/>
  <c r="T696" i="4"/>
  <c r="T695" i="4"/>
  <c r="T694" i="4"/>
  <c r="T693" i="4"/>
  <c r="T692" i="4"/>
  <c r="T691" i="4"/>
  <c r="T690" i="4"/>
  <c r="T689" i="4"/>
  <c r="T688" i="4"/>
  <c r="T687" i="4"/>
  <c r="T686" i="4"/>
  <c r="T685" i="4"/>
  <c r="T684" i="4"/>
  <c r="T683" i="4"/>
  <c r="T682" i="4"/>
  <c r="T681" i="4"/>
  <c r="T680" i="4"/>
  <c r="T679" i="4"/>
  <c r="T678" i="4"/>
  <c r="T677" i="4"/>
  <c r="T676" i="4"/>
  <c r="T675" i="4"/>
  <c r="T674" i="4"/>
  <c r="T673" i="4"/>
  <c r="T672" i="4"/>
  <c r="T671" i="4"/>
  <c r="T670" i="4"/>
  <c r="T669" i="4"/>
  <c r="T668" i="4"/>
  <c r="T667" i="4"/>
  <c r="T666" i="4"/>
  <c r="T665" i="4"/>
  <c r="T664" i="4"/>
  <c r="T663" i="4"/>
  <c r="T662" i="4"/>
  <c r="T661" i="4"/>
  <c r="T660" i="4"/>
  <c r="T659" i="4"/>
  <c r="T658" i="4"/>
  <c r="T657" i="4"/>
  <c r="T656" i="4"/>
  <c r="T655" i="4"/>
  <c r="T654" i="4"/>
  <c r="T653" i="4"/>
  <c r="T652" i="4"/>
  <c r="T651" i="4"/>
  <c r="T650" i="4"/>
  <c r="T649" i="4"/>
  <c r="T648" i="4"/>
  <c r="T647" i="4"/>
  <c r="T646" i="4"/>
  <c r="T645" i="4"/>
  <c r="T644" i="4"/>
  <c r="T643" i="4"/>
  <c r="T642" i="4"/>
  <c r="T641" i="4"/>
  <c r="T640" i="4"/>
  <c r="T639" i="4"/>
  <c r="T638" i="4"/>
  <c r="T637" i="4"/>
  <c r="T636" i="4"/>
  <c r="T635" i="4"/>
  <c r="T634" i="4"/>
  <c r="T633" i="4"/>
  <c r="T632" i="4"/>
  <c r="T631" i="4"/>
  <c r="T630" i="4"/>
  <c r="T629" i="4"/>
  <c r="T628" i="4"/>
  <c r="T627" i="4"/>
  <c r="T626" i="4"/>
  <c r="T625" i="4"/>
  <c r="T624" i="4"/>
  <c r="T623" i="4"/>
  <c r="T622" i="4"/>
  <c r="T621" i="4"/>
  <c r="T620" i="4"/>
  <c r="T619" i="4"/>
  <c r="T618" i="4"/>
  <c r="T617" i="4"/>
  <c r="T616" i="4"/>
  <c r="T615" i="4"/>
  <c r="T614" i="4"/>
  <c r="T613" i="4"/>
  <c r="T612" i="4"/>
  <c r="T611" i="4"/>
  <c r="T610" i="4"/>
  <c r="T609" i="4"/>
  <c r="T608" i="4"/>
  <c r="T607" i="4"/>
  <c r="T606" i="4"/>
  <c r="T605" i="4"/>
  <c r="T604" i="4"/>
  <c r="T603" i="4"/>
  <c r="T602" i="4"/>
  <c r="T601" i="4"/>
  <c r="T600" i="4"/>
  <c r="T599" i="4"/>
  <c r="T598" i="4"/>
  <c r="T597" i="4"/>
  <c r="T596" i="4"/>
  <c r="T595" i="4"/>
  <c r="T594" i="4"/>
  <c r="T593" i="4"/>
  <c r="T592" i="4"/>
  <c r="T591" i="4"/>
  <c r="T590" i="4"/>
  <c r="T589" i="4"/>
  <c r="T588" i="4"/>
  <c r="T587" i="4"/>
  <c r="T586" i="4"/>
  <c r="T585" i="4"/>
  <c r="T584" i="4"/>
  <c r="T583" i="4"/>
  <c r="T582" i="4"/>
  <c r="T581" i="4"/>
  <c r="T580" i="4"/>
  <c r="T579" i="4"/>
  <c r="T578" i="4"/>
  <c r="T577" i="4"/>
  <c r="T576" i="4"/>
  <c r="T575" i="4"/>
  <c r="T574" i="4"/>
  <c r="T573" i="4"/>
  <c r="T572" i="4"/>
  <c r="T571" i="4"/>
  <c r="T570" i="4"/>
  <c r="T569" i="4"/>
  <c r="T568" i="4"/>
  <c r="T567" i="4"/>
  <c r="T566" i="4"/>
  <c r="T565" i="4"/>
  <c r="T564" i="4"/>
  <c r="T563" i="4"/>
  <c r="T562" i="4"/>
  <c r="T561" i="4"/>
  <c r="T560" i="4"/>
  <c r="T559" i="4"/>
  <c r="T558" i="4"/>
  <c r="T557" i="4"/>
  <c r="T556" i="4"/>
  <c r="T555" i="4"/>
  <c r="T554" i="4"/>
  <c r="T553" i="4"/>
  <c r="T552" i="4"/>
  <c r="T551" i="4"/>
  <c r="T550" i="4"/>
  <c r="T549" i="4"/>
  <c r="T548" i="4"/>
  <c r="T547" i="4"/>
  <c r="T546" i="4"/>
  <c r="T545" i="4"/>
  <c r="T544" i="4"/>
  <c r="T543" i="4"/>
  <c r="T542" i="4"/>
  <c r="T541" i="4"/>
  <c r="T540" i="4"/>
  <c r="T539" i="4"/>
  <c r="T538" i="4"/>
  <c r="T537" i="4"/>
  <c r="T536" i="4"/>
  <c r="T535" i="4"/>
  <c r="T534" i="4"/>
  <c r="T533" i="4"/>
  <c r="T532" i="4"/>
  <c r="T531" i="4"/>
  <c r="T530" i="4"/>
  <c r="T529" i="4"/>
  <c r="T528" i="4"/>
  <c r="T527" i="4"/>
  <c r="T526" i="4"/>
  <c r="T525" i="4"/>
  <c r="T524" i="4"/>
  <c r="T523" i="4"/>
  <c r="T522" i="4"/>
  <c r="T521" i="4"/>
  <c r="T520" i="4"/>
  <c r="T519" i="4"/>
  <c r="T518" i="4"/>
  <c r="T517" i="4"/>
  <c r="T516" i="4"/>
  <c r="T515" i="4"/>
  <c r="T514" i="4"/>
  <c r="T513" i="4"/>
  <c r="T512" i="4"/>
  <c r="T511" i="4"/>
  <c r="T510" i="4"/>
  <c r="T509" i="4"/>
  <c r="T508" i="4"/>
  <c r="T507" i="4"/>
  <c r="T506" i="4"/>
  <c r="T505" i="4"/>
  <c r="T504" i="4"/>
  <c r="T503" i="4"/>
  <c r="T502" i="4"/>
  <c r="T501" i="4"/>
  <c r="T500" i="4"/>
  <c r="T499" i="4"/>
  <c r="T498" i="4"/>
  <c r="T497" i="4"/>
  <c r="T496" i="4"/>
  <c r="T495" i="4"/>
  <c r="T494" i="4"/>
  <c r="T493" i="4"/>
  <c r="T492" i="4"/>
  <c r="T491" i="4"/>
  <c r="T490" i="4"/>
  <c r="T489" i="4"/>
  <c r="T488" i="4"/>
  <c r="T487" i="4"/>
  <c r="T486" i="4"/>
  <c r="T485" i="4"/>
  <c r="T484" i="4"/>
  <c r="T483" i="4"/>
  <c r="T482" i="4"/>
  <c r="T481" i="4"/>
  <c r="T480" i="4"/>
  <c r="T479" i="4"/>
  <c r="T478" i="4"/>
  <c r="T477" i="4"/>
  <c r="T476" i="4"/>
  <c r="T475" i="4"/>
  <c r="T474" i="4"/>
  <c r="T473" i="4"/>
  <c r="T472" i="4"/>
  <c r="T471" i="4"/>
  <c r="T470" i="4"/>
  <c r="T469" i="4"/>
  <c r="T468" i="4"/>
  <c r="T467" i="4"/>
  <c r="T466" i="4"/>
  <c r="T465" i="4"/>
  <c r="T464" i="4"/>
  <c r="T463" i="4"/>
  <c r="T462" i="4"/>
  <c r="T461" i="4"/>
  <c r="T460" i="4"/>
  <c r="T459" i="4"/>
  <c r="T458" i="4"/>
  <c r="T457" i="4"/>
  <c r="T456" i="4"/>
  <c r="T455" i="4"/>
  <c r="T454" i="4"/>
  <c r="T453" i="4"/>
  <c r="T452" i="4"/>
  <c r="T451" i="4"/>
  <c r="T450" i="4"/>
  <c r="T449" i="4"/>
  <c r="T448" i="4"/>
  <c r="T447" i="4"/>
  <c r="T446" i="4"/>
  <c r="T445" i="4"/>
  <c r="T444" i="4"/>
  <c r="T443" i="4"/>
  <c r="T442" i="4"/>
  <c r="T441" i="4"/>
  <c r="T440" i="4"/>
  <c r="T439" i="4"/>
  <c r="T438" i="4"/>
  <c r="T437" i="4"/>
  <c r="T436" i="4"/>
  <c r="T435" i="4"/>
  <c r="T434" i="4"/>
  <c r="T433" i="4"/>
  <c r="T432" i="4"/>
  <c r="T431" i="4"/>
  <c r="T430" i="4"/>
  <c r="T429" i="4"/>
  <c r="T428" i="4"/>
  <c r="T427" i="4"/>
  <c r="T426" i="4"/>
  <c r="T425" i="4"/>
  <c r="T424" i="4"/>
  <c r="T423" i="4"/>
  <c r="T422" i="4"/>
  <c r="T421" i="4"/>
  <c r="T420" i="4"/>
  <c r="T419" i="4"/>
  <c r="T418" i="4"/>
  <c r="T417" i="4"/>
  <c r="T416" i="4"/>
  <c r="T415" i="4"/>
  <c r="T414" i="4"/>
  <c r="T413" i="4"/>
  <c r="T412" i="4"/>
  <c r="T411" i="4"/>
  <c r="T410" i="4"/>
  <c r="T409" i="4"/>
  <c r="T408" i="4"/>
  <c r="T407" i="4"/>
  <c r="T406" i="4"/>
  <c r="T405" i="4"/>
  <c r="T404" i="4"/>
  <c r="T403" i="4"/>
  <c r="T402" i="4"/>
  <c r="T401" i="4"/>
  <c r="T400" i="4"/>
  <c r="T399" i="4"/>
  <c r="T398" i="4"/>
  <c r="T397" i="4"/>
  <c r="T396" i="4"/>
  <c r="T395" i="4"/>
  <c r="T394" i="4"/>
  <c r="T393" i="4"/>
  <c r="T392" i="4"/>
  <c r="T391" i="4"/>
  <c r="T390" i="4"/>
  <c r="T389" i="4"/>
  <c r="T388" i="4"/>
  <c r="T387" i="4"/>
  <c r="T386" i="4"/>
  <c r="T385" i="4"/>
  <c r="T384" i="4"/>
  <c r="T383" i="4"/>
  <c r="T382" i="4"/>
  <c r="T381" i="4"/>
  <c r="T380" i="4"/>
  <c r="T379" i="4"/>
  <c r="T378" i="4"/>
  <c r="T377" i="4"/>
  <c r="T376" i="4"/>
  <c r="T375" i="4"/>
  <c r="T374" i="4"/>
  <c r="T373" i="4"/>
  <c r="T372" i="4"/>
  <c r="T371" i="4"/>
  <c r="T370" i="4"/>
  <c r="T369" i="4"/>
  <c r="T368" i="4"/>
  <c r="T367" i="4"/>
  <c r="T366" i="4"/>
  <c r="T365" i="4"/>
  <c r="T364" i="4"/>
  <c r="T363" i="4"/>
  <c r="T362" i="4"/>
  <c r="T361" i="4"/>
  <c r="T360" i="4"/>
  <c r="T359" i="4"/>
  <c r="T358" i="4"/>
  <c r="T357" i="4"/>
  <c r="T356" i="4"/>
  <c r="T355" i="4"/>
  <c r="T354" i="4"/>
  <c r="T353" i="4"/>
  <c r="T352" i="4"/>
  <c r="T351" i="4"/>
  <c r="T350" i="4"/>
  <c r="T349" i="4"/>
  <c r="T348" i="4"/>
  <c r="T347" i="4"/>
  <c r="T346" i="4"/>
  <c r="T345" i="4"/>
  <c r="T344" i="4"/>
  <c r="T343" i="4"/>
  <c r="T342" i="4"/>
  <c r="T341" i="4"/>
  <c r="T340" i="4"/>
  <c r="T339" i="4"/>
  <c r="T338" i="4"/>
  <c r="T337" i="4"/>
  <c r="T336" i="4"/>
  <c r="T335" i="4"/>
  <c r="T334" i="4"/>
  <c r="T333" i="4"/>
  <c r="T332" i="4"/>
  <c r="T331" i="4"/>
  <c r="T330" i="4"/>
  <c r="T329" i="4"/>
  <c r="T328" i="4"/>
  <c r="T327" i="4"/>
  <c r="T326" i="4"/>
  <c r="T325" i="4"/>
  <c r="T324" i="4"/>
  <c r="T323" i="4"/>
  <c r="T322" i="4"/>
  <c r="T321" i="4"/>
  <c r="T320" i="4"/>
  <c r="T319" i="4"/>
  <c r="T318" i="4"/>
  <c r="T317" i="4"/>
  <c r="T316" i="4"/>
  <c r="T315" i="4"/>
  <c r="T314" i="4"/>
  <c r="T313" i="4"/>
  <c r="T312" i="4"/>
  <c r="T311" i="4"/>
  <c r="T310" i="4"/>
  <c r="T309" i="4"/>
  <c r="T308" i="4"/>
  <c r="T307" i="4"/>
  <c r="T306" i="4"/>
  <c r="T305" i="4"/>
  <c r="T304" i="4"/>
  <c r="T303" i="4"/>
  <c r="T302" i="4"/>
  <c r="T301" i="4"/>
  <c r="T300" i="4"/>
  <c r="T299" i="4"/>
  <c r="T298" i="4"/>
  <c r="T297" i="4"/>
  <c r="T296" i="4"/>
  <c r="T295" i="4"/>
  <c r="T294" i="4"/>
  <c r="T293" i="4"/>
  <c r="T292" i="4"/>
  <c r="T291" i="4"/>
  <c r="T290" i="4"/>
  <c r="T289" i="4"/>
  <c r="T288" i="4"/>
  <c r="T287" i="4"/>
  <c r="T286" i="4"/>
  <c r="T285" i="4"/>
  <c r="T284" i="4"/>
  <c r="T283" i="4"/>
  <c r="T282" i="4"/>
  <c r="T281" i="4"/>
  <c r="T280" i="4"/>
  <c r="T279" i="4"/>
  <c r="T278" i="4"/>
  <c r="T277" i="4"/>
  <c r="T276" i="4"/>
  <c r="T275" i="4"/>
  <c r="T274" i="4"/>
  <c r="T273" i="4"/>
  <c r="T272" i="4"/>
  <c r="T271" i="4"/>
  <c r="T270" i="4"/>
  <c r="T269" i="4"/>
  <c r="T268" i="4"/>
  <c r="T267" i="4"/>
  <c r="T266" i="4"/>
  <c r="T265" i="4"/>
  <c r="T264" i="4"/>
  <c r="T263" i="4"/>
  <c r="T262" i="4"/>
  <c r="T261" i="4"/>
  <c r="T260" i="4"/>
  <c r="T259" i="4"/>
  <c r="T258" i="4"/>
  <c r="T257" i="4"/>
  <c r="T256" i="4"/>
  <c r="T255" i="4"/>
  <c r="T254" i="4"/>
  <c r="T253" i="4"/>
  <c r="T252" i="4"/>
  <c r="T251" i="4"/>
  <c r="T250" i="4"/>
  <c r="T249" i="4"/>
  <c r="T248" i="4"/>
  <c r="T247" i="4"/>
  <c r="T246" i="4"/>
  <c r="T245" i="4"/>
  <c r="T244" i="4"/>
  <c r="T243" i="4"/>
  <c r="T242" i="4"/>
  <c r="T241" i="4"/>
  <c r="T240" i="4"/>
  <c r="T239" i="4"/>
  <c r="T238" i="4"/>
  <c r="T237" i="4"/>
  <c r="T236" i="4"/>
  <c r="T235" i="4"/>
  <c r="T234" i="4"/>
  <c r="T233" i="4"/>
  <c r="T232" i="4"/>
  <c r="T231" i="4"/>
  <c r="T230" i="4"/>
  <c r="T229" i="4"/>
  <c r="T228" i="4"/>
  <c r="T227" i="4"/>
  <c r="T226" i="4"/>
  <c r="T225" i="4"/>
  <c r="T224" i="4"/>
  <c r="T223" i="4"/>
  <c r="T222" i="4"/>
  <c r="T221" i="4"/>
  <c r="T220" i="4"/>
  <c r="T219" i="4"/>
  <c r="T218" i="4"/>
  <c r="T217" i="4"/>
  <c r="T216" i="4"/>
  <c r="T215" i="4"/>
  <c r="T214" i="4"/>
  <c r="T213" i="4"/>
  <c r="T212" i="4"/>
  <c r="T211" i="4"/>
  <c r="T210" i="4"/>
  <c r="T209" i="4"/>
  <c r="T208" i="4"/>
  <c r="T207" i="4"/>
  <c r="T206" i="4"/>
  <c r="T205" i="4"/>
  <c r="T204" i="4"/>
  <c r="T203" i="4"/>
  <c r="T202" i="4"/>
  <c r="T201" i="4"/>
  <c r="T200" i="4"/>
  <c r="T199" i="4"/>
  <c r="T198" i="4"/>
  <c r="T197" i="4"/>
  <c r="T196" i="4"/>
  <c r="T195" i="4"/>
  <c r="T194" i="4"/>
  <c r="T193" i="4"/>
  <c r="T192" i="4"/>
  <c r="T191" i="4"/>
  <c r="T190" i="4"/>
  <c r="T189" i="4"/>
  <c r="T188" i="4"/>
  <c r="T187" i="4"/>
  <c r="T186" i="4"/>
  <c r="T185" i="4"/>
  <c r="T184" i="4"/>
  <c r="T183" i="4"/>
  <c r="T182" i="4"/>
  <c r="T181" i="4"/>
  <c r="T180" i="4"/>
  <c r="T179" i="4"/>
  <c r="T178" i="4"/>
  <c r="T177" i="4"/>
  <c r="T176" i="4"/>
  <c r="T175" i="4"/>
  <c r="T174" i="4"/>
  <c r="T173" i="4"/>
  <c r="T172" i="4"/>
  <c r="T171" i="4"/>
  <c r="T170" i="4"/>
  <c r="T169" i="4"/>
  <c r="T168" i="4"/>
  <c r="T167" i="4"/>
  <c r="T166" i="4"/>
  <c r="T165" i="4"/>
  <c r="T164" i="4"/>
  <c r="T163" i="4"/>
  <c r="T162" i="4"/>
  <c r="T161" i="4"/>
  <c r="T160" i="4"/>
  <c r="T159" i="4"/>
  <c r="T158" i="4"/>
  <c r="T157" i="4"/>
  <c r="T156" i="4"/>
  <c r="T155" i="4"/>
  <c r="T154" i="4"/>
  <c r="T153" i="4"/>
  <c r="T152" i="4"/>
  <c r="T151" i="4"/>
  <c r="T150" i="4"/>
  <c r="T149" i="4"/>
  <c r="T148" i="4"/>
  <c r="T147" i="4"/>
  <c r="T146" i="4"/>
  <c r="T145" i="4"/>
  <c r="T144" i="4"/>
  <c r="T143" i="4"/>
  <c r="T142" i="4"/>
  <c r="T141" i="4"/>
  <c r="T140" i="4"/>
  <c r="T139" i="4"/>
  <c r="T138" i="4"/>
  <c r="T137" i="4"/>
  <c r="T136" i="4"/>
  <c r="T135" i="4"/>
  <c r="T134" i="4"/>
  <c r="T133" i="4"/>
  <c r="T132" i="4"/>
  <c r="T131" i="4"/>
  <c r="T130" i="4"/>
  <c r="T129" i="4"/>
  <c r="T128" i="4"/>
  <c r="T127" i="4"/>
  <c r="T126" i="4"/>
  <c r="T125" i="4"/>
  <c r="T124" i="4"/>
  <c r="T123" i="4"/>
  <c r="T122" i="4"/>
  <c r="T121" i="4"/>
  <c r="T120" i="4"/>
  <c r="T119" i="4"/>
  <c r="T118" i="4"/>
  <c r="T117" i="4"/>
  <c r="T116" i="4"/>
  <c r="T115" i="4"/>
  <c r="T114" i="4"/>
  <c r="T113" i="4"/>
  <c r="T112" i="4"/>
  <c r="T111" i="4"/>
  <c r="T110" i="4"/>
  <c r="T109" i="4"/>
  <c r="T108" i="4"/>
  <c r="T107" i="4"/>
  <c r="T106" i="4"/>
  <c r="T105" i="4"/>
  <c r="T104" i="4"/>
  <c r="T103" i="4"/>
  <c r="T102" i="4"/>
  <c r="T101" i="4"/>
  <c r="T100" i="4"/>
  <c r="T99" i="4"/>
  <c r="T98" i="4"/>
  <c r="T97" i="4"/>
  <c r="T96" i="4"/>
  <c r="T95" i="4"/>
  <c r="T94" i="4"/>
  <c r="T93" i="4"/>
  <c r="T92" i="4"/>
  <c r="T91" i="4"/>
  <c r="T90" i="4"/>
  <c r="T89" i="4"/>
  <c r="T88" i="4"/>
  <c r="T87" i="4"/>
  <c r="T86" i="4"/>
  <c r="T85" i="4"/>
  <c r="T84" i="4"/>
  <c r="T83" i="4"/>
  <c r="T82" i="4"/>
  <c r="T81" i="4"/>
  <c r="T80" i="4"/>
  <c r="T79" i="4"/>
  <c r="T78" i="4"/>
  <c r="T77" i="4"/>
  <c r="T76" i="4"/>
  <c r="T75" i="4"/>
  <c r="T74" i="4"/>
  <c r="T73" i="4"/>
  <c r="T72" i="4"/>
  <c r="T71" i="4"/>
  <c r="T70" i="4"/>
  <c r="T69" i="4"/>
  <c r="T68" i="4"/>
  <c r="T67" i="4"/>
  <c r="T66" i="4"/>
  <c r="T65" i="4"/>
  <c r="T64" i="4"/>
  <c r="T63" i="4"/>
  <c r="T62" i="4"/>
  <c r="T61" i="4"/>
  <c r="T60" i="4"/>
  <c r="T59" i="4"/>
  <c r="T58" i="4"/>
  <c r="T57" i="4"/>
  <c r="T56" i="4"/>
  <c r="T55" i="4"/>
  <c r="T54" i="4"/>
  <c r="T53" i="4"/>
  <c r="T52" i="4"/>
  <c r="T51" i="4"/>
  <c r="T50" i="4"/>
  <c r="T49" i="4"/>
  <c r="T48" i="4"/>
  <c r="T47" i="4"/>
  <c r="T46" i="4"/>
  <c r="T45" i="4"/>
  <c r="T44" i="4"/>
  <c r="T43" i="4"/>
  <c r="T42" i="4"/>
  <c r="T41" i="4"/>
  <c r="T40" i="4"/>
  <c r="T39" i="4"/>
  <c r="T38" i="4"/>
  <c r="T37" i="4"/>
  <c r="T36" i="4"/>
  <c r="T35" i="4"/>
  <c r="T34" i="4"/>
  <c r="T33" i="4"/>
  <c r="T32" i="4"/>
  <c r="T31" i="4"/>
  <c r="T30" i="4"/>
  <c r="T29" i="4"/>
  <c r="T28" i="4"/>
  <c r="T27" i="4"/>
  <c r="T26" i="4"/>
  <c r="T25" i="4"/>
  <c r="T24" i="4"/>
  <c r="T23" i="4"/>
  <c r="T22" i="4"/>
  <c r="T21" i="4"/>
  <c r="T20" i="4"/>
  <c r="T19" i="4"/>
  <c r="T18" i="4"/>
  <c r="T17" i="4"/>
  <c r="T16" i="4"/>
  <c r="T15" i="4"/>
  <c r="T14" i="4"/>
  <c r="T13" i="4"/>
  <c r="T12" i="4"/>
  <c r="T11" i="4"/>
  <c r="T10" i="4"/>
  <c r="T9" i="4"/>
  <c r="T8" i="4"/>
  <c r="T7" i="4"/>
  <c r="T6" i="4"/>
  <c r="T5" i="4"/>
  <c r="T4" i="4"/>
  <c r="AN30" i="4"/>
  <c r="AN29" i="4"/>
  <c r="AN28" i="4"/>
  <c r="AN27" i="4"/>
  <c r="AN26" i="4"/>
  <c r="AN25" i="4"/>
  <c r="AN24" i="4"/>
  <c r="AN23" i="4"/>
  <c r="AN22" i="4"/>
  <c r="AN21" i="4"/>
  <c r="AN20" i="4"/>
  <c r="AN19" i="4"/>
  <c r="R753" i="4"/>
  <c r="R752" i="4"/>
  <c r="R751" i="4"/>
  <c r="R750" i="4"/>
  <c r="R749" i="4"/>
  <c r="R748" i="4"/>
  <c r="R747" i="4"/>
  <c r="R746" i="4"/>
  <c r="R745" i="4"/>
  <c r="R744" i="4"/>
  <c r="R743" i="4"/>
  <c r="R742" i="4"/>
  <c r="R741" i="4"/>
  <c r="R740" i="4"/>
  <c r="R739" i="4"/>
  <c r="R738" i="4"/>
  <c r="R737" i="4"/>
  <c r="R736" i="4"/>
  <c r="R735" i="4"/>
  <c r="R734" i="4"/>
  <c r="R733" i="4"/>
  <c r="R732" i="4"/>
  <c r="R731" i="4"/>
  <c r="R730" i="4"/>
  <c r="R729" i="4"/>
  <c r="R728" i="4"/>
  <c r="R727" i="4"/>
  <c r="R726" i="4"/>
  <c r="R725" i="4"/>
  <c r="R724" i="4"/>
  <c r="R723" i="4"/>
  <c r="R722" i="4"/>
  <c r="R721" i="4"/>
  <c r="R720" i="4"/>
  <c r="R719" i="4"/>
  <c r="R718" i="4"/>
  <c r="R717" i="4"/>
  <c r="R716" i="4"/>
  <c r="R715" i="4"/>
  <c r="R714" i="4"/>
  <c r="R713" i="4"/>
  <c r="R712" i="4"/>
  <c r="R711" i="4"/>
  <c r="R710" i="4"/>
  <c r="R709" i="4"/>
  <c r="R708" i="4"/>
  <c r="R707" i="4"/>
  <c r="R706" i="4"/>
  <c r="R705" i="4"/>
  <c r="R704" i="4"/>
  <c r="R703" i="4"/>
  <c r="R702" i="4"/>
  <c r="R701" i="4"/>
  <c r="R700" i="4"/>
  <c r="R699" i="4"/>
  <c r="R698" i="4"/>
  <c r="R697" i="4"/>
  <c r="R696" i="4"/>
  <c r="R695" i="4"/>
  <c r="R694" i="4"/>
  <c r="R693" i="4"/>
  <c r="R692" i="4"/>
  <c r="R691" i="4"/>
  <c r="R690" i="4"/>
  <c r="R689" i="4"/>
  <c r="R688" i="4"/>
  <c r="R687" i="4"/>
  <c r="R686" i="4"/>
  <c r="R685" i="4"/>
  <c r="R684" i="4"/>
  <c r="R683" i="4"/>
  <c r="R682" i="4"/>
  <c r="R681" i="4"/>
  <c r="R680" i="4"/>
  <c r="R679" i="4"/>
  <c r="R678" i="4"/>
  <c r="R677" i="4"/>
  <c r="R676" i="4"/>
  <c r="R675" i="4"/>
  <c r="R674" i="4"/>
  <c r="R673" i="4"/>
  <c r="R672" i="4"/>
  <c r="R671" i="4"/>
  <c r="R670" i="4"/>
  <c r="R669" i="4"/>
  <c r="R668" i="4"/>
  <c r="R667" i="4"/>
  <c r="R666" i="4"/>
  <c r="R665" i="4"/>
  <c r="R664" i="4"/>
  <c r="R663" i="4"/>
  <c r="R662" i="4"/>
  <c r="R661" i="4"/>
  <c r="R660" i="4"/>
  <c r="R659" i="4"/>
  <c r="R658" i="4"/>
  <c r="R657" i="4"/>
  <c r="R656" i="4"/>
  <c r="R655" i="4"/>
  <c r="R654" i="4"/>
  <c r="R653" i="4"/>
  <c r="R652" i="4"/>
  <c r="R651" i="4"/>
  <c r="R650" i="4"/>
  <c r="R649" i="4"/>
  <c r="R648" i="4"/>
  <c r="R647" i="4"/>
  <c r="R646" i="4"/>
  <c r="R645" i="4"/>
  <c r="R644" i="4"/>
  <c r="R643" i="4"/>
  <c r="R642" i="4"/>
  <c r="R641" i="4"/>
  <c r="R640" i="4"/>
  <c r="R639" i="4"/>
  <c r="R638" i="4"/>
  <c r="R637" i="4"/>
  <c r="R636" i="4"/>
  <c r="R635" i="4"/>
  <c r="R634" i="4"/>
  <c r="R633" i="4"/>
  <c r="R632" i="4"/>
  <c r="R631" i="4"/>
  <c r="R630" i="4"/>
  <c r="R629" i="4"/>
  <c r="R628" i="4"/>
  <c r="R627" i="4"/>
  <c r="R626" i="4"/>
  <c r="R625" i="4"/>
  <c r="R624" i="4"/>
  <c r="R623" i="4"/>
  <c r="R622" i="4"/>
  <c r="R621" i="4"/>
  <c r="R620" i="4"/>
  <c r="R619" i="4"/>
  <c r="R618" i="4"/>
  <c r="R617" i="4"/>
  <c r="R616" i="4"/>
  <c r="R615" i="4"/>
  <c r="R614" i="4"/>
  <c r="R613" i="4"/>
  <c r="R612" i="4"/>
  <c r="R611" i="4"/>
  <c r="R610" i="4"/>
  <c r="R609" i="4"/>
  <c r="R608" i="4"/>
  <c r="R607" i="4"/>
  <c r="R606" i="4"/>
  <c r="R605" i="4"/>
  <c r="R604" i="4"/>
  <c r="R603" i="4"/>
  <c r="R602" i="4"/>
  <c r="R601" i="4"/>
  <c r="R600" i="4"/>
  <c r="R599" i="4"/>
  <c r="R598" i="4"/>
  <c r="R597" i="4"/>
  <c r="R596" i="4"/>
  <c r="R595" i="4"/>
  <c r="R594" i="4"/>
  <c r="R593" i="4"/>
  <c r="R592" i="4"/>
  <c r="R591" i="4"/>
  <c r="R590" i="4"/>
  <c r="R589" i="4"/>
  <c r="R588" i="4"/>
  <c r="R587" i="4"/>
  <c r="R586" i="4"/>
  <c r="R585" i="4"/>
  <c r="R584" i="4"/>
  <c r="R583" i="4"/>
  <c r="R582" i="4"/>
  <c r="R581" i="4"/>
  <c r="R580" i="4"/>
  <c r="R579" i="4"/>
  <c r="R578" i="4"/>
  <c r="R577" i="4"/>
  <c r="R576" i="4"/>
  <c r="R575" i="4"/>
  <c r="R574" i="4"/>
  <c r="R573" i="4"/>
  <c r="R572" i="4"/>
  <c r="R571" i="4"/>
  <c r="R570" i="4"/>
  <c r="R569" i="4"/>
  <c r="R568" i="4"/>
  <c r="R567" i="4"/>
  <c r="R566" i="4"/>
  <c r="R565" i="4"/>
  <c r="R564" i="4"/>
  <c r="R563" i="4"/>
  <c r="R562" i="4"/>
  <c r="R561" i="4"/>
  <c r="R560" i="4"/>
  <c r="R559" i="4"/>
  <c r="R558" i="4"/>
  <c r="R557" i="4"/>
  <c r="R556" i="4"/>
  <c r="R555" i="4"/>
  <c r="R554" i="4"/>
  <c r="R553" i="4"/>
  <c r="R552" i="4"/>
  <c r="R551" i="4"/>
  <c r="R550" i="4"/>
  <c r="R549" i="4"/>
  <c r="R548" i="4"/>
  <c r="R547" i="4"/>
  <c r="R546" i="4"/>
  <c r="R545" i="4"/>
  <c r="R544" i="4"/>
  <c r="R543" i="4"/>
  <c r="R542" i="4"/>
  <c r="R541" i="4"/>
  <c r="R540" i="4"/>
  <c r="R539" i="4"/>
  <c r="R538" i="4"/>
  <c r="R537" i="4"/>
  <c r="R536" i="4"/>
  <c r="R535" i="4"/>
  <c r="R534" i="4"/>
  <c r="R533" i="4"/>
  <c r="R532" i="4"/>
  <c r="R531" i="4"/>
  <c r="R530" i="4"/>
  <c r="R529" i="4"/>
  <c r="R528" i="4"/>
  <c r="R527" i="4"/>
  <c r="R526" i="4"/>
  <c r="R525" i="4"/>
  <c r="R524" i="4"/>
  <c r="R523" i="4"/>
  <c r="R522" i="4"/>
  <c r="R521" i="4"/>
  <c r="R520" i="4"/>
  <c r="R519" i="4"/>
  <c r="R518" i="4"/>
  <c r="R517" i="4"/>
  <c r="R516" i="4"/>
  <c r="R515" i="4"/>
  <c r="R514" i="4"/>
  <c r="R513" i="4"/>
  <c r="R512" i="4"/>
  <c r="R511" i="4"/>
  <c r="R510" i="4"/>
  <c r="R509" i="4"/>
  <c r="R508" i="4"/>
  <c r="R507" i="4"/>
  <c r="R506" i="4"/>
  <c r="R505" i="4"/>
  <c r="R504" i="4"/>
  <c r="R503" i="4"/>
  <c r="R502" i="4"/>
  <c r="R501" i="4"/>
  <c r="R500" i="4"/>
  <c r="R499" i="4"/>
  <c r="R498" i="4"/>
  <c r="R497" i="4"/>
  <c r="R496" i="4"/>
  <c r="R495" i="4"/>
  <c r="R494" i="4"/>
  <c r="R493" i="4"/>
  <c r="R492" i="4"/>
  <c r="R491" i="4"/>
  <c r="R490" i="4"/>
  <c r="R489" i="4"/>
  <c r="R488" i="4"/>
  <c r="R487" i="4"/>
  <c r="R486" i="4"/>
  <c r="R485" i="4"/>
  <c r="R484" i="4"/>
  <c r="R483" i="4"/>
  <c r="R482" i="4"/>
  <c r="R481" i="4"/>
  <c r="R480" i="4"/>
  <c r="R479" i="4"/>
  <c r="R478" i="4"/>
  <c r="R477" i="4"/>
  <c r="R476" i="4"/>
  <c r="R475" i="4"/>
  <c r="R474" i="4"/>
  <c r="R473" i="4"/>
  <c r="R472" i="4"/>
  <c r="R471" i="4"/>
  <c r="R470" i="4"/>
  <c r="R469" i="4"/>
  <c r="R468" i="4"/>
  <c r="R467" i="4"/>
  <c r="R466" i="4"/>
  <c r="R465" i="4"/>
  <c r="R464" i="4"/>
  <c r="R463" i="4"/>
  <c r="R462" i="4"/>
  <c r="R461" i="4"/>
  <c r="R460" i="4"/>
  <c r="R459" i="4"/>
  <c r="R458" i="4"/>
  <c r="R457" i="4"/>
  <c r="R456" i="4"/>
  <c r="R455" i="4"/>
  <c r="R454" i="4"/>
  <c r="R453" i="4"/>
  <c r="R452" i="4"/>
  <c r="R451" i="4"/>
  <c r="R450" i="4"/>
  <c r="R449" i="4"/>
  <c r="R448" i="4"/>
  <c r="R447" i="4"/>
  <c r="R446" i="4"/>
  <c r="R445" i="4"/>
  <c r="R444" i="4"/>
  <c r="R443" i="4"/>
  <c r="R442" i="4"/>
  <c r="R441" i="4"/>
  <c r="R440" i="4"/>
  <c r="R439" i="4"/>
  <c r="R438" i="4"/>
  <c r="R437" i="4"/>
  <c r="R436" i="4"/>
  <c r="R435" i="4"/>
  <c r="R434" i="4"/>
  <c r="R433" i="4"/>
  <c r="R432" i="4"/>
  <c r="R431" i="4"/>
  <c r="R430" i="4"/>
  <c r="R429" i="4"/>
  <c r="R428" i="4"/>
  <c r="R427" i="4"/>
  <c r="R426" i="4"/>
  <c r="R425" i="4"/>
  <c r="R424" i="4"/>
  <c r="R423" i="4"/>
  <c r="R422" i="4"/>
  <c r="R421" i="4"/>
  <c r="R420" i="4"/>
  <c r="R419" i="4"/>
  <c r="R418" i="4"/>
  <c r="R417" i="4"/>
  <c r="R416" i="4"/>
  <c r="R415" i="4"/>
  <c r="R414" i="4"/>
  <c r="R413" i="4"/>
  <c r="R412" i="4"/>
  <c r="R411" i="4"/>
  <c r="R410" i="4"/>
  <c r="R409" i="4"/>
  <c r="R408" i="4"/>
  <c r="R407" i="4"/>
  <c r="R406" i="4"/>
  <c r="R405" i="4"/>
  <c r="R404" i="4"/>
  <c r="R403" i="4"/>
  <c r="R402" i="4"/>
  <c r="R401" i="4"/>
  <c r="R400" i="4"/>
  <c r="R399" i="4"/>
  <c r="R398" i="4"/>
  <c r="R397" i="4"/>
  <c r="R396" i="4"/>
  <c r="R395" i="4"/>
  <c r="R394" i="4"/>
  <c r="R393" i="4"/>
  <c r="R392" i="4"/>
  <c r="R391" i="4"/>
  <c r="R390" i="4"/>
  <c r="R389" i="4"/>
  <c r="R388" i="4"/>
  <c r="R387" i="4"/>
  <c r="R386" i="4"/>
  <c r="R385" i="4"/>
  <c r="R384" i="4"/>
  <c r="R383" i="4"/>
  <c r="R382" i="4"/>
  <c r="R381" i="4"/>
  <c r="R380" i="4"/>
  <c r="R379" i="4"/>
  <c r="R378" i="4"/>
  <c r="R377" i="4"/>
  <c r="R376" i="4"/>
  <c r="R375" i="4"/>
  <c r="R374" i="4"/>
  <c r="R373" i="4"/>
  <c r="R372" i="4"/>
  <c r="R371" i="4"/>
  <c r="R370" i="4"/>
  <c r="R369" i="4"/>
  <c r="R368" i="4"/>
  <c r="R367" i="4"/>
  <c r="R366" i="4"/>
  <c r="R365" i="4"/>
  <c r="R364" i="4"/>
  <c r="R363" i="4"/>
  <c r="R362" i="4"/>
  <c r="R361" i="4"/>
  <c r="R360" i="4"/>
  <c r="R359" i="4"/>
  <c r="R358" i="4"/>
  <c r="R357" i="4"/>
  <c r="R356" i="4"/>
  <c r="R355" i="4"/>
  <c r="R354" i="4"/>
  <c r="R353" i="4"/>
  <c r="R352" i="4"/>
  <c r="R351" i="4"/>
  <c r="R350" i="4"/>
  <c r="R349" i="4"/>
  <c r="R348" i="4"/>
  <c r="R347" i="4"/>
  <c r="R346" i="4"/>
  <c r="R345" i="4"/>
  <c r="R344" i="4"/>
  <c r="R343" i="4"/>
  <c r="R342" i="4"/>
  <c r="R341" i="4"/>
  <c r="R340" i="4"/>
  <c r="R339" i="4"/>
  <c r="R338" i="4"/>
  <c r="R337" i="4"/>
  <c r="R336" i="4"/>
  <c r="R335" i="4"/>
  <c r="R334" i="4"/>
  <c r="R333" i="4"/>
  <c r="R332" i="4"/>
  <c r="R331" i="4"/>
  <c r="R330" i="4"/>
  <c r="R329" i="4"/>
  <c r="R328" i="4"/>
  <c r="R327" i="4"/>
  <c r="R326" i="4"/>
  <c r="R325" i="4"/>
  <c r="R324" i="4"/>
  <c r="R323" i="4"/>
  <c r="R322" i="4"/>
  <c r="R321" i="4"/>
  <c r="R320" i="4"/>
  <c r="R319" i="4"/>
  <c r="R318" i="4"/>
  <c r="R317" i="4"/>
  <c r="R316" i="4"/>
  <c r="R315" i="4"/>
  <c r="R314" i="4"/>
  <c r="R313" i="4"/>
  <c r="R312" i="4"/>
  <c r="R311" i="4"/>
  <c r="R310" i="4"/>
  <c r="R309" i="4"/>
  <c r="R308" i="4"/>
  <c r="R307" i="4"/>
  <c r="R306" i="4"/>
  <c r="R305" i="4"/>
  <c r="R304" i="4"/>
  <c r="R303" i="4"/>
  <c r="R302" i="4"/>
  <c r="R301" i="4"/>
  <c r="R300" i="4"/>
  <c r="R299" i="4"/>
  <c r="R298" i="4"/>
  <c r="R297" i="4"/>
  <c r="R296" i="4"/>
  <c r="R295" i="4"/>
  <c r="R294" i="4"/>
  <c r="R293" i="4"/>
  <c r="R292" i="4"/>
  <c r="R291" i="4"/>
  <c r="R290" i="4"/>
  <c r="R289" i="4"/>
  <c r="R288" i="4"/>
  <c r="R287" i="4"/>
  <c r="R286" i="4"/>
  <c r="R285" i="4"/>
  <c r="R284" i="4"/>
  <c r="R283" i="4"/>
  <c r="R282" i="4"/>
  <c r="R281" i="4"/>
  <c r="R280" i="4"/>
  <c r="R279" i="4"/>
  <c r="R278" i="4"/>
  <c r="R277" i="4"/>
  <c r="R276" i="4"/>
  <c r="R275" i="4"/>
  <c r="R274" i="4"/>
  <c r="R273" i="4"/>
  <c r="R272" i="4"/>
  <c r="R271" i="4"/>
  <c r="R270" i="4"/>
  <c r="R269" i="4"/>
  <c r="R268" i="4"/>
  <c r="R267" i="4"/>
  <c r="R266" i="4"/>
  <c r="R265" i="4"/>
  <c r="R264" i="4"/>
  <c r="R263" i="4"/>
  <c r="R262" i="4"/>
  <c r="R261" i="4"/>
  <c r="R260" i="4"/>
  <c r="R259" i="4"/>
  <c r="R258" i="4"/>
  <c r="R257" i="4"/>
  <c r="R256" i="4"/>
  <c r="R255" i="4"/>
  <c r="R254" i="4"/>
  <c r="R253" i="4"/>
  <c r="R252" i="4"/>
  <c r="R251" i="4"/>
  <c r="R250" i="4"/>
  <c r="R249" i="4"/>
  <c r="R248" i="4"/>
  <c r="R247" i="4"/>
  <c r="R246" i="4"/>
  <c r="R245" i="4"/>
  <c r="R244" i="4"/>
  <c r="R243" i="4"/>
  <c r="R242" i="4"/>
  <c r="R241" i="4"/>
  <c r="R240" i="4"/>
  <c r="R239" i="4"/>
  <c r="R238" i="4"/>
  <c r="R237" i="4"/>
  <c r="R236" i="4"/>
  <c r="R235" i="4"/>
  <c r="R234" i="4"/>
  <c r="R233" i="4"/>
  <c r="R232" i="4"/>
  <c r="R231" i="4"/>
  <c r="R230" i="4"/>
  <c r="R229" i="4"/>
  <c r="R228" i="4"/>
  <c r="R227" i="4"/>
  <c r="R226" i="4"/>
  <c r="R225" i="4"/>
  <c r="R224" i="4"/>
  <c r="R223" i="4"/>
  <c r="R222" i="4"/>
  <c r="R221" i="4"/>
  <c r="R220" i="4"/>
  <c r="R219" i="4"/>
  <c r="R218" i="4"/>
  <c r="R217" i="4"/>
  <c r="R216" i="4"/>
  <c r="R215" i="4"/>
  <c r="R214" i="4"/>
  <c r="R213" i="4"/>
  <c r="R212" i="4"/>
  <c r="R211" i="4"/>
  <c r="R210" i="4"/>
  <c r="R209" i="4"/>
  <c r="R208" i="4"/>
  <c r="R207" i="4"/>
  <c r="R206" i="4"/>
  <c r="R205" i="4"/>
  <c r="R204" i="4"/>
  <c r="R203" i="4"/>
  <c r="R202" i="4"/>
  <c r="R201" i="4"/>
  <c r="R200" i="4"/>
  <c r="R199" i="4"/>
  <c r="R198" i="4"/>
  <c r="R197" i="4"/>
  <c r="R196" i="4"/>
  <c r="R195" i="4"/>
  <c r="R194" i="4"/>
  <c r="R193" i="4"/>
  <c r="R192" i="4"/>
  <c r="R191" i="4"/>
  <c r="R190" i="4"/>
  <c r="R189" i="4"/>
  <c r="R188" i="4"/>
  <c r="R187" i="4"/>
  <c r="R186" i="4"/>
  <c r="R185" i="4"/>
  <c r="R184" i="4"/>
  <c r="R183" i="4"/>
  <c r="R182" i="4"/>
  <c r="R181" i="4"/>
  <c r="R180" i="4"/>
  <c r="R179" i="4"/>
  <c r="R178" i="4"/>
  <c r="R177" i="4"/>
  <c r="R176" i="4"/>
  <c r="R175" i="4"/>
  <c r="R174" i="4"/>
  <c r="R173" i="4"/>
  <c r="R172" i="4"/>
  <c r="R171" i="4"/>
  <c r="R170" i="4"/>
  <c r="R169" i="4"/>
  <c r="R168" i="4"/>
  <c r="R167" i="4"/>
  <c r="R166" i="4"/>
  <c r="R165" i="4"/>
  <c r="R164" i="4"/>
  <c r="R163" i="4"/>
  <c r="R162" i="4"/>
  <c r="R161" i="4"/>
  <c r="R160" i="4"/>
  <c r="R159" i="4"/>
  <c r="R158" i="4"/>
  <c r="R157" i="4"/>
  <c r="R156" i="4"/>
  <c r="R155" i="4"/>
  <c r="R154" i="4"/>
  <c r="R153" i="4"/>
  <c r="R152" i="4"/>
  <c r="R151" i="4"/>
  <c r="R150" i="4"/>
  <c r="R149" i="4"/>
  <c r="R148" i="4"/>
  <c r="R147" i="4"/>
  <c r="R146" i="4"/>
  <c r="R145" i="4"/>
  <c r="R144" i="4"/>
  <c r="R143" i="4"/>
  <c r="R142" i="4"/>
  <c r="R141" i="4"/>
  <c r="R140" i="4"/>
  <c r="R139" i="4"/>
  <c r="R138" i="4"/>
  <c r="R137" i="4"/>
  <c r="R136" i="4"/>
  <c r="R135" i="4"/>
  <c r="R134" i="4"/>
  <c r="R133" i="4"/>
  <c r="R132" i="4"/>
  <c r="R131" i="4"/>
  <c r="R130" i="4"/>
  <c r="R129" i="4"/>
  <c r="R128" i="4"/>
  <c r="R127" i="4"/>
  <c r="R126" i="4"/>
  <c r="R125" i="4"/>
  <c r="R124" i="4"/>
  <c r="R123" i="4"/>
  <c r="R122" i="4"/>
  <c r="R121" i="4"/>
  <c r="R120" i="4"/>
  <c r="R119" i="4"/>
  <c r="R118" i="4"/>
  <c r="R117" i="4"/>
  <c r="R116" i="4"/>
  <c r="R115" i="4"/>
  <c r="R114" i="4"/>
  <c r="R113" i="4"/>
  <c r="R112" i="4"/>
  <c r="R111" i="4"/>
  <c r="R110" i="4"/>
  <c r="R109" i="4"/>
  <c r="R108" i="4"/>
  <c r="R107" i="4"/>
  <c r="R106" i="4"/>
  <c r="R105" i="4"/>
  <c r="R104" i="4"/>
  <c r="R103" i="4"/>
  <c r="R102" i="4"/>
  <c r="R101" i="4"/>
  <c r="R100" i="4"/>
  <c r="R99" i="4"/>
  <c r="R98" i="4"/>
  <c r="R97" i="4"/>
  <c r="R96" i="4"/>
  <c r="R95" i="4"/>
  <c r="R94" i="4"/>
  <c r="R93" i="4"/>
  <c r="R92" i="4"/>
  <c r="R91" i="4"/>
  <c r="R90" i="4"/>
  <c r="R89" i="4"/>
  <c r="R88" i="4"/>
  <c r="R87" i="4"/>
  <c r="R86" i="4"/>
  <c r="R85" i="4"/>
  <c r="R84" i="4"/>
  <c r="R83" i="4"/>
  <c r="R82" i="4"/>
  <c r="R81" i="4"/>
  <c r="R80" i="4"/>
  <c r="R79" i="4"/>
  <c r="R78" i="4"/>
  <c r="R77" i="4"/>
  <c r="R76" i="4"/>
  <c r="R75" i="4"/>
  <c r="R74" i="4"/>
  <c r="R73" i="4"/>
  <c r="R72" i="4"/>
  <c r="R71" i="4"/>
  <c r="R70" i="4"/>
  <c r="R69" i="4"/>
  <c r="R68" i="4"/>
  <c r="R67" i="4"/>
  <c r="R66" i="4"/>
  <c r="R65" i="4"/>
  <c r="R64" i="4"/>
  <c r="R63" i="4"/>
  <c r="R62" i="4"/>
  <c r="R61" i="4"/>
  <c r="R60" i="4"/>
  <c r="R59" i="4"/>
  <c r="R58" i="4"/>
  <c r="R57" i="4"/>
  <c r="R56" i="4"/>
  <c r="R55" i="4"/>
  <c r="R54" i="4"/>
  <c r="R53" i="4"/>
  <c r="R52" i="4"/>
  <c r="R51" i="4"/>
  <c r="R50" i="4"/>
  <c r="R49" i="4"/>
  <c r="R48" i="4"/>
  <c r="R47" i="4"/>
  <c r="R46" i="4"/>
  <c r="R45" i="4"/>
  <c r="R44" i="4"/>
  <c r="R43" i="4"/>
  <c r="R42" i="4"/>
  <c r="R41" i="4"/>
  <c r="R40" i="4"/>
  <c r="R39" i="4"/>
  <c r="R38" i="4"/>
  <c r="R37" i="4"/>
  <c r="R36" i="4"/>
  <c r="R35" i="4"/>
  <c r="R34" i="4"/>
  <c r="R33" i="4"/>
  <c r="R32" i="4"/>
  <c r="R31" i="4"/>
  <c r="R30" i="4"/>
  <c r="R29" i="4"/>
  <c r="R28" i="4"/>
  <c r="R27" i="4"/>
  <c r="R26" i="4"/>
  <c r="R25" i="4"/>
  <c r="R24" i="4"/>
  <c r="R23" i="4"/>
  <c r="R22" i="4"/>
  <c r="R21" i="4"/>
  <c r="R20" i="4"/>
  <c r="R19" i="4"/>
  <c r="R18" i="4"/>
  <c r="R17" i="4"/>
  <c r="R16" i="4"/>
  <c r="R15" i="4"/>
  <c r="R14" i="4"/>
  <c r="R13" i="4"/>
  <c r="R12" i="4"/>
  <c r="R11" i="4"/>
  <c r="R10" i="4"/>
  <c r="R9" i="4"/>
  <c r="R8" i="4"/>
  <c r="R7" i="4"/>
  <c r="R6"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L753" i="4"/>
  <c r="L752" i="4"/>
  <c r="L751" i="4"/>
  <c r="L750" i="4"/>
  <c r="L749" i="4"/>
  <c r="L748" i="4"/>
  <c r="L747" i="4"/>
  <c r="L746" i="4"/>
  <c r="L745" i="4"/>
  <c r="L744" i="4"/>
  <c r="L743" i="4"/>
  <c r="L742" i="4"/>
  <c r="L741" i="4"/>
  <c r="L740" i="4"/>
  <c r="L739" i="4"/>
  <c r="L738" i="4"/>
  <c r="L737" i="4"/>
  <c r="L736" i="4"/>
  <c r="L735" i="4"/>
  <c r="L734" i="4"/>
  <c r="L733" i="4"/>
  <c r="L732" i="4"/>
  <c r="L731" i="4"/>
  <c r="L730" i="4"/>
  <c r="L729" i="4"/>
  <c r="L728" i="4"/>
  <c r="L727" i="4"/>
  <c r="L726" i="4"/>
  <c r="L725" i="4"/>
  <c r="L724" i="4"/>
  <c r="L723" i="4"/>
  <c r="L722" i="4"/>
  <c r="L721" i="4"/>
  <c r="L720" i="4"/>
  <c r="L719" i="4"/>
  <c r="L718" i="4"/>
  <c r="L717" i="4"/>
  <c r="L716" i="4"/>
  <c r="L715" i="4"/>
  <c r="L714" i="4"/>
  <c r="L713" i="4"/>
  <c r="L712" i="4"/>
  <c r="L711" i="4"/>
  <c r="L710" i="4"/>
  <c r="L709" i="4"/>
  <c r="L708" i="4"/>
  <c r="L707" i="4"/>
  <c r="L706" i="4"/>
  <c r="L705" i="4"/>
  <c r="L704" i="4"/>
  <c r="L703" i="4"/>
  <c r="L702" i="4"/>
  <c r="L701" i="4"/>
  <c r="L700" i="4"/>
  <c r="L699" i="4"/>
  <c r="L698" i="4"/>
  <c r="L697" i="4"/>
  <c r="L696" i="4"/>
  <c r="L695" i="4"/>
  <c r="L694" i="4"/>
  <c r="L693" i="4"/>
  <c r="L692" i="4"/>
  <c r="L691" i="4"/>
  <c r="L690" i="4"/>
  <c r="L689" i="4"/>
  <c r="L688" i="4"/>
  <c r="L687" i="4"/>
  <c r="L686" i="4"/>
  <c r="L685" i="4"/>
  <c r="L684" i="4"/>
  <c r="L683" i="4"/>
  <c r="L682" i="4"/>
  <c r="L681" i="4"/>
  <c r="L680" i="4"/>
  <c r="L679" i="4"/>
  <c r="L678" i="4"/>
  <c r="L677" i="4"/>
  <c r="L676" i="4"/>
  <c r="L675" i="4"/>
  <c r="L674" i="4"/>
  <c r="L673" i="4"/>
  <c r="L672" i="4"/>
  <c r="L671" i="4"/>
  <c r="L670" i="4"/>
  <c r="L669" i="4"/>
  <c r="L668" i="4"/>
  <c r="L667" i="4"/>
  <c r="L666" i="4"/>
  <c r="L665" i="4"/>
  <c r="L664" i="4"/>
  <c r="L663" i="4"/>
  <c r="L662" i="4"/>
  <c r="L661" i="4"/>
  <c r="L660" i="4"/>
  <c r="L659" i="4"/>
  <c r="L658" i="4"/>
  <c r="L657" i="4"/>
  <c r="L656" i="4"/>
  <c r="L655" i="4"/>
  <c r="L654" i="4"/>
  <c r="L653" i="4"/>
  <c r="L652" i="4"/>
  <c r="L651" i="4"/>
  <c r="L650" i="4"/>
  <c r="L649" i="4"/>
  <c r="L648" i="4"/>
  <c r="L647" i="4"/>
  <c r="L646" i="4"/>
  <c r="L645" i="4"/>
  <c r="L644" i="4"/>
  <c r="L643" i="4"/>
  <c r="L642" i="4"/>
  <c r="L641" i="4"/>
  <c r="L640" i="4"/>
  <c r="L639" i="4"/>
  <c r="L638" i="4"/>
  <c r="L637" i="4"/>
  <c r="L636" i="4"/>
  <c r="L635" i="4"/>
  <c r="L634" i="4"/>
  <c r="L633" i="4"/>
  <c r="L632" i="4"/>
  <c r="L631" i="4"/>
  <c r="L630" i="4"/>
  <c r="L629" i="4"/>
  <c r="L628" i="4"/>
  <c r="L627" i="4"/>
  <c r="L626" i="4"/>
  <c r="L625" i="4"/>
  <c r="L624" i="4"/>
  <c r="L623" i="4"/>
  <c r="L622" i="4"/>
  <c r="L621" i="4"/>
  <c r="L620" i="4"/>
  <c r="L619" i="4"/>
  <c r="L618" i="4"/>
  <c r="L617" i="4"/>
  <c r="L616" i="4"/>
  <c r="L615" i="4"/>
  <c r="L614" i="4"/>
  <c r="L613" i="4"/>
  <c r="L612" i="4"/>
  <c r="L611" i="4"/>
  <c r="L610" i="4"/>
  <c r="L609" i="4"/>
  <c r="L608" i="4"/>
  <c r="L607" i="4"/>
  <c r="L606" i="4"/>
  <c r="L605" i="4"/>
  <c r="L604" i="4"/>
  <c r="L603" i="4"/>
  <c r="L602" i="4"/>
  <c r="L601" i="4"/>
  <c r="L600" i="4"/>
  <c r="L599" i="4"/>
  <c r="L598" i="4"/>
  <c r="L597" i="4"/>
  <c r="L596" i="4"/>
  <c r="L595" i="4"/>
  <c r="L594" i="4"/>
  <c r="L593" i="4"/>
  <c r="L592" i="4"/>
  <c r="L591" i="4"/>
  <c r="L590" i="4"/>
  <c r="L589" i="4"/>
  <c r="L588" i="4"/>
  <c r="L587" i="4"/>
  <c r="L586" i="4"/>
  <c r="L585" i="4"/>
  <c r="L584" i="4"/>
  <c r="L583" i="4"/>
  <c r="L582" i="4"/>
  <c r="L581" i="4"/>
  <c r="L580" i="4"/>
  <c r="L579" i="4"/>
  <c r="L578" i="4"/>
  <c r="L577" i="4"/>
  <c r="L576" i="4"/>
  <c r="L575" i="4"/>
  <c r="L574" i="4"/>
  <c r="L573" i="4"/>
  <c r="L572" i="4"/>
  <c r="L571" i="4"/>
  <c r="L570" i="4"/>
  <c r="L569" i="4"/>
  <c r="L568" i="4"/>
  <c r="L567" i="4"/>
  <c r="L566" i="4"/>
  <c r="L565" i="4"/>
  <c r="L564" i="4"/>
  <c r="L563" i="4"/>
  <c r="L562" i="4"/>
  <c r="L561" i="4"/>
  <c r="L560" i="4"/>
  <c r="L559" i="4"/>
  <c r="L558" i="4"/>
  <c r="L557" i="4"/>
  <c r="L556" i="4"/>
  <c r="L555" i="4"/>
  <c r="L554" i="4"/>
  <c r="L553" i="4"/>
  <c r="L552" i="4"/>
  <c r="L551" i="4"/>
  <c r="L550" i="4"/>
  <c r="L549" i="4"/>
  <c r="L548" i="4"/>
  <c r="L547" i="4"/>
  <c r="L546" i="4"/>
  <c r="L545" i="4"/>
  <c r="L544" i="4"/>
  <c r="L543" i="4"/>
  <c r="L542" i="4"/>
  <c r="L541" i="4"/>
  <c r="L540" i="4"/>
  <c r="L539" i="4"/>
  <c r="L538" i="4"/>
  <c r="L537" i="4"/>
  <c r="L536" i="4"/>
  <c r="L535" i="4"/>
  <c r="L534" i="4"/>
  <c r="L533" i="4"/>
  <c r="L532" i="4"/>
  <c r="L531" i="4"/>
  <c r="L530" i="4"/>
  <c r="L529" i="4"/>
  <c r="L528" i="4"/>
  <c r="L527" i="4"/>
  <c r="L526" i="4"/>
  <c r="L525" i="4"/>
  <c r="L524" i="4"/>
  <c r="L523" i="4"/>
  <c r="L522" i="4"/>
  <c r="L521" i="4"/>
  <c r="L520" i="4"/>
  <c r="L519" i="4"/>
  <c r="L518" i="4"/>
  <c r="L517" i="4"/>
  <c r="L516" i="4"/>
  <c r="L515" i="4"/>
  <c r="L514" i="4"/>
  <c r="L513" i="4"/>
  <c r="L512" i="4"/>
  <c r="L511" i="4"/>
  <c r="L510" i="4"/>
  <c r="L509" i="4"/>
  <c r="L508" i="4"/>
  <c r="L507" i="4"/>
  <c r="L506" i="4"/>
  <c r="L505" i="4"/>
  <c r="L504" i="4"/>
  <c r="L503" i="4"/>
  <c r="L502" i="4"/>
  <c r="L501" i="4"/>
  <c r="L500" i="4"/>
  <c r="L499" i="4"/>
  <c r="L498" i="4"/>
  <c r="L497" i="4"/>
  <c r="L496" i="4"/>
  <c r="L495" i="4"/>
  <c r="L494" i="4"/>
  <c r="L493" i="4"/>
  <c r="L492" i="4"/>
  <c r="L491" i="4"/>
  <c r="L490" i="4"/>
  <c r="L489" i="4"/>
  <c r="L488" i="4"/>
  <c r="L487" i="4"/>
  <c r="L486" i="4"/>
  <c r="L485" i="4"/>
  <c r="L484" i="4"/>
  <c r="L483" i="4"/>
  <c r="L482" i="4"/>
  <c r="L481" i="4"/>
  <c r="L480" i="4"/>
  <c r="L479" i="4"/>
  <c r="L478" i="4"/>
  <c r="L477" i="4"/>
  <c r="L476" i="4"/>
  <c r="L475" i="4"/>
  <c r="L474" i="4"/>
  <c r="L473" i="4"/>
  <c r="L472" i="4"/>
  <c r="L471" i="4"/>
  <c r="L470" i="4"/>
  <c r="L469" i="4"/>
  <c r="L468" i="4"/>
  <c r="L467" i="4"/>
  <c r="L466" i="4"/>
  <c r="L465" i="4"/>
  <c r="L464" i="4"/>
  <c r="L463" i="4"/>
  <c r="L462" i="4"/>
  <c r="L461" i="4"/>
  <c r="L460" i="4"/>
  <c r="L459" i="4"/>
  <c r="L458" i="4"/>
  <c r="L457" i="4"/>
  <c r="L456" i="4"/>
  <c r="L455" i="4"/>
  <c r="L454" i="4"/>
  <c r="L453" i="4"/>
  <c r="L452" i="4"/>
  <c r="L451" i="4"/>
  <c r="L450" i="4"/>
  <c r="L449" i="4"/>
  <c r="L448" i="4"/>
  <c r="L447" i="4"/>
  <c r="L446" i="4"/>
  <c r="L445" i="4"/>
  <c r="L444" i="4"/>
  <c r="L443" i="4"/>
  <c r="L442" i="4"/>
  <c r="L441" i="4"/>
  <c r="L440" i="4"/>
  <c r="L439" i="4"/>
  <c r="L438" i="4"/>
  <c r="L437" i="4"/>
  <c r="L436" i="4"/>
  <c r="L435" i="4"/>
  <c r="L434" i="4"/>
  <c r="L433" i="4"/>
  <c r="L432" i="4"/>
  <c r="L431" i="4"/>
  <c r="L430" i="4"/>
  <c r="L429" i="4"/>
  <c r="L428" i="4"/>
  <c r="L427" i="4"/>
  <c r="L426" i="4"/>
  <c r="L425" i="4"/>
  <c r="L424" i="4"/>
  <c r="L423" i="4"/>
  <c r="L422" i="4"/>
  <c r="L421" i="4"/>
  <c r="L420" i="4"/>
  <c r="L419" i="4"/>
  <c r="L418" i="4"/>
  <c r="L417" i="4"/>
  <c r="L416" i="4"/>
  <c r="L415" i="4"/>
  <c r="L414" i="4"/>
  <c r="L413" i="4"/>
  <c r="L412" i="4"/>
  <c r="L411" i="4"/>
  <c r="L410" i="4"/>
  <c r="L409" i="4"/>
  <c r="L408" i="4"/>
  <c r="L407" i="4"/>
  <c r="L406" i="4"/>
  <c r="L405" i="4"/>
  <c r="L404" i="4"/>
  <c r="L403" i="4"/>
  <c r="L402" i="4"/>
  <c r="L401" i="4"/>
  <c r="L400" i="4"/>
  <c r="L399" i="4"/>
  <c r="L398" i="4"/>
  <c r="L397" i="4"/>
  <c r="L396" i="4"/>
  <c r="L395" i="4"/>
  <c r="L394" i="4"/>
  <c r="L393" i="4"/>
  <c r="L392" i="4"/>
  <c r="L391" i="4"/>
  <c r="L390" i="4"/>
  <c r="L389" i="4"/>
  <c r="L388" i="4"/>
  <c r="L387" i="4"/>
  <c r="L386" i="4"/>
  <c r="L385" i="4"/>
  <c r="L384" i="4"/>
  <c r="L383" i="4"/>
  <c r="L382" i="4"/>
  <c r="L381" i="4"/>
  <c r="L380" i="4"/>
  <c r="L379" i="4"/>
  <c r="L378" i="4"/>
  <c r="L377" i="4"/>
  <c r="L376" i="4"/>
  <c r="L375" i="4"/>
  <c r="L374" i="4"/>
  <c r="L373" i="4"/>
  <c r="L372" i="4"/>
  <c r="L371" i="4"/>
  <c r="L370" i="4"/>
  <c r="L369"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M5" i="4" s="1"/>
  <c r="L4" i="4"/>
  <c r="M4" i="4" s="1"/>
  <c r="K753" i="4"/>
  <c r="K752" i="4"/>
  <c r="K751" i="4"/>
  <c r="K750" i="4"/>
  <c r="K749" i="4"/>
  <c r="K748" i="4"/>
  <c r="K747" i="4"/>
  <c r="K746" i="4"/>
  <c r="K745" i="4"/>
  <c r="K744" i="4"/>
  <c r="K743" i="4"/>
  <c r="K742" i="4"/>
  <c r="K741" i="4"/>
  <c r="K740" i="4"/>
  <c r="K739" i="4"/>
  <c r="K738" i="4"/>
  <c r="K737" i="4"/>
  <c r="K736" i="4"/>
  <c r="K735" i="4"/>
  <c r="K734" i="4"/>
  <c r="K733" i="4"/>
  <c r="K732" i="4"/>
  <c r="K731" i="4"/>
  <c r="K730" i="4"/>
  <c r="K729" i="4"/>
  <c r="K728" i="4"/>
  <c r="K727" i="4"/>
  <c r="K726" i="4"/>
  <c r="K725" i="4"/>
  <c r="K724" i="4"/>
  <c r="K723" i="4"/>
  <c r="K722" i="4"/>
  <c r="K721" i="4"/>
  <c r="K720" i="4"/>
  <c r="K719" i="4"/>
  <c r="K718" i="4"/>
  <c r="K717" i="4"/>
  <c r="K716" i="4"/>
  <c r="K715" i="4"/>
  <c r="K714" i="4"/>
  <c r="K713" i="4"/>
  <c r="K712" i="4"/>
  <c r="K711" i="4"/>
  <c r="K710" i="4"/>
  <c r="K709" i="4"/>
  <c r="K708" i="4"/>
  <c r="K707" i="4"/>
  <c r="K706" i="4"/>
  <c r="K705" i="4"/>
  <c r="K704" i="4"/>
  <c r="K703" i="4"/>
  <c r="K702" i="4"/>
  <c r="K701" i="4"/>
  <c r="K700" i="4"/>
  <c r="K699" i="4"/>
  <c r="K698" i="4"/>
  <c r="K697" i="4"/>
  <c r="K696" i="4"/>
  <c r="K695" i="4"/>
  <c r="K694" i="4"/>
  <c r="K693" i="4"/>
  <c r="K692" i="4"/>
  <c r="K691" i="4"/>
  <c r="K690" i="4"/>
  <c r="K689" i="4"/>
  <c r="K688" i="4"/>
  <c r="K687" i="4"/>
  <c r="K686" i="4"/>
  <c r="K685" i="4"/>
  <c r="K684" i="4"/>
  <c r="K683" i="4"/>
  <c r="K682" i="4"/>
  <c r="K681" i="4"/>
  <c r="K680" i="4"/>
  <c r="K679" i="4"/>
  <c r="K678" i="4"/>
  <c r="K677" i="4"/>
  <c r="K676" i="4"/>
  <c r="K675" i="4"/>
  <c r="K674" i="4"/>
  <c r="K673" i="4"/>
  <c r="K672" i="4"/>
  <c r="K671" i="4"/>
  <c r="K670" i="4"/>
  <c r="K669" i="4"/>
  <c r="K668" i="4"/>
  <c r="K667" i="4"/>
  <c r="K666" i="4"/>
  <c r="K665" i="4"/>
  <c r="K664" i="4"/>
  <c r="K663" i="4"/>
  <c r="K662" i="4"/>
  <c r="K661" i="4"/>
  <c r="K660" i="4"/>
  <c r="K659" i="4"/>
  <c r="K658" i="4"/>
  <c r="K657" i="4"/>
  <c r="K656" i="4"/>
  <c r="K655" i="4"/>
  <c r="K654" i="4"/>
  <c r="K653" i="4"/>
  <c r="K652" i="4"/>
  <c r="K651" i="4"/>
  <c r="K650" i="4"/>
  <c r="K649" i="4"/>
  <c r="K648" i="4"/>
  <c r="K647" i="4"/>
  <c r="K646" i="4"/>
  <c r="K645" i="4"/>
  <c r="K644" i="4"/>
  <c r="K643" i="4"/>
  <c r="K642" i="4"/>
  <c r="K641" i="4"/>
  <c r="K640" i="4"/>
  <c r="K639" i="4"/>
  <c r="K638" i="4"/>
  <c r="K637" i="4"/>
  <c r="K636" i="4"/>
  <c r="K635" i="4"/>
  <c r="K634" i="4"/>
  <c r="K633" i="4"/>
  <c r="K632" i="4"/>
  <c r="K631" i="4"/>
  <c r="K630" i="4"/>
  <c r="K629" i="4"/>
  <c r="K628" i="4"/>
  <c r="K627" i="4"/>
  <c r="K626" i="4"/>
  <c r="K625" i="4"/>
  <c r="K624" i="4"/>
  <c r="K623" i="4"/>
  <c r="K622" i="4"/>
  <c r="K621" i="4"/>
  <c r="K620" i="4"/>
  <c r="K619" i="4"/>
  <c r="K618" i="4"/>
  <c r="K617" i="4"/>
  <c r="K616" i="4"/>
  <c r="K615" i="4"/>
  <c r="K614" i="4"/>
  <c r="K613" i="4"/>
  <c r="K612" i="4"/>
  <c r="K611" i="4"/>
  <c r="K610" i="4"/>
  <c r="K609" i="4"/>
  <c r="K608" i="4"/>
  <c r="K607" i="4"/>
  <c r="K606" i="4"/>
  <c r="K605" i="4"/>
  <c r="K604" i="4"/>
  <c r="K603" i="4"/>
  <c r="K602" i="4"/>
  <c r="K601" i="4"/>
  <c r="K600" i="4"/>
  <c r="K599" i="4"/>
  <c r="K598" i="4"/>
  <c r="K597" i="4"/>
  <c r="K596" i="4"/>
  <c r="K595" i="4"/>
  <c r="K594" i="4"/>
  <c r="K593" i="4"/>
  <c r="K592" i="4"/>
  <c r="K591" i="4"/>
  <c r="K590" i="4"/>
  <c r="K589" i="4"/>
  <c r="K588" i="4"/>
  <c r="K587" i="4"/>
  <c r="K586" i="4"/>
  <c r="K585" i="4"/>
  <c r="K584" i="4"/>
  <c r="K583" i="4"/>
  <c r="K582" i="4"/>
  <c r="K581" i="4"/>
  <c r="K580" i="4"/>
  <c r="K579" i="4"/>
  <c r="K578" i="4"/>
  <c r="K577" i="4"/>
  <c r="K576" i="4"/>
  <c r="K575" i="4"/>
  <c r="K574" i="4"/>
  <c r="K573" i="4"/>
  <c r="K572" i="4"/>
  <c r="K571" i="4"/>
  <c r="K570" i="4"/>
  <c r="K569" i="4"/>
  <c r="K568" i="4"/>
  <c r="K567" i="4"/>
  <c r="K566" i="4"/>
  <c r="K565" i="4"/>
  <c r="K564" i="4"/>
  <c r="K563" i="4"/>
  <c r="K562" i="4"/>
  <c r="K561" i="4"/>
  <c r="K560" i="4"/>
  <c r="K559" i="4"/>
  <c r="K558" i="4"/>
  <c r="K557" i="4"/>
  <c r="K556" i="4"/>
  <c r="K555" i="4"/>
  <c r="K554" i="4"/>
  <c r="K553" i="4"/>
  <c r="K552" i="4"/>
  <c r="K551" i="4"/>
  <c r="K550" i="4"/>
  <c r="K549" i="4"/>
  <c r="K548" i="4"/>
  <c r="K547" i="4"/>
  <c r="K546" i="4"/>
  <c r="K545" i="4"/>
  <c r="K544" i="4"/>
  <c r="K543" i="4"/>
  <c r="K542" i="4"/>
  <c r="K541" i="4"/>
  <c r="K540" i="4"/>
  <c r="K539" i="4"/>
  <c r="K538" i="4"/>
  <c r="K537" i="4"/>
  <c r="K536" i="4"/>
  <c r="K535" i="4"/>
  <c r="K534" i="4"/>
  <c r="K533" i="4"/>
  <c r="K532" i="4"/>
  <c r="K531" i="4"/>
  <c r="K530" i="4"/>
  <c r="K529" i="4"/>
  <c r="K528" i="4"/>
  <c r="K527" i="4"/>
  <c r="K526" i="4"/>
  <c r="K525" i="4"/>
  <c r="K524" i="4"/>
  <c r="K523" i="4"/>
  <c r="K522" i="4"/>
  <c r="K521" i="4"/>
  <c r="K520" i="4"/>
  <c r="K519" i="4"/>
  <c r="K518" i="4"/>
  <c r="K517" i="4"/>
  <c r="K516" i="4"/>
  <c r="K515" i="4"/>
  <c r="K514" i="4"/>
  <c r="K513" i="4"/>
  <c r="K512" i="4"/>
  <c r="K511" i="4"/>
  <c r="K510" i="4"/>
  <c r="K509" i="4"/>
  <c r="K508" i="4"/>
  <c r="K507" i="4"/>
  <c r="K506" i="4"/>
  <c r="K505" i="4"/>
  <c r="K504" i="4"/>
  <c r="K503" i="4"/>
  <c r="K502" i="4"/>
  <c r="K501" i="4"/>
  <c r="K500" i="4"/>
  <c r="K499" i="4"/>
  <c r="K498" i="4"/>
  <c r="K497" i="4"/>
  <c r="K496" i="4"/>
  <c r="K495" i="4"/>
  <c r="K494" i="4"/>
  <c r="K493" i="4"/>
  <c r="K492" i="4"/>
  <c r="K491" i="4"/>
  <c r="K490" i="4"/>
  <c r="K489" i="4"/>
  <c r="K488" i="4"/>
  <c r="K487" i="4"/>
  <c r="K486" i="4"/>
  <c r="K485" i="4"/>
  <c r="K484" i="4"/>
  <c r="K483" i="4"/>
  <c r="K482" i="4"/>
  <c r="K481" i="4"/>
  <c r="K480" i="4"/>
  <c r="K479" i="4"/>
  <c r="K478" i="4"/>
  <c r="K477" i="4"/>
  <c r="K476" i="4"/>
  <c r="K475" i="4"/>
  <c r="K474" i="4"/>
  <c r="K473" i="4"/>
  <c r="K472" i="4"/>
  <c r="K471" i="4"/>
  <c r="K470" i="4"/>
  <c r="K469" i="4"/>
  <c r="K468" i="4"/>
  <c r="K467" i="4"/>
  <c r="K466" i="4"/>
  <c r="K465" i="4"/>
  <c r="K464" i="4"/>
  <c r="K463" i="4"/>
  <c r="K462" i="4"/>
  <c r="K461" i="4"/>
  <c r="K460" i="4"/>
  <c r="K459" i="4"/>
  <c r="K458" i="4"/>
  <c r="K457" i="4"/>
  <c r="K456" i="4"/>
  <c r="K455" i="4"/>
  <c r="K454" i="4"/>
  <c r="K453" i="4"/>
  <c r="K452" i="4"/>
  <c r="K451" i="4"/>
  <c r="K450" i="4"/>
  <c r="K449" i="4"/>
  <c r="K448" i="4"/>
  <c r="K447" i="4"/>
  <c r="K446" i="4"/>
  <c r="K445" i="4"/>
  <c r="K444" i="4"/>
  <c r="K443" i="4"/>
  <c r="K442" i="4"/>
  <c r="K441" i="4"/>
  <c r="K440" i="4"/>
  <c r="K439" i="4"/>
  <c r="K438" i="4"/>
  <c r="K437" i="4"/>
  <c r="K436" i="4"/>
  <c r="K435" i="4"/>
  <c r="K434" i="4"/>
  <c r="K433" i="4"/>
  <c r="K432" i="4"/>
  <c r="K431" i="4"/>
  <c r="K430" i="4"/>
  <c r="K429" i="4"/>
  <c r="K428" i="4"/>
  <c r="K427" i="4"/>
  <c r="K426" i="4"/>
  <c r="K425" i="4"/>
  <c r="K424" i="4"/>
  <c r="K423" i="4"/>
  <c r="K422" i="4"/>
  <c r="K421" i="4"/>
  <c r="K420" i="4"/>
  <c r="K419" i="4"/>
  <c r="K418" i="4"/>
  <c r="K417" i="4"/>
  <c r="K416" i="4"/>
  <c r="K415" i="4"/>
  <c r="K414" i="4"/>
  <c r="K413" i="4"/>
  <c r="K412" i="4"/>
  <c r="K411" i="4"/>
  <c r="K410" i="4"/>
  <c r="K409" i="4"/>
  <c r="K408" i="4"/>
  <c r="K407" i="4"/>
  <c r="K406" i="4"/>
  <c r="K405" i="4"/>
  <c r="K404" i="4"/>
  <c r="K403" i="4"/>
  <c r="K402" i="4"/>
  <c r="K401" i="4"/>
  <c r="K400" i="4"/>
  <c r="K399" i="4"/>
  <c r="K398" i="4"/>
  <c r="K397" i="4"/>
  <c r="K396" i="4"/>
  <c r="K395" i="4"/>
  <c r="K394" i="4"/>
  <c r="K393" i="4"/>
  <c r="K392" i="4"/>
  <c r="K391" i="4"/>
  <c r="K390" i="4"/>
  <c r="K389" i="4"/>
  <c r="K388" i="4"/>
  <c r="K387" i="4"/>
  <c r="K386" i="4"/>
  <c r="K385" i="4"/>
  <c r="K384" i="4"/>
  <c r="K383" i="4"/>
  <c r="K382" i="4"/>
  <c r="K381" i="4"/>
  <c r="K380" i="4"/>
  <c r="K379" i="4"/>
  <c r="K378" i="4"/>
  <c r="K377" i="4"/>
  <c r="K376" i="4"/>
  <c r="K375" i="4"/>
  <c r="K374" i="4"/>
  <c r="K373" i="4"/>
  <c r="K372" i="4"/>
  <c r="K371" i="4"/>
  <c r="K370" i="4"/>
  <c r="K369" i="4"/>
  <c r="K368" i="4"/>
  <c r="K367" i="4"/>
  <c r="K366" i="4"/>
  <c r="K365" i="4"/>
  <c r="K364" i="4"/>
  <c r="K363" i="4"/>
  <c r="K362" i="4"/>
  <c r="K361" i="4"/>
  <c r="K360" i="4"/>
  <c r="K359" i="4"/>
  <c r="K358" i="4"/>
  <c r="K357" i="4"/>
  <c r="K356" i="4"/>
  <c r="K355" i="4"/>
  <c r="K354" i="4"/>
  <c r="K353" i="4"/>
  <c r="K352" i="4"/>
  <c r="K351" i="4"/>
  <c r="K350" i="4"/>
  <c r="K349" i="4"/>
  <c r="K348" i="4"/>
  <c r="K347" i="4"/>
  <c r="K346" i="4"/>
  <c r="K345" i="4"/>
  <c r="K344" i="4"/>
  <c r="K343" i="4"/>
  <c r="K342" i="4"/>
  <c r="K341" i="4"/>
  <c r="K340" i="4"/>
  <c r="K339" i="4"/>
  <c r="K338" i="4"/>
  <c r="K337" i="4"/>
  <c r="K336" i="4"/>
  <c r="K335" i="4"/>
  <c r="K334" i="4"/>
  <c r="K333" i="4"/>
  <c r="K332" i="4"/>
  <c r="K331" i="4"/>
  <c r="K330" i="4"/>
  <c r="K329" i="4"/>
  <c r="K328" i="4"/>
  <c r="K327" i="4"/>
  <c r="K326" i="4"/>
  <c r="K325" i="4"/>
  <c r="K324" i="4"/>
  <c r="K323" i="4"/>
  <c r="K322" i="4"/>
  <c r="K321" i="4"/>
  <c r="K320" i="4"/>
  <c r="K319" i="4"/>
  <c r="K318" i="4"/>
  <c r="K317" i="4"/>
  <c r="K316" i="4"/>
  <c r="K315" i="4"/>
  <c r="K314" i="4"/>
  <c r="K313" i="4"/>
  <c r="K312" i="4"/>
  <c r="K311" i="4"/>
  <c r="K310" i="4"/>
  <c r="K309" i="4"/>
  <c r="K308" i="4"/>
  <c r="K307" i="4"/>
  <c r="K306" i="4"/>
  <c r="K305" i="4"/>
  <c r="K304" i="4"/>
  <c r="K303" i="4"/>
  <c r="K302" i="4"/>
  <c r="K301" i="4"/>
  <c r="K300" i="4"/>
  <c r="K299" i="4"/>
  <c r="K298" i="4"/>
  <c r="K297" i="4"/>
  <c r="K296" i="4"/>
  <c r="K295" i="4"/>
  <c r="K294" i="4"/>
  <c r="K293" i="4"/>
  <c r="K292" i="4"/>
  <c r="K291" i="4"/>
  <c r="K290" i="4"/>
  <c r="K289" i="4"/>
  <c r="K288" i="4"/>
  <c r="K287" i="4"/>
  <c r="K286" i="4"/>
  <c r="K285" i="4"/>
  <c r="K284" i="4"/>
  <c r="K283" i="4"/>
  <c r="K282" i="4"/>
  <c r="K281" i="4"/>
  <c r="K280" i="4"/>
  <c r="K279" i="4"/>
  <c r="K278" i="4"/>
  <c r="K277" i="4"/>
  <c r="K276" i="4"/>
  <c r="K275" i="4"/>
  <c r="K274" i="4"/>
  <c r="K273" i="4"/>
  <c r="K272" i="4"/>
  <c r="K271" i="4"/>
  <c r="K270" i="4"/>
  <c r="K269" i="4"/>
  <c r="K268" i="4"/>
  <c r="K267" i="4"/>
  <c r="K266" i="4"/>
  <c r="K265" i="4"/>
  <c r="K264" i="4"/>
  <c r="K263" i="4"/>
  <c r="K262" i="4"/>
  <c r="K261" i="4"/>
  <c r="K260" i="4"/>
  <c r="K259" i="4"/>
  <c r="K258" i="4"/>
  <c r="K257" i="4"/>
  <c r="K256" i="4"/>
  <c r="K255" i="4"/>
  <c r="K254" i="4"/>
  <c r="K253" i="4"/>
  <c r="K252" i="4"/>
  <c r="K251" i="4"/>
  <c r="K250" i="4"/>
  <c r="K249" i="4"/>
  <c r="K248" i="4"/>
  <c r="K247" i="4"/>
  <c r="K246" i="4"/>
  <c r="K245" i="4"/>
  <c r="K244" i="4"/>
  <c r="K243" i="4"/>
  <c r="K242" i="4"/>
  <c r="K241" i="4"/>
  <c r="K240" i="4"/>
  <c r="K239" i="4"/>
  <c r="K238" i="4"/>
  <c r="K237" i="4"/>
  <c r="K236" i="4"/>
  <c r="K235" i="4"/>
  <c r="K234" i="4"/>
  <c r="K233" i="4"/>
  <c r="K232" i="4"/>
  <c r="K231" i="4"/>
  <c r="K230" i="4"/>
  <c r="K229" i="4"/>
  <c r="K228" i="4"/>
  <c r="K227" i="4"/>
  <c r="K226" i="4"/>
  <c r="K225" i="4"/>
  <c r="K224" i="4"/>
  <c r="K223" i="4"/>
  <c r="K222" i="4"/>
  <c r="K221" i="4"/>
  <c r="K220" i="4"/>
  <c r="K219" i="4"/>
  <c r="K218" i="4"/>
  <c r="K217" i="4"/>
  <c r="K216" i="4"/>
  <c r="K215" i="4"/>
  <c r="K214" i="4"/>
  <c r="K213" i="4"/>
  <c r="K212" i="4"/>
  <c r="K211" i="4"/>
  <c r="K210" i="4"/>
  <c r="K209" i="4"/>
  <c r="K208" i="4"/>
  <c r="K207" i="4"/>
  <c r="K206" i="4"/>
  <c r="K205" i="4"/>
  <c r="K204" i="4"/>
  <c r="K203" i="4"/>
  <c r="K202" i="4"/>
  <c r="K201" i="4"/>
  <c r="K200" i="4"/>
  <c r="K199" i="4"/>
  <c r="K198" i="4"/>
  <c r="K197" i="4"/>
  <c r="K196" i="4"/>
  <c r="K195" i="4"/>
  <c r="K194" i="4"/>
  <c r="K193" i="4"/>
  <c r="K192" i="4"/>
  <c r="K191" i="4"/>
  <c r="K190" i="4"/>
  <c r="K189" i="4"/>
  <c r="K188" i="4"/>
  <c r="K187" i="4"/>
  <c r="K186" i="4"/>
  <c r="K185" i="4"/>
  <c r="K184" i="4"/>
  <c r="K183" i="4"/>
  <c r="K182" i="4"/>
  <c r="K181" i="4"/>
  <c r="K180" i="4"/>
  <c r="K179" i="4"/>
  <c r="K178" i="4"/>
  <c r="K177" i="4"/>
  <c r="K176" i="4"/>
  <c r="K175" i="4"/>
  <c r="K174" i="4"/>
  <c r="K173" i="4"/>
  <c r="K172" i="4"/>
  <c r="K171" i="4"/>
  <c r="K170" i="4"/>
  <c r="K169" i="4"/>
  <c r="K168" i="4"/>
  <c r="K167" i="4"/>
  <c r="K166" i="4"/>
  <c r="K165" i="4"/>
  <c r="K164" i="4"/>
  <c r="K163" i="4"/>
  <c r="K162" i="4"/>
  <c r="K161" i="4"/>
  <c r="K160" i="4"/>
  <c r="K159" i="4"/>
  <c r="K158" i="4"/>
  <c r="K157" i="4"/>
  <c r="K156" i="4"/>
  <c r="K155" i="4"/>
  <c r="K154" i="4"/>
  <c r="K153" i="4"/>
  <c r="K152" i="4"/>
  <c r="K151" i="4"/>
  <c r="K150" i="4"/>
  <c r="K149" i="4"/>
  <c r="K148" i="4"/>
  <c r="K147" i="4"/>
  <c r="K146" i="4"/>
  <c r="K145" i="4"/>
  <c r="K144" i="4"/>
  <c r="K143" i="4"/>
  <c r="K142" i="4"/>
  <c r="K141" i="4"/>
  <c r="K140" i="4"/>
  <c r="K139" i="4"/>
  <c r="K138" i="4"/>
  <c r="K137" i="4"/>
  <c r="K136" i="4"/>
  <c r="K135" i="4"/>
  <c r="K134" i="4"/>
  <c r="K133" i="4"/>
  <c r="K132" i="4"/>
  <c r="K131" i="4"/>
  <c r="K130" i="4"/>
  <c r="K129" i="4"/>
  <c r="K128" i="4"/>
  <c r="K127" i="4"/>
  <c r="K126" i="4"/>
  <c r="K125" i="4"/>
  <c r="K124" i="4"/>
  <c r="K123" i="4"/>
  <c r="K122" i="4"/>
  <c r="K121" i="4"/>
  <c r="K120" i="4"/>
  <c r="K119" i="4"/>
  <c r="K118" i="4"/>
  <c r="K117" i="4"/>
  <c r="K116" i="4"/>
  <c r="K115" i="4"/>
  <c r="K114" i="4"/>
  <c r="K113" i="4"/>
  <c r="K112" i="4"/>
  <c r="K111" i="4"/>
  <c r="K110" i="4"/>
  <c r="K109" i="4"/>
  <c r="K108" i="4"/>
  <c r="K107" i="4"/>
  <c r="K106" i="4"/>
  <c r="K105" i="4"/>
  <c r="K104" i="4"/>
  <c r="K103" i="4"/>
  <c r="K102" i="4"/>
  <c r="K101" i="4"/>
  <c r="K100" i="4"/>
  <c r="K99" i="4"/>
  <c r="K98" i="4"/>
  <c r="K97" i="4"/>
  <c r="K96" i="4"/>
  <c r="K95" i="4"/>
  <c r="K94" i="4"/>
  <c r="K93" i="4"/>
  <c r="K92" i="4"/>
  <c r="K91" i="4"/>
  <c r="K90" i="4"/>
  <c r="K89" i="4"/>
  <c r="K88" i="4"/>
  <c r="K87" i="4"/>
  <c r="K86" i="4"/>
  <c r="K85" i="4"/>
  <c r="K84" i="4"/>
  <c r="K83" i="4"/>
  <c r="K82" i="4"/>
  <c r="K81" i="4"/>
  <c r="K80" i="4"/>
  <c r="K79" i="4"/>
  <c r="K78" i="4"/>
  <c r="K77" i="4"/>
  <c r="K76" i="4"/>
  <c r="K75" i="4"/>
  <c r="K74" i="4"/>
  <c r="K73" i="4"/>
  <c r="K72" i="4"/>
  <c r="K71" i="4"/>
  <c r="K70" i="4"/>
  <c r="K69" i="4"/>
  <c r="K68" i="4"/>
  <c r="K67" i="4"/>
  <c r="K66" i="4"/>
  <c r="K65" i="4"/>
  <c r="K64" i="4"/>
  <c r="K63" i="4"/>
  <c r="K62" i="4"/>
  <c r="K61" i="4"/>
  <c r="K60" i="4"/>
  <c r="K59" i="4"/>
  <c r="K58" i="4"/>
  <c r="K57" i="4"/>
  <c r="K56" i="4"/>
  <c r="K55" i="4"/>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W753" i="4"/>
  <c r="W752" i="4"/>
  <c r="W751" i="4"/>
  <c r="W750" i="4"/>
  <c r="W749" i="4"/>
  <c r="W748" i="4"/>
  <c r="W747" i="4"/>
  <c r="W746" i="4"/>
  <c r="W745" i="4"/>
  <c r="W744" i="4"/>
  <c r="W743" i="4"/>
  <c r="W742" i="4"/>
  <c r="W741" i="4"/>
  <c r="W740" i="4"/>
  <c r="W739" i="4"/>
  <c r="W738" i="4"/>
  <c r="W737" i="4"/>
  <c r="W736" i="4"/>
  <c r="W735" i="4"/>
  <c r="W734" i="4"/>
  <c r="W733" i="4"/>
  <c r="W732" i="4"/>
  <c r="W731" i="4"/>
  <c r="W730" i="4"/>
  <c r="W729" i="4"/>
  <c r="W728" i="4"/>
  <c r="W727" i="4"/>
  <c r="W726" i="4"/>
  <c r="W725" i="4"/>
  <c r="W724" i="4"/>
  <c r="W723" i="4"/>
  <c r="W722" i="4"/>
  <c r="W721" i="4"/>
  <c r="W720" i="4"/>
  <c r="W719" i="4"/>
  <c r="W718" i="4"/>
  <c r="W717" i="4"/>
  <c r="W716" i="4"/>
  <c r="W715" i="4"/>
  <c r="W714" i="4"/>
  <c r="W713" i="4"/>
  <c r="W712" i="4"/>
  <c r="W711" i="4"/>
  <c r="W710" i="4"/>
  <c r="W709" i="4"/>
  <c r="W708" i="4"/>
  <c r="W707" i="4"/>
  <c r="W706" i="4"/>
  <c r="W705" i="4"/>
  <c r="W704" i="4"/>
  <c r="W703" i="4"/>
  <c r="W702" i="4"/>
  <c r="W701" i="4"/>
  <c r="W700" i="4"/>
  <c r="W699" i="4"/>
  <c r="W698" i="4"/>
  <c r="W697" i="4"/>
  <c r="W696" i="4"/>
  <c r="W695" i="4"/>
  <c r="W694" i="4"/>
  <c r="W693" i="4"/>
  <c r="W692" i="4"/>
  <c r="W691" i="4"/>
  <c r="W690" i="4"/>
  <c r="W689" i="4"/>
  <c r="W688" i="4"/>
  <c r="W687" i="4"/>
  <c r="W686" i="4"/>
  <c r="W685" i="4"/>
  <c r="W684" i="4"/>
  <c r="W683" i="4"/>
  <c r="W682" i="4"/>
  <c r="W681" i="4"/>
  <c r="W680" i="4"/>
  <c r="W679" i="4"/>
  <c r="W678" i="4"/>
  <c r="W677" i="4"/>
  <c r="W676" i="4"/>
  <c r="W675" i="4"/>
  <c r="W674" i="4"/>
  <c r="W673" i="4"/>
  <c r="W672" i="4"/>
  <c r="W671" i="4"/>
  <c r="W670" i="4"/>
  <c r="W669" i="4"/>
  <c r="W668" i="4"/>
  <c r="W667" i="4"/>
  <c r="W666" i="4"/>
  <c r="W665" i="4"/>
  <c r="W664" i="4"/>
  <c r="W663" i="4"/>
  <c r="W662" i="4"/>
  <c r="W661" i="4"/>
  <c r="W660" i="4"/>
  <c r="W659" i="4"/>
  <c r="W658" i="4"/>
  <c r="W657" i="4"/>
  <c r="W656" i="4"/>
  <c r="W655" i="4"/>
  <c r="W654" i="4"/>
  <c r="W653" i="4"/>
  <c r="W652" i="4"/>
  <c r="W651" i="4"/>
  <c r="W650" i="4"/>
  <c r="W649" i="4"/>
  <c r="W648" i="4"/>
  <c r="W647" i="4"/>
  <c r="W646" i="4"/>
  <c r="W645" i="4"/>
  <c r="W644" i="4"/>
  <c r="W643" i="4"/>
  <c r="W642" i="4"/>
  <c r="W641" i="4"/>
  <c r="W640" i="4"/>
  <c r="W639" i="4"/>
  <c r="W638" i="4"/>
  <c r="W637" i="4"/>
  <c r="W636" i="4"/>
  <c r="W635" i="4"/>
  <c r="W634" i="4"/>
  <c r="W633" i="4"/>
  <c r="W632" i="4"/>
  <c r="W631" i="4"/>
  <c r="W630" i="4"/>
  <c r="W629" i="4"/>
  <c r="W628" i="4"/>
  <c r="W627" i="4"/>
  <c r="W626" i="4"/>
  <c r="W625" i="4"/>
  <c r="W624" i="4"/>
  <c r="W623" i="4"/>
  <c r="W622" i="4"/>
  <c r="W621" i="4"/>
  <c r="W620" i="4"/>
  <c r="W619" i="4"/>
  <c r="W618" i="4"/>
  <c r="W617" i="4"/>
  <c r="W616" i="4"/>
  <c r="W615" i="4"/>
  <c r="W614" i="4"/>
  <c r="W613" i="4"/>
  <c r="W612" i="4"/>
  <c r="W611" i="4"/>
  <c r="W610" i="4"/>
  <c r="W609" i="4"/>
  <c r="W608" i="4"/>
  <c r="W607" i="4"/>
  <c r="W606" i="4"/>
  <c r="W605" i="4"/>
  <c r="W604" i="4"/>
  <c r="W603" i="4"/>
  <c r="W602" i="4"/>
  <c r="W601" i="4"/>
  <c r="W600" i="4"/>
  <c r="W599" i="4"/>
  <c r="W598" i="4"/>
  <c r="W597" i="4"/>
  <c r="W596" i="4"/>
  <c r="W595" i="4"/>
  <c r="W594" i="4"/>
  <c r="W593" i="4"/>
  <c r="W592" i="4"/>
  <c r="W591" i="4"/>
  <c r="W590" i="4"/>
  <c r="W589" i="4"/>
  <c r="W588" i="4"/>
  <c r="W587" i="4"/>
  <c r="W586" i="4"/>
  <c r="W585" i="4"/>
  <c r="W584" i="4"/>
  <c r="W583" i="4"/>
  <c r="W582" i="4"/>
  <c r="W581" i="4"/>
  <c r="W580" i="4"/>
  <c r="W579" i="4"/>
  <c r="W578" i="4"/>
  <c r="W577" i="4"/>
  <c r="W576" i="4"/>
  <c r="W575" i="4"/>
  <c r="W574" i="4"/>
  <c r="W573" i="4"/>
  <c r="W572" i="4"/>
  <c r="W571" i="4"/>
  <c r="W570" i="4"/>
  <c r="W569" i="4"/>
  <c r="W568" i="4"/>
  <c r="W567" i="4"/>
  <c r="W566" i="4"/>
  <c r="W565" i="4"/>
  <c r="W564" i="4"/>
  <c r="W563" i="4"/>
  <c r="W562" i="4"/>
  <c r="W561" i="4"/>
  <c r="W560" i="4"/>
  <c r="W559" i="4"/>
  <c r="W558" i="4"/>
  <c r="W557" i="4"/>
  <c r="W556" i="4"/>
  <c r="W555" i="4"/>
  <c r="W554" i="4"/>
  <c r="W553" i="4"/>
  <c r="W552" i="4"/>
  <c r="W551" i="4"/>
  <c r="W550" i="4"/>
  <c r="W549" i="4"/>
  <c r="W548" i="4"/>
  <c r="W547" i="4"/>
  <c r="W546" i="4"/>
  <c r="W545" i="4"/>
  <c r="W544" i="4"/>
  <c r="W543" i="4"/>
  <c r="W542" i="4"/>
  <c r="W541" i="4"/>
  <c r="W540" i="4"/>
  <c r="W539" i="4"/>
  <c r="W538" i="4"/>
  <c r="W537" i="4"/>
  <c r="W536" i="4"/>
  <c r="W535" i="4"/>
  <c r="W534" i="4"/>
  <c r="W533" i="4"/>
  <c r="W532" i="4"/>
  <c r="W531" i="4"/>
  <c r="W530" i="4"/>
  <c r="W529" i="4"/>
  <c r="W528" i="4"/>
  <c r="W527" i="4"/>
  <c r="W526" i="4"/>
  <c r="W525" i="4"/>
  <c r="W524" i="4"/>
  <c r="W523" i="4"/>
  <c r="W522" i="4"/>
  <c r="W521" i="4"/>
  <c r="W520" i="4"/>
  <c r="W519" i="4"/>
  <c r="W518" i="4"/>
  <c r="W517" i="4"/>
  <c r="W516" i="4"/>
  <c r="W515" i="4"/>
  <c r="W514" i="4"/>
  <c r="W513" i="4"/>
  <c r="W512" i="4"/>
  <c r="W511" i="4"/>
  <c r="W510" i="4"/>
  <c r="W509" i="4"/>
  <c r="W508" i="4"/>
  <c r="W507" i="4"/>
  <c r="W506" i="4"/>
  <c r="W505" i="4"/>
  <c r="W504" i="4"/>
  <c r="W503" i="4"/>
  <c r="W502" i="4"/>
  <c r="W501" i="4"/>
  <c r="W500" i="4"/>
  <c r="W499" i="4"/>
  <c r="W498" i="4"/>
  <c r="W497" i="4"/>
  <c r="W496" i="4"/>
  <c r="W495" i="4"/>
  <c r="W494" i="4"/>
  <c r="W493" i="4"/>
  <c r="W492" i="4"/>
  <c r="W491" i="4"/>
  <c r="W490" i="4"/>
  <c r="W489" i="4"/>
  <c r="W488" i="4"/>
  <c r="W487" i="4"/>
  <c r="W486" i="4"/>
  <c r="W485" i="4"/>
  <c r="W484" i="4"/>
  <c r="W483" i="4"/>
  <c r="W482" i="4"/>
  <c r="W481" i="4"/>
  <c r="W480" i="4"/>
  <c r="W479" i="4"/>
  <c r="W478" i="4"/>
  <c r="W477" i="4"/>
  <c r="W476" i="4"/>
  <c r="W475" i="4"/>
  <c r="W474" i="4"/>
  <c r="W473" i="4"/>
  <c r="W472" i="4"/>
  <c r="W471" i="4"/>
  <c r="W470" i="4"/>
  <c r="W469" i="4"/>
  <c r="W468" i="4"/>
  <c r="W467" i="4"/>
  <c r="W466" i="4"/>
  <c r="W465" i="4"/>
  <c r="W464" i="4"/>
  <c r="W463" i="4"/>
  <c r="W462" i="4"/>
  <c r="W461" i="4"/>
  <c r="W460" i="4"/>
  <c r="W459" i="4"/>
  <c r="W458" i="4"/>
  <c r="W457" i="4"/>
  <c r="W456" i="4"/>
  <c r="W455" i="4"/>
  <c r="W454" i="4"/>
  <c r="W453" i="4"/>
  <c r="W452" i="4"/>
  <c r="W451" i="4"/>
  <c r="W450" i="4"/>
  <c r="W449" i="4"/>
  <c r="W448" i="4"/>
  <c r="W447" i="4"/>
  <c r="W446" i="4"/>
  <c r="W445" i="4"/>
  <c r="W444" i="4"/>
  <c r="W443" i="4"/>
  <c r="W442" i="4"/>
  <c r="W441" i="4"/>
  <c r="W440" i="4"/>
  <c r="W439" i="4"/>
  <c r="W438" i="4"/>
  <c r="W437" i="4"/>
  <c r="W436" i="4"/>
  <c r="W435" i="4"/>
  <c r="W434" i="4"/>
  <c r="W433" i="4"/>
  <c r="W432" i="4"/>
  <c r="W431" i="4"/>
  <c r="W430" i="4"/>
  <c r="W429" i="4"/>
  <c r="W428" i="4"/>
  <c r="W427" i="4"/>
  <c r="W426" i="4"/>
  <c r="W425" i="4"/>
  <c r="W424" i="4"/>
  <c r="W423" i="4"/>
  <c r="W422" i="4"/>
  <c r="W421" i="4"/>
  <c r="W420" i="4"/>
  <c r="W419" i="4"/>
  <c r="W418" i="4"/>
  <c r="W417" i="4"/>
  <c r="W416" i="4"/>
  <c r="W415" i="4"/>
  <c r="W414" i="4"/>
  <c r="W413" i="4"/>
  <c r="W412" i="4"/>
  <c r="W411" i="4"/>
  <c r="W410" i="4"/>
  <c r="W409" i="4"/>
  <c r="W408" i="4"/>
  <c r="W407" i="4"/>
  <c r="W406" i="4"/>
  <c r="W405" i="4"/>
  <c r="W404" i="4"/>
  <c r="W403" i="4"/>
  <c r="W402" i="4"/>
  <c r="W401" i="4"/>
  <c r="W400" i="4"/>
  <c r="W399" i="4"/>
  <c r="W398" i="4"/>
  <c r="W397" i="4"/>
  <c r="W396" i="4"/>
  <c r="W395" i="4"/>
  <c r="W394" i="4"/>
  <c r="W393" i="4"/>
  <c r="W392" i="4"/>
  <c r="W391" i="4"/>
  <c r="W390" i="4"/>
  <c r="W389" i="4"/>
  <c r="W388" i="4"/>
  <c r="W387" i="4"/>
  <c r="W386" i="4"/>
  <c r="W385" i="4"/>
  <c r="W384" i="4"/>
  <c r="W383" i="4"/>
  <c r="W382" i="4"/>
  <c r="W381" i="4"/>
  <c r="W380" i="4"/>
  <c r="W379" i="4"/>
  <c r="W378" i="4"/>
  <c r="W377" i="4"/>
  <c r="W376" i="4"/>
  <c r="W375" i="4"/>
  <c r="W374" i="4"/>
  <c r="W373" i="4"/>
  <c r="W372" i="4"/>
  <c r="W371" i="4"/>
  <c r="W370" i="4"/>
  <c r="W369" i="4"/>
  <c r="W368" i="4"/>
  <c r="W367" i="4"/>
  <c r="W366" i="4"/>
  <c r="W365" i="4"/>
  <c r="W364" i="4"/>
  <c r="W363" i="4"/>
  <c r="W362" i="4"/>
  <c r="W361" i="4"/>
  <c r="W360" i="4"/>
  <c r="W359" i="4"/>
  <c r="W358" i="4"/>
  <c r="W357" i="4"/>
  <c r="W356" i="4"/>
  <c r="W355" i="4"/>
  <c r="W354" i="4"/>
  <c r="W353" i="4"/>
  <c r="W352" i="4"/>
  <c r="W351" i="4"/>
  <c r="W350" i="4"/>
  <c r="W349" i="4"/>
  <c r="W348" i="4"/>
  <c r="W347" i="4"/>
  <c r="W346" i="4"/>
  <c r="W345" i="4"/>
  <c r="W344" i="4"/>
  <c r="W343" i="4"/>
  <c r="W342" i="4"/>
  <c r="W341" i="4"/>
  <c r="W340" i="4"/>
  <c r="W339" i="4"/>
  <c r="W338" i="4"/>
  <c r="W337" i="4"/>
  <c r="W336" i="4"/>
  <c r="W335" i="4"/>
  <c r="W334" i="4"/>
  <c r="W333" i="4"/>
  <c r="W332" i="4"/>
  <c r="W331" i="4"/>
  <c r="W330" i="4"/>
  <c r="W329" i="4"/>
  <c r="W328" i="4"/>
  <c r="W327" i="4"/>
  <c r="W326" i="4"/>
  <c r="W325" i="4"/>
  <c r="W324" i="4"/>
  <c r="W323" i="4"/>
  <c r="W322" i="4"/>
  <c r="W321" i="4"/>
  <c r="W320" i="4"/>
  <c r="W319" i="4"/>
  <c r="W318" i="4"/>
  <c r="W317" i="4"/>
  <c r="W316" i="4"/>
  <c r="W315" i="4"/>
  <c r="W314" i="4"/>
  <c r="W313" i="4"/>
  <c r="W312" i="4"/>
  <c r="W311" i="4"/>
  <c r="W310" i="4"/>
  <c r="W309" i="4"/>
  <c r="W308" i="4"/>
  <c r="W307" i="4"/>
  <c r="W306" i="4"/>
  <c r="W305" i="4"/>
  <c r="W304" i="4"/>
  <c r="W303" i="4"/>
  <c r="W302" i="4"/>
  <c r="W301" i="4"/>
  <c r="W300" i="4"/>
  <c r="W299" i="4"/>
  <c r="W298" i="4"/>
  <c r="W297" i="4"/>
  <c r="W296" i="4"/>
  <c r="W295" i="4"/>
  <c r="W294" i="4"/>
  <c r="W293" i="4"/>
  <c r="W292" i="4"/>
  <c r="W291" i="4"/>
  <c r="W290" i="4"/>
  <c r="W289" i="4"/>
  <c r="W288" i="4"/>
  <c r="W287" i="4"/>
  <c r="W286" i="4"/>
  <c r="W285" i="4"/>
  <c r="W284" i="4"/>
  <c r="W283" i="4"/>
  <c r="W282" i="4"/>
  <c r="W281" i="4"/>
  <c r="W280" i="4"/>
  <c r="W279" i="4"/>
  <c r="W278" i="4"/>
  <c r="W277" i="4"/>
  <c r="W276" i="4"/>
  <c r="W275" i="4"/>
  <c r="W274" i="4"/>
  <c r="W273" i="4"/>
  <c r="W272" i="4"/>
  <c r="W271" i="4"/>
  <c r="W270" i="4"/>
  <c r="W269" i="4"/>
  <c r="W268" i="4"/>
  <c r="W267" i="4"/>
  <c r="W266" i="4"/>
  <c r="W265" i="4"/>
  <c r="W264" i="4"/>
  <c r="W263" i="4"/>
  <c r="W262" i="4"/>
  <c r="W261" i="4"/>
  <c r="W260" i="4"/>
  <c r="W259" i="4"/>
  <c r="W258" i="4"/>
  <c r="W257" i="4"/>
  <c r="W256" i="4"/>
  <c r="W255" i="4"/>
  <c r="W254" i="4"/>
  <c r="W253" i="4"/>
  <c r="W252" i="4"/>
  <c r="W251" i="4"/>
  <c r="W250" i="4"/>
  <c r="W249" i="4"/>
  <c r="W248" i="4"/>
  <c r="W247" i="4"/>
  <c r="W246" i="4"/>
  <c r="W245" i="4"/>
  <c r="W244" i="4"/>
  <c r="W243" i="4"/>
  <c r="W242" i="4"/>
  <c r="W241" i="4"/>
  <c r="W240" i="4"/>
  <c r="W239" i="4"/>
  <c r="W238" i="4"/>
  <c r="W237" i="4"/>
  <c r="W236" i="4"/>
  <c r="W235" i="4"/>
  <c r="W234" i="4"/>
  <c r="W233" i="4"/>
  <c r="W232" i="4"/>
  <c r="W231" i="4"/>
  <c r="W230" i="4"/>
  <c r="W229" i="4"/>
  <c r="W228" i="4"/>
  <c r="W227" i="4"/>
  <c r="W226" i="4"/>
  <c r="W225" i="4"/>
  <c r="W224" i="4"/>
  <c r="W223" i="4"/>
  <c r="W222" i="4"/>
  <c r="W221" i="4"/>
  <c r="W220" i="4"/>
  <c r="W219" i="4"/>
  <c r="W218" i="4"/>
  <c r="W217" i="4"/>
  <c r="W216" i="4"/>
  <c r="W215" i="4"/>
  <c r="W214" i="4"/>
  <c r="W213" i="4"/>
  <c r="W212" i="4"/>
  <c r="W211" i="4"/>
  <c r="W210" i="4"/>
  <c r="W209" i="4"/>
  <c r="W208" i="4"/>
  <c r="W207" i="4"/>
  <c r="W206" i="4"/>
  <c r="W205" i="4"/>
  <c r="W204" i="4"/>
  <c r="W203" i="4"/>
  <c r="W202" i="4"/>
  <c r="W201" i="4"/>
  <c r="W200" i="4"/>
  <c r="W199" i="4"/>
  <c r="W198" i="4"/>
  <c r="W197" i="4"/>
  <c r="W196" i="4"/>
  <c r="W195" i="4"/>
  <c r="W194" i="4"/>
  <c r="W193" i="4"/>
  <c r="W192" i="4"/>
  <c r="W191" i="4"/>
  <c r="W190" i="4"/>
  <c r="W189" i="4"/>
  <c r="W188" i="4"/>
  <c r="W187" i="4"/>
  <c r="W186" i="4"/>
  <c r="W185" i="4"/>
  <c r="W184" i="4"/>
  <c r="W183" i="4"/>
  <c r="W182" i="4"/>
  <c r="W181" i="4"/>
  <c r="W180" i="4"/>
  <c r="W179" i="4"/>
  <c r="W178" i="4"/>
  <c r="W177" i="4"/>
  <c r="W176" i="4"/>
  <c r="W175" i="4"/>
  <c r="W174" i="4"/>
  <c r="W173" i="4"/>
  <c r="W172" i="4"/>
  <c r="W171" i="4"/>
  <c r="W170" i="4"/>
  <c r="W169" i="4"/>
  <c r="W168" i="4"/>
  <c r="W167" i="4"/>
  <c r="W166" i="4"/>
  <c r="W165" i="4"/>
  <c r="W164" i="4"/>
  <c r="W163" i="4"/>
  <c r="W162" i="4"/>
  <c r="W161" i="4"/>
  <c r="W160" i="4"/>
  <c r="W159" i="4"/>
  <c r="W158" i="4"/>
  <c r="W157" i="4"/>
  <c r="W156" i="4"/>
  <c r="W155" i="4"/>
  <c r="W154" i="4"/>
  <c r="W153" i="4"/>
  <c r="W152" i="4"/>
  <c r="W151" i="4"/>
  <c r="W150" i="4"/>
  <c r="W149" i="4"/>
  <c r="W148" i="4"/>
  <c r="W147" i="4"/>
  <c r="W146" i="4"/>
  <c r="W145" i="4"/>
  <c r="W144" i="4"/>
  <c r="W143" i="4"/>
  <c r="W142" i="4"/>
  <c r="W141" i="4"/>
  <c r="W140" i="4"/>
  <c r="W139" i="4"/>
  <c r="W138" i="4"/>
  <c r="W137" i="4"/>
  <c r="W136" i="4"/>
  <c r="W135" i="4"/>
  <c r="W134" i="4"/>
  <c r="W133" i="4"/>
  <c r="W132" i="4"/>
  <c r="W131" i="4"/>
  <c r="W130" i="4"/>
  <c r="W129" i="4"/>
  <c r="W128" i="4"/>
  <c r="W127" i="4"/>
  <c r="W126" i="4"/>
  <c r="W125" i="4"/>
  <c r="W124" i="4"/>
  <c r="W123" i="4"/>
  <c r="W122" i="4"/>
  <c r="W121" i="4"/>
  <c r="W120" i="4"/>
  <c r="W119" i="4"/>
  <c r="W118" i="4"/>
  <c r="W117" i="4"/>
  <c r="W116" i="4"/>
  <c r="W115" i="4"/>
  <c r="W114" i="4"/>
  <c r="W113" i="4"/>
  <c r="W112" i="4"/>
  <c r="W111" i="4"/>
  <c r="W110" i="4"/>
  <c r="W109" i="4"/>
  <c r="W108" i="4"/>
  <c r="W107" i="4"/>
  <c r="W106" i="4"/>
  <c r="W105" i="4"/>
  <c r="W104" i="4"/>
  <c r="W103" i="4"/>
  <c r="W102" i="4"/>
  <c r="W101" i="4"/>
  <c r="W100" i="4"/>
  <c r="W99" i="4"/>
  <c r="W98" i="4"/>
  <c r="W97" i="4"/>
  <c r="W96" i="4"/>
  <c r="W95" i="4"/>
  <c r="W94" i="4"/>
  <c r="W93" i="4"/>
  <c r="W92" i="4"/>
  <c r="W91" i="4"/>
  <c r="W90" i="4"/>
  <c r="W89" i="4"/>
  <c r="W88" i="4"/>
  <c r="W87" i="4"/>
  <c r="W86" i="4"/>
  <c r="W85" i="4"/>
  <c r="W84" i="4"/>
  <c r="W83" i="4"/>
  <c r="W82" i="4"/>
  <c r="W81" i="4"/>
  <c r="W80" i="4"/>
  <c r="W79" i="4"/>
  <c r="W78" i="4"/>
  <c r="W77" i="4"/>
  <c r="W76" i="4"/>
  <c r="W75" i="4"/>
  <c r="W74" i="4"/>
  <c r="W73" i="4"/>
  <c r="W72" i="4"/>
  <c r="W71" i="4"/>
  <c r="W70" i="4"/>
  <c r="W69" i="4"/>
  <c r="W68" i="4"/>
  <c r="W67" i="4"/>
  <c r="W66" i="4"/>
  <c r="W65" i="4"/>
  <c r="W64" i="4"/>
  <c r="W63" i="4"/>
  <c r="W62" i="4"/>
  <c r="W61" i="4"/>
  <c r="W60" i="4"/>
  <c r="W59" i="4"/>
  <c r="W58" i="4"/>
  <c r="W57" i="4"/>
  <c r="W56" i="4"/>
  <c r="W55" i="4"/>
  <c r="W54" i="4"/>
  <c r="W53" i="4"/>
  <c r="W52" i="4"/>
  <c r="W51" i="4"/>
  <c r="W50" i="4"/>
  <c r="W49" i="4"/>
  <c r="W48" i="4"/>
  <c r="W47" i="4"/>
  <c r="W46" i="4"/>
  <c r="W45" i="4"/>
  <c r="W44" i="4"/>
  <c r="W43" i="4"/>
  <c r="W42" i="4"/>
  <c r="W41" i="4"/>
  <c r="W40" i="4"/>
  <c r="W39" i="4"/>
  <c r="W38" i="4"/>
  <c r="W37" i="4"/>
  <c r="W36" i="4"/>
  <c r="W35" i="4"/>
  <c r="W34" i="4"/>
  <c r="W33" i="4"/>
  <c r="W32" i="4"/>
  <c r="W31" i="4"/>
  <c r="W30" i="4"/>
  <c r="W29" i="4"/>
  <c r="W28" i="4"/>
  <c r="W27" i="4"/>
  <c r="W26" i="4"/>
  <c r="W25" i="4"/>
  <c r="W24" i="4"/>
  <c r="W23" i="4"/>
  <c r="W22" i="4"/>
  <c r="W21" i="4"/>
  <c r="W20" i="4"/>
  <c r="W19" i="4"/>
  <c r="W18" i="4"/>
  <c r="W17" i="4"/>
  <c r="W16" i="4"/>
  <c r="W15" i="4"/>
  <c r="W14" i="4"/>
  <c r="W13" i="4"/>
  <c r="W12" i="4"/>
  <c r="W11" i="4"/>
  <c r="W10" i="4"/>
  <c r="W9" i="4"/>
  <c r="W8" i="4"/>
  <c r="W7" i="4"/>
  <c r="W6" i="4"/>
  <c r="P753" i="4"/>
  <c r="P752" i="4"/>
  <c r="P751" i="4"/>
  <c r="P750" i="4"/>
  <c r="P749" i="4"/>
  <c r="P748" i="4"/>
  <c r="P747" i="4"/>
  <c r="P746" i="4"/>
  <c r="P745" i="4"/>
  <c r="P744" i="4"/>
  <c r="P743" i="4"/>
  <c r="P742" i="4"/>
  <c r="P741" i="4"/>
  <c r="P740" i="4"/>
  <c r="P739" i="4"/>
  <c r="P738" i="4"/>
  <c r="P737" i="4"/>
  <c r="P736" i="4"/>
  <c r="P735" i="4"/>
  <c r="P734" i="4"/>
  <c r="P733" i="4"/>
  <c r="P732" i="4"/>
  <c r="P731" i="4"/>
  <c r="P730" i="4"/>
  <c r="P729" i="4"/>
  <c r="P728" i="4"/>
  <c r="P727" i="4"/>
  <c r="P726" i="4"/>
  <c r="P725" i="4"/>
  <c r="P724" i="4"/>
  <c r="P723" i="4"/>
  <c r="P722" i="4"/>
  <c r="P721" i="4"/>
  <c r="P720" i="4"/>
  <c r="P719" i="4"/>
  <c r="P718" i="4"/>
  <c r="P717" i="4"/>
  <c r="P716" i="4"/>
  <c r="P715" i="4"/>
  <c r="P714" i="4"/>
  <c r="P713" i="4"/>
  <c r="P712" i="4"/>
  <c r="P711" i="4"/>
  <c r="P710" i="4"/>
  <c r="P709" i="4"/>
  <c r="P708" i="4"/>
  <c r="P707" i="4"/>
  <c r="P706" i="4"/>
  <c r="P705" i="4"/>
  <c r="P704" i="4"/>
  <c r="P703" i="4"/>
  <c r="P702" i="4"/>
  <c r="P701" i="4"/>
  <c r="P700" i="4"/>
  <c r="P699" i="4"/>
  <c r="P698" i="4"/>
  <c r="P697" i="4"/>
  <c r="P696" i="4"/>
  <c r="P695" i="4"/>
  <c r="P694" i="4"/>
  <c r="P693" i="4"/>
  <c r="P692" i="4"/>
  <c r="P691" i="4"/>
  <c r="P690" i="4"/>
  <c r="P689" i="4"/>
  <c r="P688" i="4"/>
  <c r="P687" i="4"/>
  <c r="P686" i="4"/>
  <c r="P685" i="4"/>
  <c r="P684" i="4"/>
  <c r="P683" i="4"/>
  <c r="P682" i="4"/>
  <c r="P681" i="4"/>
  <c r="P680" i="4"/>
  <c r="P679" i="4"/>
  <c r="P678" i="4"/>
  <c r="P677" i="4"/>
  <c r="P676" i="4"/>
  <c r="P675" i="4"/>
  <c r="P674" i="4"/>
  <c r="P673" i="4"/>
  <c r="P672" i="4"/>
  <c r="P671" i="4"/>
  <c r="P670" i="4"/>
  <c r="P669" i="4"/>
  <c r="P668" i="4"/>
  <c r="P667" i="4"/>
  <c r="P666" i="4"/>
  <c r="P665" i="4"/>
  <c r="P664" i="4"/>
  <c r="P663" i="4"/>
  <c r="P662" i="4"/>
  <c r="P661" i="4"/>
  <c r="P660" i="4"/>
  <c r="P659" i="4"/>
  <c r="P658" i="4"/>
  <c r="P657" i="4"/>
  <c r="P656" i="4"/>
  <c r="P655" i="4"/>
  <c r="P654" i="4"/>
  <c r="P653" i="4"/>
  <c r="P652" i="4"/>
  <c r="P651" i="4"/>
  <c r="P650" i="4"/>
  <c r="P649" i="4"/>
  <c r="P648" i="4"/>
  <c r="P647" i="4"/>
  <c r="P646" i="4"/>
  <c r="P645" i="4"/>
  <c r="P644" i="4"/>
  <c r="P643" i="4"/>
  <c r="P642" i="4"/>
  <c r="P641" i="4"/>
  <c r="P640" i="4"/>
  <c r="P639" i="4"/>
  <c r="P638" i="4"/>
  <c r="P637" i="4"/>
  <c r="P636" i="4"/>
  <c r="P635" i="4"/>
  <c r="P634" i="4"/>
  <c r="P633" i="4"/>
  <c r="P632" i="4"/>
  <c r="P631" i="4"/>
  <c r="P630" i="4"/>
  <c r="P629" i="4"/>
  <c r="P628" i="4"/>
  <c r="P627" i="4"/>
  <c r="P626" i="4"/>
  <c r="P625" i="4"/>
  <c r="P624" i="4"/>
  <c r="P623" i="4"/>
  <c r="P622" i="4"/>
  <c r="P621" i="4"/>
  <c r="P620" i="4"/>
  <c r="P619" i="4"/>
  <c r="P618" i="4"/>
  <c r="P617" i="4"/>
  <c r="P616" i="4"/>
  <c r="P615" i="4"/>
  <c r="P614" i="4"/>
  <c r="P613" i="4"/>
  <c r="P612" i="4"/>
  <c r="P611" i="4"/>
  <c r="P610" i="4"/>
  <c r="P609" i="4"/>
  <c r="P608" i="4"/>
  <c r="P607" i="4"/>
  <c r="P606" i="4"/>
  <c r="P605" i="4"/>
  <c r="P604" i="4"/>
  <c r="P603" i="4"/>
  <c r="P602" i="4"/>
  <c r="P601" i="4"/>
  <c r="P600" i="4"/>
  <c r="P599" i="4"/>
  <c r="P598" i="4"/>
  <c r="P597" i="4"/>
  <c r="P596" i="4"/>
  <c r="P595" i="4"/>
  <c r="P594" i="4"/>
  <c r="P593" i="4"/>
  <c r="P592" i="4"/>
  <c r="P591" i="4"/>
  <c r="P590" i="4"/>
  <c r="P589" i="4"/>
  <c r="P588" i="4"/>
  <c r="P587" i="4"/>
  <c r="P586" i="4"/>
  <c r="P585" i="4"/>
  <c r="P584" i="4"/>
  <c r="P583" i="4"/>
  <c r="P582" i="4"/>
  <c r="P581" i="4"/>
  <c r="P580" i="4"/>
  <c r="P579" i="4"/>
  <c r="P578" i="4"/>
  <c r="P577" i="4"/>
  <c r="P576" i="4"/>
  <c r="P575" i="4"/>
  <c r="P574" i="4"/>
  <c r="P573" i="4"/>
  <c r="P572" i="4"/>
  <c r="P571" i="4"/>
  <c r="P570" i="4"/>
  <c r="P569" i="4"/>
  <c r="P568" i="4"/>
  <c r="P567" i="4"/>
  <c r="P566" i="4"/>
  <c r="P565" i="4"/>
  <c r="P564" i="4"/>
  <c r="P563" i="4"/>
  <c r="P562" i="4"/>
  <c r="P561" i="4"/>
  <c r="P560" i="4"/>
  <c r="P559" i="4"/>
  <c r="P558" i="4"/>
  <c r="P557" i="4"/>
  <c r="P556" i="4"/>
  <c r="P555" i="4"/>
  <c r="P554" i="4"/>
  <c r="P553" i="4"/>
  <c r="P552" i="4"/>
  <c r="P551" i="4"/>
  <c r="P550" i="4"/>
  <c r="P549" i="4"/>
  <c r="P548" i="4"/>
  <c r="P547" i="4"/>
  <c r="P546" i="4"/>
  <c r="P545" i="4"/>
  <c r="P544" i="4"/>
  <c r="P543" i="4"/>
  <c r="P542" i="4"/>
  <c r="P541" i="4"/>
  <c r="P540" i="4"/>
  <c r="P539" i="4"/>
  <c r="P538" i="4"/>
  <c r="P537" i="4"/>
  <c r="P536" i="4"/>
  <c r="P535" i="4"/>
  <c r="P534" i="4"/>
  <c r="P533" i="4"/>
  <c r="P532" i="4"/>
  <c r="P531" i="4"/>
  <c r="P530" i="4"/>
  <c r="P529" i="4"/>
  <c r="P528" i="4"/>
  <c r="P527" i="4"/>
  <c r="P526" i="4"/>
  <c r="P525" i="4"/>
  <c r="P524" i="4"/>
  <c r="P523" i="4"/>
  <c r="P522" i="4"/>
  <c r="P521" i="4"/>
  <c r="P520" i="4"/>
  <c r="P519" i="4"/>
  <c r="P518" i="4"/>
  <c r="P517" i="4"/>
  <c r="P516" i="4"/>
  <c r="P515" i="4"/>
  <c r="P514" i="4"/>
  <c r="P513" i="4"/>
  <c r="P512" i="4"/>
  <c r="P511" i="4"/>
  <c r="P510" i="4"/>
  <c r="P509" i="4"/>
  <c r="P508" i="4"/>
  <c r="P507" i="4"/>
  <c r="P506" i="4"/>
  <c r="P505" i="4"/>
  <c r="P504" i="4"/>
  <c r="P503" i="4"/>
  <c r="P502" i="4"/>
  <c r="P501" i="4"/>
  <c r="P500" i="4"/>
  <c r="P499" i="4"/>
  <c r="P498" i="4"/>
  <c r="P497" i="4"/>
  <c r="P496" i="4"/>
  <c r="P495" i="4"/>
  <c r="P494" i="4"/>
  <c r="P493" i="4"/>
  <c r="P492" i="4"/>
  <c r="P491" i="4"/>
  <c r="P490" i="4"/>
  <c r="P489" i="4"/>
  <c r="P488" i="4"/>
  <c r="P487" i="4"/>
  <c r="P486" i="4"/>
  <c r="P485" i="4"/>
  <c r="P484" i="4"/>
  <c r="P483" i="4"/>
  <c r="P482" i="4"/>
  <c r="P481" i="4"/>
  <c r="P480" i="4"/>
  <c r="P479" i="4"/>
  <c r="P478" i="4"/>
  <c r="P477" i="4"/>
  <c r="P476" i="4"/>
  <c r="P475" i="4"/>
  <c r="P474" i="4"/>
  <c r="P473" i="4"/>
  <c r="P472" i="4"/>
  <c r="P471" i="4"/>
  <c r="P470" i="4"/>
  <c r="P469" i="4"/>
  <c r="P468" i="4"/>
  <c r="P467" i="4"/>
  <c r="P466" i="4"/>
  <c r="P465" i="4"/>
  <c r="P464" i="4"/>
  <c r="P463" i="4"/>
  <c r="P462" i="4"/>
  <c r="P461" i="4"/>
  <c r="P460" i="4"/>
  <c r="P459" i="4"/>
  <c r="P458" i="4"/>
  <c r="P457" i="4"/>
  <c r="P456" i="4"/>
  <c r="P455" i="4"/>
  <c r="P454" i="4"/>
  <c r="P453" i="4"/>
  <c r="P452" i="4"/>
  <c r="P451" i="4"/>
  <c r="P450" i="4"/>
  <c r="P449" i="4"/>
  <c r="P448" i="4"/>
  <c r="P447" i="4"/>
  <c r="P446" i="4"/>
  <c r="P445" i="4"/>
  <c r="P444" i="4"/>
  <c r="P443" i="4"/>
  <c r="P442" i="4"/>
  <c r="P441" i="4"/>
  <c r="P440" i="4"/>
  <c r="P439" i="4"/>
  <c r="P438" i="4"/>
  <c r="P437" i="4"/>
  <c r="P436" i="4"/>
  <c r="P435" i="4"/>
  <c r="P434" i="4"/>
  <c r="P433" i="4"/>
  <c r="P432" i="4"/>
  <c r="P431" i="4"/>
  <c r="P430" i="4"/>
  <c r="P429" i="4"/>
  <c r="P428" i="4"/>
  <c r="P427" i="4"/>
  <c r="P426" i="4"/>
  <c r="P425" i="4"/>
  <c r="P424" i="4"/>
  <c r="P423" i="4"/>
  <c r="P422" i="4"/>
  <c r="P421" i="4"/>
  <c r="P420" i="4"/>
  <c r="P419" i="4"/>
  <c r="P418" i="4"/>
  <c r="P417" i="4"/>
  <c r="P416" i="4"/>
  <c r="P415" i="4"/>
  <c r="P414" i="4"/>
  <c r="P413" i="4"/>
  <c r="P412" i="4"/>
  <c r="P411" i="4"/>
  <c r="P410" i="4"/>
  <c r="P409" i="4"/>
  <c r="P408" i="4"/>
  <c r="P407" i="4"/>
  <c r="P406" i="4"/>
  <c r="P405" i="4"/>
  <c r="P404" i="4"/>
  <c r="P403" i="4"/>
  <c r="P402" i="4"/>
  <c r="P401" i="4"/>
  <c r="P400" i="4"/>
  <c r="P399" i="4"/>
  <c r="P398" i="4"/>
  <c r="P397" i="4"/>
  <c r="P396" i="4"/>
  <c r="P395" i="4"/>
  <c r="P394" i="4"/>
  <c r="P393" i="4"/>
  <c r="P392" i="4"/>
  <c r="P391" i="4"/>
  <c r="P390" i="4"/>
  <c r="P389" i="4"/>
  <c r="P388" i="4"/>
  <c r="P387" i="4"/>
  <c r="P386" i="4"/>
  <c r="P385" i="4"/>
  <c r="P384" i="4"/>
  <c r="P383" i="4"/>
  <c r="P382" i="4"/>
  <c r="P381" i="4"/>
  <c r="P380" i="4"/>
  <c r="P379" i="4"/>
  <c r="P378" i="4"/>
  <c r="P377" i="4"/>
  <c r="P376" i="4"/>
  <c r="P375" i="4"/>
  <c r="P374" i="4"/>
  <c r="P373" i="4"/>
  <c r="P372" i="4"/>
  <c r="P371" i="4"/>
  <c r="P370" i="4"/>
  <c r="P369" i="4"/>
  <c r="P368" i="4"/>
  <c r="P367" i="4"/>
  <c r="P366" i="4"/>
  <c r="P365" i="4"/>
  <c r="P364" i="4"/>
  <c r="P363" i="4"/>
  <c r="P362" i="4"/>
  <c r="P361" i="4"/>
  <c r="P360" i="4"/>
  <c r="P359" i="4"/>
  <c r="P358" i="4"/>
  <c r="P357" i="4"/>
  <c r="P356" i="4"/>
  <c r="P355" i="4"/>
  <c r="P354" i="4"/>
  <c r="P353" i="4"/>
  <c r="P352" i="4"/>
  <c r="P351" i="4"/>
  <c r="P350" i="4"/>
  <c r="P349" i="4"/>
  <c r="P348" i="4"/>
  <c r="P347" i="4"/>
  <c r="P346" i="4"/>
  <c r="P345" i="4"/>
  <c r="P344" i="4"/>
  <c r="P343" i="4"/>
  <c r="P342" i="4"/>
  <c r="P341" i="4"/>
  <c r="P340" i="4"/>
  <c r="P339" i="4"/>
  <c r="P338" i="4"/>
  <c r="P337" i="4"/>
  <c r="P336" i="4"/>
  <c r="P335" i="4"/>
  <c r="P334" i="4"/>
  <c r="P333" i="4"/>
  <c r="P332" i="4"/>
  <c r="P331" i="4"/>
  <c r="P330" i="4"/>
  <c r="P329" i="4"/>
  <c r="P328" i="4"/>
  <c r="P327" i="4"/>
  <c r="P326" i="4"/>
  <c r="P325" i="4"/>
  <c r="P324" i="4"/>
  <c r="P323" i="4"/>
  <c r="P322" i="4"/>
  <c r="P321" i="4"/>
  <c r="P320" i="4"/>
  <c r="P319" i="4"/>
  <c r="P318" i="4"/>
  <c r="P317" i="4"/>
  <c r="P316" i="4"/>
  <c r="P315" i="4"/>
  <c r="P314" i="4"/>
  <c r="P313" i="4"/>
  <c r="P312" i="4"/>
  <c r="P311" i="4"/>
  <c r="P310" i="4"/>
  <c r="P309" i="4"/>
  <c r="P308" i="4"/>
  <c r="P307" i="4"/>
  <c r="P306" i="4"/>
  <c r="P305" i="4"/>
  <c r="P304" i="4"/>
  <c r="P303" i="4"/>
  <c r="P302" i="4"/>
  <c r="P301" i="4"/>
  <c r="P300" i="4"/>
  <c r="P299" i="4"/>
  <c r="P298" i="4"/>
  <c r="P297" i="4"/>
  <c r="P296" i="4"/>
  <c r="P295" i="4"/>
  <c r="P294" i="4"/>
  <c r="P293" i="4"/>
  <c r="P292" i="4"/>
  <c r="P291" i="4"/>
  <c r="P290" i="4"/>
  <c r="P289" i="4"/>
  <c r="P288" i="4"/>
  <c r="P287" i="4"/>
  <c r="P286" i="4"/>
  <c r="P285" i="4"/>
  <c r="P284" i="4"/>
  <c r="P283" i="4"/>
  <c r="P282" i="4"/>
  <c r="P281" i="4"/>
  <c r="P280" i="4"/>
  <c r="P279" i="4"/>
  <c r="P278" i="4"/>
  <c r="P277" i="4"/>
  <c r="P276" i="4"/>
  <c r="P275" i="4"/>
  <c r="P274" i="4"/>
  <c r="P273" i="4"/>
  <c r="P272" i="4"/>
  <c r="P271" i="4"/>
  <c r="P270" i="4"/>
  <c r="P269" i="4"/>
  <c r="P268" i="4"/>
  <c r="P267" i="4"/>
  <c r="P266" i="4"/>
  <c r="P265" i="4"/>
  <c r="P264" i="4"/>
  <c r="P263" i="4"/>
  <c r="P262" i="4"/>
  <c r="P261" i="4"/>
  <c r="P260" i="4"/>
  <c r="P259" i="4"/>
  <c r="P258" i="4"/>
  <c r="P257" i="4"/>
  <c r="P256" i="4"/>
  <c r="P255" i="4"/>
  <c r="P254" i="4"/>
  <c r="P253" i="4"/>
  <c r="P252" i="4"/>
  <c r="P251" i="4"/>
  <c r="P250" i="4"/>
  <c r="P249" i="4"/>
  <c r="P248" i="4"/>
  <c r="P247" i="4"/>
  <c r="P246" i="4"/>
  <c r="P245" i="4"/>
  <c r="P244" i="4"/>
  <c r="P243" i="4"/>
  <c r="P242" i="4"/>
  <c r="P241" i="4"/>
  <c r="P240" i="4"/>
  <c r="P239" i="4"/>
  <c r="P238" i="4"/>
  <c r="P237" i="4"/>
  <c r="P236" i="4"/>
  <c r="P235" i="4"/>
  <c r="P234" i="4"/>
  <c r="P233" i="4"/>
  <c r="P232" i="4"/>
  <c r="P231" i="4"/>
  <c r="P230" i="4"/>
  <c r="P229" i="4"/>
  <c r="P228" i="4"/>
  <c r="P227" i="4"/>
  <c r="P226" i="4"/>
  <c r="P225" i="4"/>
  <c r="P224" i="4"/>
  <c r="P223" i="4"/>
  <c r="P222" i="4"/>
  <c r="P221" i="4"/>
  <c r="P220" i="4"/>
  <c r="P219" i="4"/>
  <c r="P218" i="4"/>
  <c r="P217" i="4"/>
  <c r="P216" i="4"/>
  <c r="P215" i="4"/>
  <c r="P214" i="4"/>
  <c r="P213" i="4"/>
  <c r="P212" i="4"/>
  <c r="P211" i="4"/>
  <c r="P210" i="4"/>
  <c r="P209" i="4"/>
  <c r="P208" i="4"/>
  <c r="P207" i="4"/>
  <c r="P206" i="4"/>
  <c r="P205" i="4"/>
  <c r="P204" i="4"/>
  <c r="P203" i="4"/>
  <c r="P202" i="4"/>
  <c r="P201" i="4"/>
  <c r="P200" i="4"/>
  <c r="P199" i="4"/>
  <c r="P198" i="4"/>
  <c r="P197" i="4"/>
  <c r="P196" i="4"/>
  <c r="P195" i="4"/>
  <c r="P194" i="4"/>
  <c r="P193" i="4"/>
  <c r="P192" i="4"/>
  <c r="P191" i="4"/>
  <c r="P190" i="4"/>
  <c r="P189" i="4"/>
  <c r="P188" i="4"/>
  <c r="P187" i="4"/>
  <c r="P186" i="4"/>
  <c r="P185" i="4"/>
  <c r="P184" i="4"/>
  <c r="P183" i="4"/>
  <c r="P182" i="4"/>
  <c r="P181" i="4"/>
  <c r="P180" i="4"/>
  <c r="P179" i="4"/>
  <c r="P178" i="4"/>
  <c r="P177" i="4"/>
  <c r="P176" i="4"/>
  <c r="P175" i="4"/>
  <c r="P174" i="4"/>
  <c r="P173" i="4"/>
  <c r="P172" i="4"/>
  <c r="P171" i="4"/>
  <c r="P170" i="4"/>
  <c r="P169" i="4"/>
  <c r="P168" i="4"/>
  <c r="P167" i="4"/>
  <c r="P166" i="4"/>
  <c r="P165" i="4"/>
  <c r="P164" i="4"/>
  <c r="P163" i="4"/>
  <c r="P162" i="4"/>
  <c r="P161" i="4"/>
  <c r="P160" i="4"/>
  <c r="P159" i="4"/>
  <c r="P158" i="4"/>
  <c r="P157" i="4"/>
  <c r="P156" i="4"/>
  <c r="P155" i="4"/>
  <c r="P154" i="4"/>
  <c r="P153" i="4"/>
  <c r="P152" i="4"/>
  <c r="P151" i="4"/>
  <c r="P150" i="4"/>
  <c r="P149" i="4"/>
  <c r="P148" i="4"/>
  <c r="P147" i="4"/>
  <c r="P146" i="4"/>
  <c r="P145" i="4"/>
  <c r="P144" i="4"/>
  <c r="P143" i="4"/>
  <c r="P142" i="4"/>
  <c r="P141" i="4"/>
  <c r="P140" i="4"/>
  <c r="P139" i="4"/>
  <c r="P138" i="4"/>
  <c r="P137" i="4"/>
  <c r="P136" i="4"/>
  <c r="P135" i="4"/>
  <c r="P134" i="4"/>
  <c r="P133" i="4"/>
  <c r="P132" i="4"/>
  <c r="P131" i="4"/>
  <c r="P130" i="4"/>
  <c r="P129" i="4"/>
  <c r="P128" i="4"/>
  <c r="P127" i="4"/>
  <c r="P126" i="4"/>
  <c r="P125" i="4"/>
  <c r="P124" i="4"/>
  <c r="P123" i="4"/>
  <c r="P122" i="4"/>
  <c r="P121" i="4"/>
  <c r="P120" i="4"/>
  <c r="P119" i="4"/>
  <c r="P118" i="4"/>
  <c r="P117" i="4"/>
  <c r="P116" i="4"/>
  <c r="P115" i="4"/>
  <c r="P114" i="4"/>
  <c r="P113" i="4"/>
  <c r="P112" i="4"/>
  <c r="P111" i="4"/>
  <c r="P110" i="4"/>
  <c r="P109" i="4"/>
  <c r="P108" i="4"/>
  <c r="P107" i="4"/>
  <c r="P106" i="4"/>
  <c r="P105" i="4"/>
  <c r="P104" i="4"/>
  <c r="P103" i="4"/>
  <c r="P102" i="4"/>
  <c r="P101" i="4"/>
  <c r="P100" i="4"/>
  <c r="P99" i="4"/>
  <c r="P98" i="4"/>
  <c r="P97" i="4"/>
  <c r="P96" i="4"/>
  <c r="P95" i="4"/>
  <c r="P94" i="4"/>
  <c r="P93" i="4"/>
  <c r="P92" i="4"/>
  <c r="P91" i="4"/>
  <c r="P90" i="4"/>
  <c r="P89" i="4"/>
  <c r="P88" i="4"/>
  <c r="P87" i="4"/>
  <c r="P86" i="4"/>
  <c r="P85" i="4"/>
  <c r="P84" i="4"/>
  <c r="P83" i="4"/>
  <c r="P82" i="4"/>
  <c r="P81" i="4"/>
  <c r="P80" i="4"/>
  <c r="P79" i="4"/>
  <c r="P78" i="4"/>
  <c r="P77" i="4"/>
  <c r="P76" i="4"/>
  <c r="P75" i="4"/>
  <c r="P74" i="4"/>
  <c r="P73" i="4"/>
  <c r="P72" i="4"/>
  <c r="P71" i="4"/>
  <c r="P70" i="4"/>
  <c r="P69" i="4"/>
  <c r="P68" i="4"/>
  <c r="P67" i="4"/>
  <c r="P66" i="4"/>
  <c r="P65" i="4"/>
  <c r="P64" i="4"/>
  <c r="P63" i="4"/>
  <c r="P62" i="4"/>
  <c r="P61" i="4"/>
  <c r="P60" i="4"/>
  <c r="P59" i="4"/>
  <c r="P58" i="4"/>
  <c r="P57" i="4"/>
  <c r="P56" i="4"/>
  <c r="P55" i="4"/>
  <c r="P54" i="4"/>
  <c r="P53" i="4"/>
  <c r="P52" i="4"/>
  <c r="P51" i="4"/>
  <c r="P50" i="4"/>
  <c r="P49" i="4"/>
  <c r="P48" i="4"/>
  <c r="P47" i="4"/>
  <c r="P46" i="4"/>
  <c r="P45" i="4"/>
  <c r="P44" i="4"/>
  <c r="P43" i="4"/>
  <c r="P42" i="4"/>
  <c r="P41" i="4"/>
  <c r="P40" i="4"/>
  <c r="P39" i="4"/>
  <c r="P38"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P7" i="4"/>
  <c r="P6" i="4"/>
  <c r="P5" i="4"/>
  <c r="U5" i="4" s="1"/>
  <c r="AS7" i="4"/>
  <c r="AS8" i="4"/>
  <c r="AS9" i="4"/>
  <c r="AS10" i="4"/>
  <c r="AS11" i="4"/>
  <c r="AS12" i="4"/>
  <c r="AS13" i="4"/>
  <c r="AS14" i="4"/>
  <c r="AS15" i="4"/>
  <c r="AS16" i="4"/>
  <c r="AS6" i="4"/>
  <c r="AQ6" i="4"/>
  <c r="AQ7" i="4"/>
  <c r="AQ8" i="4"/>
  <c r="AQ9" i="4"/>
  <c r="AQ10" i="4"/>
  <c r="AQ11" i="4"/>
  <c r="AQ12" i="4"/>
  <c r="AQ13" i="4"/>
  <c r="AQ14" i="4"/>
  <c r="AQ15" i="4"/>
  <c r="AQ16" i="4"/>
  <c r="AQ5" i="4"/>
  <c r="AO6" i="4"/>
  <c r="AO7" i="4"/>
  <c r="AO8" i="4"/>
  <c r="AO9" i="4"/>
  <c r="AO10" i="4"/>
  <c r="AP10" i="4" s="1"/>
  <c r="AO11" i="4"/>
  <c r="AO12" i="4"/>
  <c r="AO13" i="4"/>
  <c r="AO14" i="4"/>
  <c r="AO15" i="4"/>
  <c r="AO16" i="4"/>
  <c r="AO5" i="4"/>
  <c r="AS5" i="4"/>
  <c r="D7" i="12"/>
  <c r="C112" i="15" a="1"/>
  <c r="C112" i="15" s="1"/>
  <c r="C114" i="15" s="1"/>
  <c r="C115" i="15" s="1"/>
  <c r="C11" i="15" s="1"/>
  <c r="E14" i="12"/>
  <c r="E13" i="12"/>
  <c r="E12" i="12"/>
  <c r="D14" i="12"/>
  <c r="F14" i="12" s="1"/>
  <c r="D13" i="12"/>
  <c r="F13" i="12" s="1"/>
  <c r="D12" i="12"/>
  <c r="F12" i="12" s="1"/>
  <c r="F6" i="27"/>
  <c r="L6" i="27"/>
  <c r="F7" i="27"/>
  <c r="L7" i="27"/>
  <c r="F8" i="27"/>
  <c r="L8" i="27"/>
  <c r="F9" i="27"/>
  <c r="L9" i="27"/>
  <c r="F10" i="27"/>
  <c r="H10" i="27"/>
  <c r="L10" i="27"/>
  <c r="F11" i="27"/>
  <c r="H11" i="27"/>
  <c r="L11" i="27"/>
  <c r="F12" i="27"/>
  <c r="H12" i="27"/>
  <c r="L12" i="27"/>
  <c r="F14" i="27"/>
  <c r="L14" i="27"/>
  <c r="P14" i="27"/>
  <c r="T14" i="27"/>
  <c r="X14" i="27"/>
  <c r="F15" i="27"/>
  <c r="L15" i="27"/>
  <c r="P15" i="27"/>
  <c r="T15" i="27"/>
  <c r="X15" i="27"/>
  <c r="F17" i="27"/>
  <c r="L17" i="27"/>
  <c r="P17" i="27"/>
  <c r="T17" i="27"/>
  <c r="X17" i="27"/>
  <c r="F19" i="27"/>
  <c r="L19" i="27"/>
  <c r="P19" i="27"/>
  <c r="T19" i="27"/>
  <c r="X19" i="27"/>
  <c r="F21" i="27"/>
  <c r="L21" i="27"/>
  <c r="P21" i="27"/>
  <c r="T21" i="27"/>
  <c r="X21" i="27"/>
  <c r="F23" i="27"/>
  <c r="L23" i="27"/>
  <c r="P23" i="27"/>
  <c r="T23" i="27"/>
  <c r="X23" i="27"/>
  <c r="F25" i="27"/>
  <c r="L25" i="27"/>
  <c r="P25" i="27"/>
  <c r="T25" i="27"/>
  <c r="X25" i="27"/>
  <c r="F27" i="27"/>
  <c r="L27" i="27"/>
  <c r="P27" i="27"/>
  <c r="T27" i="27"/>
  <c r="X27" i="27"/>
  <c r="F29" i="27"/>
  <c r="L29" i="27"/>
  <c r="P29" i="27"/>
  <c r="T29" i="27"/>
  <c r="X29" i="27"/>
  <c r="F31" i="27"/>
  <c r="L31" i="27"/>
  <c r="P31" i="27"/>
  <c r="T31" i="27"/>
  <c r="X31" i="27"/>
  <c r="F33" i="27"/>
  <c r="L33" i="27"/>
  <c r="P33" i="27"/>
  <c r="T33" i="27"/>
  <c r="X33" i="27"/>
  <c r="F35" i="27"/>
  <c r="L35" i="27"/>
  <c r="P35" i="27"/>
  <c r="T35" i="27"/>
  <c r="X35" i="27"/>
  <c r="F37" i="27"/>
  <c r="L37" i="27"/>
  <c r="P37" i="27"/>
  <c r="T37" i="27"/>
  <c r="X37" i="27"/>
  <c r="F39" i="27"/>
  <c r="L39" i="27"/>
  <c r="P39" i="27"/>
  <c r="T39" i="27"/>
  <c r="X39" i="27"/>
  <c r="F41" i="27"/>
  <c r="L41" i="27"/>
  <c r="P41" i="27"/>
  <c r="T41" i="27"/>
  <c r="X41" i="27"/>
  <c r="F43" i="27"/>
  <c r="L43" i="27"/>
  <c r="P43" i="27"/>
  <c r="T43" i="27"/>
  <c r="X43" i="27"/>
  <c r="F45" i="27"/>
  <c r="L45" i="27"/>
  <c r="P45" i="27"/>
  <c r="T45" i="27"/>
  <c r="X45" i="27"/>
  <c r="F47" i="27"/>
  <c r="L47" i="27"/>
  <c r="P47" i="27"/>
  <c r="T47" i="27"/>
  <c r="X47" i="27"/>
  <c r="F49" i="27"/>
  <c r="L49" i="27"/>
  <c r="P49" i="27"/>
  <c r="T49" i="27"/>
  <c r="X49" i="27"/>
  <c r="F51" i="27"/>
  <c r="L51" i="27"/>
  <c r="P51" i="27"/>
  <c r="T51" i="27"/>
  <c r="X51" i="27"/>
  <c r="F53" i="27"/>
  <c r="L53" i="27"/>
  <c r="P53" i="27"/>
  <c r="T53" i="27"/>
  <c r="X53" i="27"/>
  <c r="F55" i="27"/>
  <c r="L55" i="27"/>
  <c r="P55" i="27"/>
  <c r="T55" i="27"/>
  <c r="X55" i="27"/>
  <c r="F57" i="27"/>
  <c r="L57" i="27"/>
  <c r="P57" i="27"/>
  <c r="T57" i="27"/>
  <c r="X57" i="27"/>
  <c r="F59" i="27"/>
  <c r="L59" i="27"/>
  <c r="P59" i="27"/>
  <c r="T59" i="27"/>
  <c r="X59" i="27"/>
  <c r="F61" i="27"/>
  <c r="L61" i="27"/>
  <c r="P61" i="27"/>
  <c r="T61" i="27"/>
  <c r="X61" i="27"/>
  <c r="F63" i="27"/>
  <c r="L63" i="27"/>
  <c r="P63" i="27"/>
  <c r="T63" i="27"/>
  <c r="X63" i="27"/>
  <c r="F65" i="27"/>
  <c r="L65" i="27"/>
  <c r="P65" i="27"/>
  <c r="T65" i="27"/>
  <c r="X65" i="27"/>
  <c r="F67" i="27"/>
  <c r="L67" i="27"/>
  <c r="P67" i="27"/>
  <c r="T67" i="27"/>
  <c r="X67" i="27"/>
  <c r="F69" i="27"/>
  <c r="L69" i="27"/>
  <c r="P69" i="27"/>
  <c r="T69" i="27"/>
  <c r="X69" i="27"/>
  <c r="F71" i="27"/>
  <c r="L71" i="27"/>
  <c r="P71" i="27"/>
  <c r="T71" i="27"/>
  <c r="X71" i="27"/>
  <c r="F73" i="27"/>
  <c r="L73" i="27"/>
  <c r="P73" i="27"/>
  <c r="T73" i="27"/>
  <c r="X73" i="27"/>
  <c r="F75" i="27"/>
  <c r="L75" i="27"/>
  <c r="P75" i="27"/>
  <c r="T75" i="27"/>
  <c r="X75" i="27"/>
  <c r="F77" i="27"/>
  <c r="L77" i="27"/>
  <c r="P77" i="27"/>
  <c r="T77" i="27"/>
  <c r="X77" i="27"/>
  <c r="F79" i="27"/>
  <c r="L79" i="27"/>
  <c r="P79" i="27"/>
  <c r="T79" i="27"/>
  <c r="X79" i="27"/>
  <c r="F81" i="27"/>
  <c r="L81" i="27"/>
  <c r="P81" i="27"/>
  <c r="T81" i="27"/>
  <c r="X81" i="27"/>
  <c r="F83" i="27"/>
  <c r="L83" i="27"/>
  <c r="P83" i="27"/>
  <c r="T83" i="27"/>
  <c r="X83" i="27"/>
  <c r="F85" i="27"/>
  <c r="L85" i="27"/>
  <c r="P85" i="27"/>
  <c r="T85" i="27"/>
  <c r="X85" i="27"/>
  <c r="F87" i="27"/>
  <c r="L87" i="27"/>
  <c r="P87" i="27"/>
  <c r="T87" i="27"/>
  <c r="X87" i="27"/>
  <c r="F89" i="27"/>
  <c r="L89" i="27"/>
  <c r="P89" i="27"/>
  <c r="T89" i="27"/>
  <c r="X89" i="27"/>
  <c r="F91" i="27"/>
  <c r="L91" i="27"/>
  <c r="P91" i="27"/>
  <c r="T91" i="27"/>
  <c r="X91" i="27"/>
  <c r="F93" i="27"/>
  <c r="L93" i="27"/>
  <c r="P93" i="27"/>
  <c r="T93" i="27"/>
  <c r="X93" i="27"/>
  <c r="F95" i="27"/>
  <c r="L95" i="27"/>
  <c r="P95" i="27"/>
  <c r="T95" i="27"/>
  <c r="X95" i="27"/>
  <c r="F96" i="27"/>
  <c r="L96" i="27"/>
  <c r="P96" i="27"/>
  <c r="T96" i="27"/>
  <c r="X96" i="27"/>
  <c r="F98" i="27"/>
  <c r="L98" i="27"/>
  <c r="P98" i="27"/>
  <c r="T98" i="27"/>
  <c r="X98" i="27"/>
  <c r="F99" i="27"/>
  <c r="L99" i="27"/>
  <c r="P99" i="27"/>
  <c r="T99" i="27"/>
  <c r="X99" i="27"/>
  <c r="F100" i="27"/>
  <c r="L100" i="27"/>
  <c r="P100" i="27"/>
  <c r="T100" i="27"/>
  <c r="X100" i="27"/>
  <c r="F101" i="27"/>
  <c r="L101" i="27"/>
  <c r="P101" i="27"/>
  <c r="T101" i="27"/>
  <c r="X101" i="27"/>
  <c r="F102" i="27"/>
  <c r="L102" i="27"/>
  <c r="P102" i="27"/>
  <c r="T102" i="27"/>
  <c r="X102" i="27"/>
  <c r="F103" i="27"/>
  <c r="L103" i="27"/>
  <c r="P103" i="27"/>
  <c r="T103" i="27"/>
  <c r="X103" i="27"/>
  <c r="F104" i="27"/>
  <c r="L104" i="27"/>
  <c r="P104" i="27"/>
  <c r="T104" i="27"/>
  <c r="X104" i="27"/>
  <c r="F105" i="27"/>
  <c r="L105" i="27"/>
  <c r="P105" i="27"/>
  <c r="T105" i="27"/>
  <c r="X105" i="27"/>
  <c r="F106" i="27"/>
  <c r="L106" i="27"/>
  <c r="P106" i="27"/>
  <c r="T106" i="27"/>
  <c r="X106" i="27"/>
  <c r="F107" i="27"/>
  <c r="L107" i="27"/>
  <c r="P107" i="27"/>
  <c r="T107" i="27"/>
  <c r="X107" i="27"/>
  <c r="F108" i="27"/>
  <c r="L108" i="27"/>
  <c r="P108" i="27"/>
  <c r="T108" i="27"/>
  <c r="X108" i="27"/>
  <c r="F109" i="27"/>
  <c r="L109" i="27"/>
  <c r="P109" i="27"/>
  <c r="T109" i="27"/>
  <c r="X109" i="27"/>
  <c r="F110" i="27"/>
  <c r="L110" i="27"/>
  <c r="P110" i="27"/>
  <c r="T110" i="27"/>
  <c r="X110" i="27"/>
  <c r="F111" i="27"/>
  <c r="L111" i="27"/>
  <c r="P111" i="27"/>
  <c r="T111" i="27"/>
  <c r="X111" i="27"/>
  <c r="F112" i="27"/>
  <c r="L112" i="27"/>
  <c r="P112" i="27"/>
  <c r="T112" i="27"/>
  <c r="X112" i="27"/>
  <c r="F113" i="27"/>
  <c r="L113" i="27"/>
  <c r="P113" i="27"/>
  <c r="T113" i="27"/>
  <c r="X113" i="27"/>
  <c r="F114" i="27"/>
  <c r="L114" i="27"/>
  <c r="P114" i="27"/>
  <c r="T114" i="27"/>
  <c r="X114" i="27"/>
  <c r="F115" i="27"/>
  <c r="L115" i="27"/>
  <c r="P115" i="27"/>
  <c r="T115" i="27"/>
  <c r="X115" i="27"/>
  <c r="F116" i="27"/>
  <c r="L116" i="27"/>
  <c r="P116" i="27"/>
  <c r="T116" i="27"/>
  <c r="X116" i="27"/>
  <c r="F117" i="27"/>
  <c r="L117" i="27"/>
  <c r="P117" i="27"/>
  <c r="T117" i="27"/>
  <c r="X117" i="27"/>
  <c r="F118" i="27"/>
  <c r="L118" i="27"/>
  <c r="P118" i="27"/>
  <c r="T118" i="27"/>
  <c r="X118" i="27"/>
  <c r="F119" i="27"/>
  <c r="L119" i="27"/>
  <c r="P119" i="27"/>
  <c r="T119" i="27"/>
  <c r="X119" i="27"/>
  <c r="F120" i="27"/>
  <c r="L120" i="27"/>
  <c r="P120" i="27"/>
  <c r="T120" i="27"/>
  <c r="X120" i="27"/>
  <c r="F121" i="27"/>
  <c r="L121" i="27"/>
  <c r="P121" i="27"/>
  <c r="T121" i="27"/>
  <c r="X121" i="27"/>
  <c r="F123" i="27"/>
  <c r="L123" i="27"/>
  <c r="P123" i="27"/>
  <c r="T123" i="27"/>
  <c r="X123" i="27"/>
  <c r="L125" i="27"/>
  <c r="F125" i="27"/>
  <c r="P125" i="27"/>
  <c r="T125" i="27"/>
  <c r="X125" i="27"/>
  <c r="F126" i="27"/>
  <c r="P126" i="27"/>
  <c r="T126" i="27"/>
  <c r="X126" i="27"/>
  <c r="L127" i="27"/>
  <c r="F127" i="27"/>
  <c r="P127" i="27"/>
  <c r="T127" i="27"/>
  <c r="X127" i="27"/>
  <c r="F128" i="27"/>
  <c r="P128" i="27"/>
  <c r="T128" i="27"/>
  <c r="X128" i="27"/>
  <c r="F129" i="27"/>
  <c r="P129" i="27"/>
  <c r="T129" i="27"/>
  <c r="X129" i="27"/>
  <c r="F130" i="27"/>
  <c r="P130" i="27"/>
  <c r="T130" i="27"/>
  <c r="X130" i="27"/>
  <c r="F131" i="27"/>
  <c r="P131" i="27"/>
  <c r="T131" i="27"/>
  <c r="X131" i="27"/>
  <c r="F132" i="27"/>
  <c r="P132" i="27"/>
  <c r="T132" i="27"/>
  <c r="X132" i="27"/>
  <c r="L133" i="27"/>
  <c r="F133" i="27"/>
  <c r="P133" i="27"/>
  <c r="T133" i="27"/>
  <c r="X133" i="27"/>
  <c r="L134" i="27"/>
  <c r="F134" i="27"/>
  <c r="P134" i="27"/>
  <c r="T134" i="27"/>
  <c r="X134" i="27"/>
  <c r="L135" i="27"/>
  <c r="F135" i="27"/>
  <c r="P135" i="27"/>
  <c r="T135" i="27"/>
  <c r="X135" i="27"/>
  <c r="L136" i="27"/>
  <c r="F136" i="27"/>
  <c r="P136" i="27"/>
  <c r="T136" i="27"/>
  <c r="X136" i="27"/>
  <c r="L137" i="27"/>
  <c r="F137" i="27"/>
  <c r="P137" i="27"/>
  <c r="T137" i="27"/>
  <c r="X137" i="27"/>
  <c r="L138" i="27"/>
  <c r="F138" i="27"/>
  <c r="P138" i="27"/>
  <c r="T138" i="27"/>
  <c r="X138" i="27"/>
  <c r="L139" i="27"/>
  <c r="F139" i="27"/>
  <c r="P139" i="27"/>
  <c r="T139" i="27"/>
  <c r="X139" i="27"/>
  <c r="L140" i="27"/>
  <c r="F140" i="27"/>
  <c r="P140" i="27"/>
  <c r="T140" i="27"/>
  <c r="X140" i="27"/>
  <c r="L141" i="27"/>
  <c r="F141" i="27"/>
  <c r="P141" i="27"/>
  <c r="T141" i="27"/>
  <c r="X141" i="27"/>
  <c r="L142" i="27"/>
  <c r="F142" i="27"/>
  <c r="P142" i="27"/>
  <c r="T142" i="27"/>
  <c r="X142" i="27"/>
  <c r="L143" i="27"/>
  <c r="F143" i="27"/>
  <c r="P143" i="27"/>
  <c r="T143" i="27"/>
  <c r="X143" i="27"/>
  <c r="L144" i="27"/>
  <c r="F144" i="27"/>
  <c r="P144" i="27"/>
  <c r="T144" i="27"/>
  <c r="X144" i="27"/>
  <c r="L145" i="27"/>
  <c r="F145" i="27"/>
  <c r="P145" i="27"/>
  <c r="T145" i="27"/>
  <c r="X145" i="27"/>
  <c r="L146" i="27"/>
  <c r="F146" i="27"/>
  <c r="P146" i="27"/>
  <c r="T146" i="27"/>
  <c r="X146" i="27"/>
  <c r="F148" i="27"/>
  <c r="L148" i="27"/>
  <c r="P148" i="27"/>
  <c r="T148" i="27"/>
  <c r="X148" i="27"/>
  <c r="F150" i="27"/>
  <c r="L150" i="27"/>
  <c r="P150" i="27"/>
  <c r="T150" i="27"/>
  <c r="X150" i="27"/>
  <c r="F152" i="27"/>
  <c r="L152" i="27"/>
  <c r="P152" i="27"/>
  <c r="T152" i="27"/>
  <c r="X152" i="27"/>
  <c r="F154" i="27"/>
  <c r="L154" i="27"/>
  <c r="P154" i="27"/>
  <c r="T154" i="27"/>
  <c r="X154" i="27"/>
  <c r="F156" i="27"/>
  <c r="L156" i="27"/>
  <c r="P156" i="27"/>
  <c r="T156" i="27"/>
  <c r="X156" i="27"/>
  <c r="F158" i="27"/>
  <c r="L158" i="27"/>
  <c r="P158" i="27"/>
  <c r="T158" i="27"/>
  <c r="X158" i="27"/>
  <c r="D160" i="27"/>
  <c r="F160" i="27"/>
  <c r="L160" i="27"/>
  <c r="P160" i="27"/>
  <c r="T160" i="27"/>
  <c r="X160" i="27"/>
  <c r="D161" i="27"/>
  <c r="F161" i="27"/>
  <c r="L161" i="27"/>
  <c r="P161" i="27"/>
  <c r="T161" i="27"/>
  <c r="X161" i="27"/>
  <c r="D162" i="27"/>
  <c r="F162" i="27"/>
  <c r="L162" i="27"/>
  <c r="P162" i="27"/>
  <c r="T162" i="27"/>
  <c r="X162" i="27"/>
  <c r="D163" i="27"/>
  <c r="F163" i="27"/>
  <c r="L163" i="27"/>
  <c r="P163" i="27"/>
  <c r="T163" i="27"/>
  <c r="X163" i="27"/>
  <c r="D164" i="27"/>
  <c r="F164" i="27"/>
  <c r="L164" i="27"/>
  <c r="P164" i="27"/>
  <c r="T164" i="27"/>
  <c r="X164" i="27"/>
  <c r="D165" i="27"/>
  <c r="F165" i="27"/>
  <c r="L165" i="27"/>
  <c r="P165" i="27"/>
  <c r="T165" i="27"/>
  <c r="X165" i="27"/>
  <c r="D166" i="27"/>
  <c r="F166" i="27"/>
  <c r="L166" i="27"/>
  <c r="P166" i="27"/>
  <c r="T166" i="27"/>
  <c r="X166" i="27"/>
  <c r="D167" i="27"/>
  <c r="F167" i="27"/>
  <c r="L167" i="27"/>
  <c r="P167" i="27"/>
  <c r="T167" i="27"/>
  <c r="X167" i="27"/>
  <c r="D168" i="27"/>
  <c r="F168" i="27"/>
  <c r="L168" i="27"/>
  <c r="P168" i="27"/>
  <c r="T168" i="27"/>
  <c r="X168" i="27"/>
  <c r="D169" i="27"/>
  <c r="F169" i="27"/>
  <c r="L169" i="27"/>
  <c r="P169" i="27"/>
  <c r="T169" i="27"/>
  <c r="X169" i="27"/>
  <c r="D170" i="27"/>
  <c r="F170" i="27"/>
  <c r="L170" i="27"/>
  <c r="P170" i="27"/>
  <c r="T170" i="27"/>
  <c r="X170" i="27"/>
  <c r="F172" i="27"/>
  <c r="L172" i="27"/>
  <c r="P172" i="27"/>
  <c r="T172" i="27"/>
  <c r="X172" i="27"/>
  <c r="F173" i="27"/>
  <c r="L173" i="27"/>
  <c r="P173" i="27"/>
  <c r="T173" i="27"/>
  <c r="X173" i="27"/>
  <c r="F174" i="27"/>
  <c r="L174" i="27"/>
  <c r="P174" i="27"/>
  <c r="T174" i="27"/>
  <c r="X174" i="27"/>
  <c r="F175" i="27"/>
  <c r="L175" i="27"/>
  <c r="P175" i="27"/>
  <c r="T175" i="27"/>
  <c r="X175" i="27"/>
  <c r="F176" i="27"/>
  <c r="L176" i="27"/>
  <c r="P176" i="27"/>
  <c r="T176" i="27"/>
  <c r="X176" i="27"/>
  <c r="F177" i="27"/>
  <c r="L177" i="27"/>
  <c r="P177" i="27"/>
  <c r="T177" i="27"/>
  <c r="X177" i="27"/>
  <c r="F178" i="27"/>
  <c r="L178" i="27"/>
  <c r="P178" i="27"/>
  <c r="T178" i="27"/>
  <c r="X178" i="27"/>
  <c r="F179" i="27"/>
  <c r="L179" i="27"/>
  <c r="P179" i="27"/>
  <c r="T179" i="27"/>
  <c r="X179" i="27"/>
  <c r="F180" i="27"/>
  <c r="L180" i="27"/>
  <c r="P180" i="27"/>
  <c r="T180" i="27"/>
  <c r="X180" i="27"/>
  <c r="F181" i="27"/>
  <c r="L181" i="27"/>
  <c r="P181" i="27"/>
  <c r="T181" i="27"/>
  <c r="X181" i="27"/>
  <c r="F182" i="27"/>
  <c r="L182" i="27"/>
  <c r="P182" i="27"/>
  <c r="T182" i="27"/>
  <c r="X182" i="27"/>
  <c r="F183" i="27"/>
  <c r="L183" i="27"/>
  <c r="P183" i="27"/>
  <c r="T183" i="27"/>
  <c r="X183" i="27"/>
  <c r="F184" i="27"/>
  <c r="L184" i="27"/>
  <c r="P184" i="27"/>
  <c r="T184" i="27"/>
  <c r="X184" i="27"/>
  <c r="F185" i="27"/>
  <c r="L185" i="27"/>
  <c r="P185" i="27"/>
  <c r="T185" i="27"/>
  <c r="X185" i="27"/>
  <c r="F186" i="27"/>
  <c r="L186" i="27"/>
  <c r="P186" i="27"/>
  <c r="T186" i="27"/>
  <c r="X186" i="27"/>
  <c r="F188" i="27"/>
  <c r="L188" i="27"/>
  <c r="P188" i="27"/>
  <c r="T188" i="27"/>
  <c r="X188" i="27"/>
  <c r="L189" i="27"/>
  <c r="P189" i="27"/>
  <c r="T189" i="27"/>
  <c r="X189" i="27"/>
  <c r="L190" i="27"/>
  <c r="P190" i="27"/>
  <c r="T190" i="27"/>
  <c r="X190" i="27"/>
  <c r="F191" i="27"/>
  <c r="L191" i="27"/>
  <c r="P191" i="27"/>
  <c r="T191" i="27"/>
  <c r="X191" i="27"/>
  <c r="F192" i="27"/>
  <c r="L192" i="27"/>
  <c r="P192" i="27"/>
  <c r="T192" i="27"/>
  <c r="X192" i="27"/>
  <c r="F193" i="27"/>
  <c r="L193" i="27"/>
  <c r="P193" i="27"/>
  <c r="T193" i="27"/>
  <c r="X193" i="27"/>
  <c r="F194" i="27"/>
  <c r="L194" i="27"/>
  <c r="P194" i="27"/>
  <c r="T194" i="27"/>
  <c r="X194" i="27"/>
  <c r="F195" i="27"/>
  <c r="L195" i="27"/>
  <c r="P195" i="27"/>
  <c r="T195" i="27"/>
  <c r="X195" i="27"/>
  <c r="F196" i="27"/>
  <c r="L196" i="27"/>
  <c r="P196" i="27"/>
  <c r="T196" i="27"/>
  <c r="X196" i="27"/>
  <c r="L197" i="27"/>
  <c r="P197" i="27"/>
  <c r="T197" i="27"/>
  <c r="X197" i="27"/>
  <c r="F198" i="27"/>
  <c r="L198" i="27"/>
  <c r="P198" i="27"/>
  <c r="T198" i="27"/>
  <c r="X198" i="27"/>
  <c r="F199" i="27"/>
  <c r="L199" i="27"/>
  <c r="P199" i="27"/>
  <c r="T199" i="27"/>
  <c r="X199" i="27"/>
  <c r="F200" i="27"/>
  <c r="L200" i="27"/>
  <c r="P200" i="27"/>
  <c r="T200" i="27"/>
  <c r="X200" i="27"/>
  <c r="F201" i="27"/>
  <c r="L201" i="27"/>
  <c r="P201" i="27"/>
  <c r="T201" i="27"/>
  <c r="X201" i="27"/>
  <c r="F202" i="27"/>
  <c r="L202" i="27"/>
  <c r="P202" i="27"/>
  <c r="T202" i="27"/>
  <c r="X202" i="27"/>
  <c r="D204" i="27"/>
  <c r="F204" i="27"/>
  <c r="L204" i="27"/>
  <c r="P204" i="27"/>
  <c r="T204" i="27"/>
  <c r="X204" i="27"/>
  <c r="D205" i="27"/>
  <c r="F205" i="27"/>
  <c r="L205" i="27"/>
  <c r="P205" i="27"/>
  <c r="T205" i="27"/>
  <c r="X205" i="27"/>
  <c r="D206" i="27"/>
  <c r="F206" i="27"/>
  <c r="L206" i="27"/>
  <c r="P206" i="27"/>
  <c r="T206" i="27"/>
  <c r="X206" i="27"/>
  <c r="D207" i="27"/>
  <c r="F207" i="27"/>
  <c r="L207" i="27"/>
  <c r="P207" i="27"/>
  <c r="T207" i="27"/>
  <c r="X207" i="27"/>
  <c r="D208" i="27"/>
  <c r="F208" i="27"/>
  <c r="L208" i="27"/>
  <c r="P208" i="27"/>
  <c r="T208" i="27"/>
  <c r="X208" i="27"/>
  <c r="D209" i="27"/>
  <c r="F209" i="27"/>
  <c r="L209" i="27"/>
  <c r="P209" i="27"/>
  <c r="T209" i="27"/>
  <c r="X209" i="27"/>
  <c r="D210" i="27"/>
  <c r="F210" i="27"/>
  <c r="L210" i="27"/>
  <c r="P210" i="27"/>
  <c r="T210" i="27"/>
  <c r="X210" i="27"/>
  <c r="D211" i="27"/>
  <c r="F211" i="27"/>
  <c r="L211" i="27"/>
  <c r="P211" i="27"/>
  <c r="T211" i="27"/>
  <c r="X211" i="27"/>
  <c r="D212" i="27"/>
  <c r="F212" i="27"/>
  <c r="L212" i="27"/>
  <c r="P212" i="27"/>
  <c r="T212" i="27"/>
  <c r="X212" i="27"/>
  <c r="D213" i="27"/>
  <c r="F213" i="27"/>
  <c r="L213" i="27"/>
  <c r="P213" i="27"/>
  <c r="T213" i="27"/>
  <c r="X213" i="27"/>
  <c r="D214" i="27"/>
  <c r="F214" i="27"/>
  <c r="L214" i="27"/>
  <c r="P214" i="27"/>
  <c r="T214" i="27"/>
  <c r="X214" i="27"/>
  <c r="D215" i="27"/>
  <c r="F215" i="27"/>
  <c r="L215" i="27"/>
  <c r="P215" i="27"/>
  <c r="T215" i="27"/>
  <c r="X215" i="27"/>
  <c r="D216" i="27"/>
  <c r="F216" i="27"/>
  <c r="L216" i="27"/>
  <c r="P216" i="27"/>
  <c r="T216" i="27"/>
  <c r="X216" i="27"/>
  <c r="D217" i="27"/>
  <c r="F217" i="27"/>
  <c r="L217" i="27"/>
  <c r="P217" i="27"/>
  <c r="T217" i="27"/>
  <c r="X217" i="27"/>
  <c r="D218" i="27"/>
  <c r="F218" i="27"/>
  <c r="L218" i="27"/>
  <c r="P218" i="27"/>
  <c r="T218" i="27"/>
  <c r="X218" i="27"/>
  <c r="F220" i="27"/>
  <c r="L220" i="27"/>
  <c r="P220" i="27"/>
  <c r="T220" i="27"/>
  <c r="X220" i="27"/>
  <c r="F221" i="27"/>
  <c r="L221" i="27"/>
  <c r="P221" i="27"/>
  <c r="T221" i="27"/>
  <c r="X221" i="27"/>
  <c r="F222" i="27"/>
  <c r="L222" i="27"/>
  <c r="P222" i="27"/>
  <c r="T222" i="27"/>
  <c r="X222" i="27"/>
  <c r="F223" i="27"/>
  <c r="L223" i="27"/>
  <c r="P223" i="27"/>
  <c r="T223" i="27"/>
  <c r="X223" i="27"/>
  <c r="F224" i="27"/>
  <c r="L224" i="27"/>
  <c r="P224" i="27"/>
  <c r="T224" i="27"/>
  <c r="X224" i="27"/>
  <c r="F226" i="27"/>
  <c r="L226" i="27"/>
  <c r="P226" i="27"/>
  <c r="T226" i="27"/>
  <c r="X226" i="27"/>
  <c r="B1" i="24"/>
  <c r="G2" i="24"/>
  <c r="G4" i="24"/>
  <c r="H4" i="24"/>
  <c r="I4" i="24"/>
  <c r="J4" i="24"/>
  <c r="K4" i="24"/>
  <c r="L4" i="24"/>
  <c r="M4" i="24"/>
  <c r="N4" i="24"/>
  <c r="P4" i="24"/>
  <c r="Q4" i="24"/>
  <c r="R4" i="24"/>
  <c r="S4" i="24"/>
  <c r="T4" i="24"/>
  <c r="U4" i="24"/>
  <c r="V4" i="24"/>
  <c r="W4" i="24"/>
  <c r="AG4" i="24"/>
  <c r="B5" i="24"/>
  <c r="G5" i="24"/>
  <c r="H5" i="24"/>
  <c r="I5" i="24"/>
  <c r="J5" i="24"/>
  <c r="K5" i="24"/>
  <c r="L5" i="24"/>
  <c r="M5" i="24"/>
  <c r="N5" i="24"/>
  <c r="P5" i="24"/>
  <c r="Q5" i="24"/>
  <c r="R5" i="24"/>
  <c r="S5" i="24"/>
  <c r="T5" i="24"/>
  <c r="U5" i="24"/>
  <c r="V5" i="24"/>
  <c r="W5" i="24"/>
  <c r="AC5" i="24"/>
  <c r="AG5" i="24"/>
  <c r="B6" i="24"/>
  <c r="G6" i="24"/>
  <c r="H6" i="24"/>
  <c r="I6" i="24"/>
  <c r="J6" i="24"/>
  <c r="K6" i="24"/>
  <c r="L6" i="24"/>
  <c r="M6" i="24"/>
  <c r="N6" i="24"/>
  <c r="P6" i="24"/>
  <c r="Q6" i="24"/>
  <c r="R6" i="24"/>
  <c r="S6" i="24"/>
  <c r="T6" i="24"/>
  <c r="U6" i="24"/>
  <c r="V6" i="24"/>
  <c r="W6" i="24"/>
  <c r="AG6" i="24"/>
  <c r="B7" i="24"/>
  <c r="G7" i="24"/>
  <c r="H7" i="24"/>
  <c r="I7" i="24"/>
  <c r="J7" i="24"/>
  <c r="K7" i="24"/>
  <c r="L7" i="24"/>
  <c r="M7" i="24"/>
  <c r="N7" i="24"/>
  <c r="P7" i="24"/>
  <c r="Q7" i="24"/>
  <c r="R7" i="24"/>
  <c r="S7" i="24"/>
  <c r="T7" i="24"/>
  <c r="U7" i="24"/>
  <c r="V7" i="24"/>
  <c r="W7" i="24"/>
  <c r="AC7" i="24"/>
  <c r="AG7" i="24"/>
  <c r="B8" i="24"/>
  <c r="G8" i="24"/>
  <c r="H8" i="24"/>
  <c r="I8" i="24"/>
  <c r="J8" i="24"/>
  <c r="K8" i="24"/>
  <c r="L8" i="24"/>
  <c r="M8" i="24"/>
  <c r="N8" i="24"/>
  <c r="O8" i="24"/>
  <c r="P8" i="24"/>
  <c r="Q8" i="24"/>
  <c r="R8" i="24"/>
  <c r="S8" i="24"/>
  <c r="T8" i="24"/>
  <c r="U8" i="24"/>
  <c r="V8" i="24"/>
  <c r="W8" i="24"/>
  <c r="X8" i="24"/>
  <c r="Y8" i="24"/>
  <c r="AG8" i="24"/>
  <c r="B9" i="24"/>
  <c r="G9" i="24"/>
  <c r="H9" i="24"/>
  <c r="I9" i="24"/>
  <c r="J9" i="24"/>
  <c r="K9" i="24"/>
  <c r="L9" i="24"/>
  <c r="M9" i="24"/>
  <c r="N9" i="24"/>
  <c r="O9" i="24"/>
  <c r="P9" i="24"/>
  <c r="Q9" i="24"/>
  <c r="R9" i="24"/>
  <c r="S9" i="24"/>
  <c r="T9" i="24"/>
  <c r="U9" i="24"/>
  <c r="V9" i="24"/>
  <c r="W9" i="24"/>
  <c r="X9" i="24"/>
  <c r="Y9" i="24"/>
  <c r="AG9" i="24"/>
  <c r="B10" i="24"/>
  <c r="G10" i="24"/>
  <c r="H10" i="24"/>
  <c r="I10" i="24"/>
  <c r="J10" i="24"/>
  <c r="K10" i="24"/>
  <c r="L10" i="24"/>
  <c r="M10" i="24"/>
  <c r="N10" i="24"/>
  <c r="O10" i="24"/>
  <c r="P10" i="24"/>
  <c r="Q10" i="24"/>
  <c r="R10" i="24"/>
  <c r="S10" i="24"/>
  <c r="T10" i="24"/>
  <c r="U10" i="24"/>
  <c r="V10" i="24"/>
  <c r="W10" i="24"/>
  <c r="X10" i="24"/>
  <c r="Y10" i="24"/>
  <c r="AG10" i="24"/>
  <c r="B11" i="24"/>
  <c r="G11" i="24"/>
  <c r="H11" i="24"/>
  <c r="I11" i="24"/>
  <c r="J11" i="24"/>
  <c r="K11" i="24"/>
  <c r="L11" i="24"/>
  <c r="M11" i="24"/>
  <c r="N11" i="24"/>
  <c r="O11" i="24"/>
  <c r="P11" i="24"/>
  <c r="Q11" i="24"/>
  <c r="R11" i="24"/>
  <c r="S11" i="24"/>
  <c r="T11" i="24"/>
  <c r="U11" i="24"/>
  <c r="V11" i="24"/>
  <c r="W11" i="24"/>
  <c r="X11" i="24"/>
  <c r="Y11" i="24"/>
  <c r="AG11" i="24"/>
  <c r="B12" i="24"/>
  <c r="G12" i="24"/>
  <c r="H12" i="24"/>
  <c r="I12" i="24"/>
  <c r="J12" i="24"/>
  <c r="K12" i="24"/>
  <c r="L12" i="24"/>
  <c r="M12" i="24"/>
  <c r="N12" i="24"/>
  <c r="O12" i="24"/>
  <c r="P12" i="24"/>
  <c r="Q12" i="24"/>
  <c r="R12" i="24"/>
  <c r="S12" i="24"/>
  <c r="T12" i="24"/>
  <c r="U12" i="24"/>
  <c r="V12" i="24"/>
  <c r="W12" i="24"/>
  <c r="X12" i="24"/>
  <c r="Y12" i="24"/>
  <c r="AG12" i="24"/>
  <c r="B13" i="24"/>
  <c r="G13" i="24"/>
  <c r="H13" i="24"/>
  <c r="I13" i="24"/>
  <c r="J13" i="24"/>
  <c r="K13" i="24"/>
  <c r="L13" i="24"/>
  <c r="M13" i="24"/>
  <c r="N13" i="24"/>
  <c r="O13" i="24"/>
  <c r="P13" i="24"/>
  <c r="Q13" i="24"/>
  <c r="R13" i="24"/>
  <c r="S13" i="24"/>
  <c r="T13" i="24"/>
  <c r="U13" i="24"/>
  <c r="V13" i="24"/>
  <c r="W13" i="24"/>
  <c r="X13" i="24"/>
  <c r="Y13" i="24"/>
  <c r="AG13" i="24"/>
  <c r="B14" i="24"/>
  <c r="G14" i="24"/>
  <c r="H14" i="24"/>
  <c r="I14" i="24"/>
  <c r="J14" i="24"/>
  <c r="K14" i="24"/>
  <c r="L14" i="24"/>
  <c r="M14" i="24"/>
  <c r="N14" i="24"/>
  <c r="O14" i="24"/>
  <c r="P14" i="24"/>
  <c r="Q14" i="24"/>
  <c r="R14" i="24"/>
  <c r="S14" i="24"/>
  <c r="T14" i="24"/>
  <c r="U14" i="24"/>
  <c r="V14" i="24"/>
  <c r="W14" i="24"/>
  <c r="X14" i="24"/>
  <c r="Y14" i="24"/>
  <c r="AG14" i="24"/>
  <c r="B15" i="24"/>
  <c r="G15" i="24"/>
  <c r="H15" i="24"/>
  <c r="I15" i="24"/>
  <c r="J15" i="24"/>
  <c r="K15" i="24"/>
  <c r="L15" i="24"/>
  <c r="M15" i="24"/>
  <c r="N15" i="24"/>
  <c r="O15" i="24"/>
  <c r="P15" i="24"/>
  <c r="Q15" i="24"/>
  <c r="R15" i="24"/>
  <c r="S15" i="24"/>
  <c r="T15" i="24"/>
  <c r="U15" i="24"/>
  <c r="V15" i="24"/>
  <c r="W15" i="24"/>
  <c r="X15" i="24"/>
  <c r="Y15" i="24"/>
  <c r="B16" i="24"/>
  <c r="G16" i="24"/>
  <c r="H16" i="24"/>
  <c r="I16" i="24"/>
  <c r="J16" i="24"/>
  <c r="K16" i="24"/>
  <c r="L16" i="24"/>
  <c r="M16" i="24"/>
  <c r="N16" i="24"/>
  <c r="O16" i="24"/>
  <c r="P16" i="24"/>
  <c r="Q16" i="24"/>
  <c r="R16" i="24"/>
  <c r="S16" i="24"/>
  <c r="T16" i="24"/>
  <c r="U16" i="24"/>
  <c r="V16" i="24"/>
  <c r="W16" i="24"/>
  <c r="X16" i="24"/>
  <c r="Y16" i="24"/>
  <c r="B17" i="24"/>
  <c r="G17" i="24"/>
  <c r="H17" i="24"/>
  <c r="I17" i="24"/>
  <c r="J17" i="24"/>
  <c r="K17" i="24"/>
  <c r="L17" i="24"/>
  <c r="M17" i="24"/>
  <c r="N17" i="24"/>
  <c r="O17" i="24"/>
  <c r="P17" i="24"/>
  <c r="Q17" i="24"/>
  <c r="R17" i="24"/>
  <c r="S17" i="24"/>
  <c r="T17" i="24"/>
  <c r="U17" i="24"/>
  <c r="V17" i="24"/>
  <c r="W17" i="24"/>
  <c r="X17" i="24"/>
  <c r="Y17" i="24"/>
  <c r="B18" i="24"/>
  <c r="G18" i="24"/>
  <c r="H18" i="24"/>
  <c r="I18" i="24"/>
  <c r="J18" i="24"/>
  <c r="K18" i="24"/>
  <c r="L18" i="24"/>
  <c r="M18" i="24"/>
  <c r="N18" i="24"/>
  <c r="O18" i="24"/>
  <c r="P18" i="24"/>
  <c r="Q18" i="24"/>
  <c r="R18" i="24"/>
  <c r="S18" i="24"/>
  <c r="T18" i="24"/>
  <c r="U18" i="24"/>
  <c r="V18" i="24"/>
  <c r="W18" i="24"/>
  <c r="X18" i="24"/>
  <c r="Y18" i="24"/>
  <c r="B19" i="24"/>
  <c r="G19" i="24"/>
  <c r="H19" i="24"/>
  <c r="I19" i="24"/>
  <c r="J19" i="24"/>
  <c r="K19" i="24"/>
  <c r="L19" i="24"/>
  <c r="M19" i="24"/>
  <c r="N19" i="24"/>
  <c r="O19" i="24"/>
  <c r="P19" i="24"/>
  <c r="Q19" i="24"/>
  <c r="R19" i="24"/>
  <c r="S19" i="24"/>
  <c r="T19" i="24"/>
  <c r="U19" i="24"/>
  <c r="V19" i="24"/>
  <c r="W19" i="24"/>
  <c r="X19" i="24"/>
  <c r="Y19" i="24"/>
  <c r="B20" i="24"/>
  <c r="G20" i="24"/>
  <c r="H20" i="24"/>
  <c r="I20" i="24"/>
  <c r="J20" i="24"/>
  <c r="K20" i="24"/>
  <c r="L20" i="24"/>
  <c r="M20" i="24"/>
  <c r="N20" i="24"/>
  <c r="O20" i="24"/>
  <c r="P20" i="24"/>
  <c r="Q20" i="24"/>
  <c r="R20" i="24"/>
  <c r="S20" i="24"/>
  <c r="T20" i="24"/>
  <c r="U20" i="24"/>
  <c r="V20" i="24"/>
  <c r="W20" i="24"/>
  <c r="X20" i="24"/>
  <c r="Y20" i="24"/>
  <c r="B21" i="24"/>
  <c r="G21" i="24"/>
  <c r="H21" i="24"/>
  <c r="I21" i="24"/>
  <c r="J21" i="24"/>
  <c r="K21" i="24"/>
  <c r="L21" i="24"/>
  <c r="M21" i="24"/>
  <c r="N21" i="24"/>
  <c r="O21" i="24"/>
  <c r="P21" i="24"/>
  <c r="Q21" i="24"/>
  <c r="R21" i="24"/>
  <c r="S21" i="24"/>
  <c r="T21" i="24"/>
  <c r="U21" i="24"/>
  <c r="V21" i="24"/>
  <c r="W21" i="24"/>
  <c r="X21" i="24"/>
  <c r="Y21" i="24"/>
  <c r="B22" i="24"/>
  <c r="G22" i="24"/>
  <c r="H22" i="24"/>
  <c r="I22" i="24"/>
  <c r="J22" i="24"/>
  <c r="K22" i="24"/>
  <c r="L22" i="24"/>
  <c r="M22" i="24"/>
  <c r="N22" i="24"/>
  <c r="O22" i="24"/>
  <c r="P22" i="24"/>
  <c r="Q22" i="24"/>
  <c r="R22" i="24"/>
  <c r="S22" i="24"/>
  <c r="T22" i="24"/>
  <c r="U22" i="24"/>
  <c r="V22" i="24"/>
  <c r="W22" i="24"/>
  <c r="X22" i="24"/>
  <c r="Y22" i="24"/>
  <c r="B23" i="24"/>
  <c r="G23" i="24"/>
  <c r="H23" i="24"/>
  <c r="I23" i="24"/>
  <c r="J23" i="24"/>
  <c r="K23" i="24"/>
  <c r="L23" i="24"/>
  <c r="M23" i="24"/>
  <c r="N23" i="24"/>
  <c r="O23" i="24"/>
  <c r="P23" i="24"/>
  <c r="Q23" i="24"/>
  <c r="R23" i="24"/>
  <c r="S23" i="24"/>
  <c r="T23" i="24"/>
  <c r="U23" i="24"/>
  <c r="V23" i="24"/>
  <c r="W23" i="24"/>
  <c r="X23" i="24"/>
  <c r="Y23" i="24"/>
  <c r="B24" i="24"/>
  <c r="G24" i="24"/>
  <c r="H24" i="24"/>
  <c r="I24" i="24"/>
  <c r="J24" i="24"/>
  <c r="K24" i="24"/>
  <c r="L24" i="24"/>
  <c r="M24" i="24"/>
  <c r="N24" i="24"/>
  <c r="O24" i="24"/>
  <c r="P24" i="24"/>
  <c r="Q24" i="24"/>
  <c r="R24" i="24"/>
  <c r="S24" i="24"/>
  <c r="T24" i="24"/>
  <c r="U24" i="24"/>
  <c r="V24" i="24"/>
  <c r="W24" i="24"/>
  <c r="X24" i="24"/>
  <c r="Y24" i="24"/>
  <c r="B25" i="24"/>
  <c r="G25" i="24"/>
  <c r="H25" i="24"/>
  <c r="I25" i="24"/>
  <c r="J25" i="24"/>
  <c r="K25" i="24"/>
  <c r="L25" i="24"/>
  <c r="M25" i="24"/>
  <c r="N25" i="24"/>
  <c r="O25" i="24"/>
  <c r="P25" i="24"/>
  <c r="Q25" i="24"/>
  <c r="R25" i="24"/>
  <c r="S25" i="24"/>
  <c r="T25" i="24"/>
  <c r="U25" i="24"/>
  <c r="V25" i="24"/>
  <c r="W25" i="24"/>
  <c r="X25" i="24"/>
  <c r="Y25" i="24"/>
  <c r="B26" i="24"/>
  <c r="G26" i="24"/>
  <c r="H26" i="24"/>
  <c r="I26" i="24"/>
  <c r="J26" i="24"/>
  <c r="K26" i="24"/>
  <c r="L26" i="24"/>
  <c r="M26" i="24"/>
  <c r="N26" i="24"/>
  <c r="O26" i="24"/>
  <c r="P26" i="24"/>
  <c r="Q26" i="24"/>
  <c r="R26" i="24"/>
  <c r="S26" i="24"/>
  <c r="T26" i="24"/>
  <c r="U26" i="24"/>
  <c r="V26" i="24"/>
  <c r="W26" i="24"/>
  <c r="X26" i="24"/>
  <c r="Y26" i="24"/>
  <c r="B27" i="24"/>
  <c r="G27" i="24"/>
  <c r="H27" i="24"/>
  <c r="I27" i="24"/>
  <c r="J27" i="24"/>
  <c r="K27" i="24"/>
  <c r="L27" i="24"/>
  <c r="M27" i="24"/>
  <c r="N27" i="24"/>
  <c r="O27" i="24"/>
  <c r="P27" i="24"/>
  <c r="Q27" i="24"/>
  <c r="R27" i="24"/>
  <c r="S27" i="24"/>
  <c r="T27" i="24"/>
  <c r="U27" i="24"/>
  <c r="V27" i="24"/>
  <c r="W27" i="24"/>
  <c r="X27" i="24"/>
  <c r="Y27" i="24"/>
  <c r="B28" i="24"/>
  <c r="G28" i="24"/>
  <c r="H28" i="24"/>
  <c r="I28" i="24"/>
  <c r="J28" i="24"/>
  <c r="K28" i="24"/>
  <c r="L28" i="24"/>
  <c r="M28" i="24"/>
  <c r="N28" i="24"/>
  <c r="O28" i="24"/>
  <c r="P28" i="24"/>
  <c r="Q28" i="24"/>
  <c r="R28" i="24"/>
  <c r="S28" i="24"/>
  <c r="T28" i="24"/>
  <c r="U28" i="24"/>
  <c r="V28" i="24"/>
  <c r="W28" i="24"/>
  <c r="X28" i="24"/>
  <c r="Y28" i="24"/>
  <c r="B29" i="24"/>
  <c r="G29" i="24"/>
  <c r="H29" i="24"/>
  <c r="I29" i="24"/>
  <c r="J29" i="24"/>
  <c r="K29" i="24"/>
  <c r="L29" i="24"/>
  <c r="M29" i="24"/>
  <c r="N29" i="24"/>
  <c r="O29" i="24"/>
  <c r="P29" i="24"/>
  <c r="Q29" i="24"/>
  <c r="R29" i="24"/>
  <c r="S29" i="24"/>
  <c r="T29" i="24"/>
  <c r="U29" i="24"/>
  <c r="V29" i="24"/>
  <c r="W29" i="24"/>
  <c r="X29" i="24"/>
  <c r="Y29" i="24"/>
  <c r="B30" i="24"/>
  <c r="G30" i="24"/>
  <c r="H30" i="24"/>
  <c r="I30" i="24"/>
  <c r="J30" i="24"/>
  <c r="K30" i="24"/>
  <c r="L30" i="24"/>
  <c r="M30" i="24"/>
  <c r="N30" i="24"/>
  <c r="O30" i="24"/>
  <c r="P30" i="24"/>
  <c r="Q30" i="24"/>
  <c r="R30" i="24"/>
  <c r="S30" i="24"/>
  <c r="T30" i="24"/>
  <c r="U30" i="24"/>
  <c r="V30" i="24"/>
  <c r="W30" i="24"/>
  <c r="X30" i="24"/>
  <c r="Y30" i="24"/>
  <c r="B31" i="24"/>
  <c r="G31" i="24"/>
  <c r="H31" i="24"/>
  <c r="I31" i="24"/>
  <c r="J31" i="24"/>
  <c r="K31" i="24"/>
  <c r="L31" i="24"/>
  <c r="M31" i="24"/>
  <c r="N31" i="24"/>
  <c r="O31" i="24"/>
  <c r="P31" i="24"/>
  <c r="Q31" i="24"/>
  <c r="R31" i="24"/>
  <c r="S31" i="24"/>
  <c r="T31" i="24"/>
  <c r="U31" i="24"/>
  <c r="V31" i="24"/>
  <c r="W31" i="24"/>
  <c r="X31" i="24"/>
  <c r="Y31" i="24"/>
  <c r="B32" i="24"/>
  <c r="G32" i="24"/>
  <c r="H32" i="24"/>
  <c r="I32" i="24"/>
  <c r="J32" i="24"/>
  <c r="K32" i="24"/>
  <c r="L32" i="24"/>
  <c r="M32" i="24"/>
  <c r="N32" i="24"/>
  <c r="O32" i="24"/>
  <c r="P32" i="24"/>
  <c r="Q32" i="24"/>
  <c r="R32" i="24"/>
  <c r="S32" i="24"/>
  <c r="T32" i="24"/>
  <c r="U32" i="24"/>
  <c r="V32" i="24"/>
  <c r="W32" i="24"/>
  <c r="X32" i="24"/>
  <c r="Y32" i="24"/>
  <c r="B33" i="24"/>
  <c r="G33" i="24"/>
  <c r="H33" i="24"/>
  <c r="I33" i="24"/>
  <c r="J33" i="24"/>
  <c r="K33" i="24"/>
  <c r="L33" i="24"/>
  <c r="M33" i="24"/>
  <c r="N33" i="24"/>
  <c r="O33" i="24"/>
  <c r="P33" i="24"/>
  <c r="Q33" i="24"/>
  <c r="R33" i="24"/>
  <c r="S33" i="24"/>
  <c r="T33" i="24"/>
  <c r="U33" i="24"/>
  <c r="V33" i="24"/>
  <c r="W33" i="24"/>
  <c r="X33" i="24"/>
  <c r="Y33" i="24"/>
  <c r="B34" i="24"/>
  <c r="G34" i="24"/>
  <c r="H34" i="24"/>
  <c r="I34" i="24"/>
  <c r="J34" i="24"/>
  <c r="K34" i="24"/>
  <c r="L34" i="24"/>
  <c r="M34" i="24"/>
  <c r="N34" i="24"/>
  <c r="O34" i="24"/>
  <c r="P34" i="24"/>
  <c r="Q34" i="24"/>
  <c r="R34" i="24"/>
  <c r="S34" i="24"/>
  <c r="T34" i="24"/>
  <c r="U34" i="24"/>
  <c r="V34" i="24"/>
  <c r="W34" i="24"/>
  <c r="X34" i="24"/>
  <c r="Y34" i="24"/>
  <c r="B35" i="24"/>
  <c r="G35" i="24"/>
  <c r="H35" i="24"/>
  <c r="I35" i="24"/>
  <c r="J35" i="24"/>
  <c r="K35" i="24"/>
  <c r="L35" i="24"/>
  <c r="M35" i="24"/>
  <c r="N35" i="24"/>
  <c r="O35" i="24"/>
  <c r="P35" i="24"/>
  <c r="Q35" i="24"/>
  <c r="R35" i="24"/>
  <c r="S35" i="24"/>
  <c r="T35" i="24"/>
  <c r="U35" i="24"/>
  <c r="V35" i="24"/>
  <c r="W35" i="24"/>
  <c r="X35" i="24"/>
  <c r="Y35" i="24"/>
  <c r="B36" i="24"/>
  <c r="G36" i="24"/>
  <c r="H36" i="24"/>
  <c r="I36" i="24"/>
  <c r="J36" i="24"/>
  <c r="K36" i="24"/>
  <c r="L36" i="24"/>
  <c r="M36" i="24"/>
  <c r="N36" i="24"/>
  <c r="O36" i="24"/>
  <c r="P36" i="24"/>
  <c r="Q36" i="24"/>
  <c r="R36" i="24"/>
  <c r="S36" i="24"/>
  <c r="T36" i="24"/>
  <c r="U36" i="24"/>
  <c r="V36" i="24"/>
  <c r="W36" i="24"/>
  <c r="X36" i="24"/>
  <c r="Y36" i="24"/>
  <c r="B37" i="24"/>
  <c r="G37" i="24"/>
  <c r="H37" i="24"/>
  <c r="I37" i="24"/>
  <c r="J37" i="24"/>
  <c r="K37" i="24"/>
  <c r="L37" i="24"/>
  <c r="M37" i="24"/>
  <c r="N37" i="24"/>
  <c r="O37" i="24"/>
  <c r="P37" i="24"/>
  <c r="Q37" i="24"/>
  <c r="R37" i="24"/>
  <c r="S37" i="24"/>
  <c r="T37" i="24"/>
  <c r="U37" i="24"/>
  <c r="V37" i="24"/>
  <c r="W37" i="24"/>
  <c r="X37" i="24"/>
  <c r="Y37" i="24"/>
  <c r="B38" i="24"/>
  <c r="G38" i="24"/>
  <c r="H38" i="24"/>
  <c r="I38" i="24"/>
  <c r="J38" i="24"/>
  <c r="K38" i="24"/>
  <c r="L38" i="24"/>
  <c r="M38" i="24"/>
  <c r="N38" i="24"/>
  <c r="O38" i="24"/>
  <c r="P38" i="24"/>
  <c r="Q38" i="24"/>
  <c r="R38" i="24"/>
  <c r="S38" i="24"/>
  <c r="T38" i="24"/>
  <c r="U38" i="24"/>
  <c r="V38" i="24"/>
  <c r="W38" i="24"/>
  <c r="X38" i="24"/>
  <c r="Y38" i="24"/>
  <c r="B39" i="24"/>
  <c r="G39" i="24"/>
  <c r="H39" i="24"/>
  <c r="I39" i="24"/>
  <c r="J39" i="24"/>
  <c r="K39" i="24"/>
  <c r="L39" i="24"/>
  <c r="M39" i="24"/>
  <c r="N39" i="24"/>
  <c r="O39" i="24"/>
  <c r="P39" i="24"/>
  <c r="Q39" i="24"/>
  <c r="R39" i="24"/>
  <c r="S39" i="24"/>
  <c r="T39" i="24"/>
  <c r="U39" i="24"/>
  <c r="V39" i="24"/>
  <c r="W39" i="24"/>
  <c r="X39" i="24"/>
  <c r="Y39" i="24"/>
  <c r="B40" i="24"/>
  <c r="G40" i="24"/>
  <c r="H40" i="24"/>
  <c r="I40" i="24"/>
  <c r="J40" i="24"/>
  <c r="K40" i="24"/>
  <c r="L40" i="24"/>
  <c r="M40" i="24"/>
  <c r="N40" i="24"/>
  <c r="O40" i="24"/>
  <c r="P40" i="24"/>
  <c r="Q40" i="24"/>
  <c r="R40" i="24"/>
  <c r="S40" i="24"/>
  <c r="T40" i="24"/>
  <c r="U40" i="24"/>
  <c r="V40" i="24"/>
  <c r="W40" i="24"/>
  <c r="X40" i="24"/>
  <c r="Y40" i="24"/>
  <c r="B41" i="24"/>
  <c r="G41" i="24"/>
  <c r="H41" i="24"/>
  <c r="I41" i="24"/>
  <c r="J41" i="24"/>
  <c r="K41" i="24"/>
  <c r="L41" i="24"/>
  <c r="M41" i="24"/>
  <c r="N41" i="24"/>
  <c r="O41" i="24"/>
  <c r="P41" i="24"/>
  <c r="Q41" i="24"/>
  <c r="R41" i="24"/>
  <c r="S41" i="24"/>
  <c r="T41" i="24"/>
  <c r="U41" i="24"/>
  <c r="V41" i="24"/>
  <c r="W41" i="24"/>
  <c r="X41" i="24"/>
  <c r="Y41" i="24"/>
  <c r="B42" i="24"/>
  <c r="G42" i="24"/>
  <c r="H42" i="24"/>
  <c r="I42" i="24"/>
  <c r="J42" i="24"/>
  <c r="K42" i="24"/>
  <c r="L42" i="24"/>
  <c r="M42" i="24"/>
  <c r="N42" i="24"/>
  <c r="O42" i="24"/>
  <c r="P42" i="24"/>
  <c r="Q42" i="24"/>
  <c r="R42" i="24"/>
  <c r="S42" i="24"/>
  <c r="T42" i="24"/>
  <c r="U42" i="24"/>
  <c r="V42" i="24"/>
  <c r="W42" i="24"/>
  <c r="X42" i="24"/>
  <c r="Y42" i="24"/>
  <c r="B43" i="24"/>
  <c r="G43" i="24"/>
  <c r="H43" i="24"/>
  <c r="I43" i="24"/>
  <c r="J43" i="24"/>
  <c r="K43" i="24"/>
  <c r="L43" i="24"/>
  <c r="M43" i="24"/>
  <c r="N43" i="24"/>
  <c r="O43" i="24"/>
  <c r="P43" i="24"/>
  <c r="Q43" i="24"/>
  <c r="R43" i="24"/>
  <c r="S43" i="24"/>
  <c r="T43" i="24"/>
  <c r="U43" i="24"/>
  <c r="V43" i="24"/>
  <c r="W43" i="24"/>
  <c r="X43" i="24"/>
  <c r="Y43" i="24"/>
  <c r="B44" i="24"/>
  <c r="G44" i="24"/>
  <c r="H44" i="24"/>
  <c r="I44" i="24"/>
  <c r="J44" i="24"/>
  <c r="K44" i="24"/>
  <c r="L44" i="24"/>
  <c r="M44" i="24"/>
  <c r="N44" i="24"/>
  <c r="O44" i="24"/>
  <c r="P44" i="24"/>
  <c r="Q44" i="24"/>
  <c r="R44" i="24"/>
  <c r="S44" i="24"/>
  <c r="T44" i="24"/>
  <c r="U44" i="24"/>
  <c r="V44" i="24"/>
  <c r="W44" i="24"/>
  <c r="X44" i="24"/>
  <c r="Y44" i="24"/>
  <c r="B45" i="24"/>
  <c r="G45" i="24"/>
  <c r="H45" i="24"/>
  <c r="I45" i="24"/>
  <c r="J45" i="24"/>
  <c r="K45" i="24"/>
  <c r="L45" i="24"/>
  <c r="M45" i="24"/>
  <c r="N45" i="24"/>
  <c r="O45" i="24"/>
  <c r="P45" i="24"/>
  <c r="Q45" i="24"/>
  <c r="R45" i="24"/>
  <c r="S45" i="24"/>
  <c r="T45" i="24"/>
  <c r="U45" i="24"/>
  <c r="V45" i="24"/>
  <c r="W45" i="24"/>
  <c r="X45" i="24"/>
  <c r="Y45" i="24"/>
  <c r="B46" i="24"/>
  <c r="G46" i="24"/>
  <c r="H46" i="24"/>
  <c r="I46" i="24"/>
  <c r="J46" i="24"/>
  <c r="K46" i="24"/>
  <c r="L46" i="24"/>
  <c r="M46" i="24"/>
  <c r="N46" i="24"/>
  <c r="O46" i="24"/>
  <c r="P46" i="24"/>
  <c r="Q46" i="24"/>
  <c r="R46" i="24"/>
  <c r="S46" i="24"/>
  <c r="T46" i="24"/>
  <c r="U46" i="24"/>
  <c r="V46" i="24"/>
  <c r="W46" i="24"/>
  <c r="X46" i="24"/>
  <c r="Y46" i="24"/>
  <c r="B47" i="24"/>
  <c r="G47" i="24"/>
  <c r="H47" i="24"/>
  <c r="I47" i="24"/>
  <c r="J47" i="24"/>
  <c r="K47" i="24"/>
  <c r="L47" i="24"/>
  <c r="M47" i="24"/>
  <c r="N47" i="24"/>
  <c r="O47" i="24"/>
  <c r="P47" i="24"/>
  <c r="Q47" i="24"/>
  <c r="R47" i="24"/>
  <c r="S47" i="24"/>
  <c r="T47" i="24"/>
  <c r="U47" i="24"/>
  <c r="V47" i="24"/>
  <c r="W47" i="24"/>
  <c r="X47" i="24"/>
  <c r="Y47" i="24"/>
  <c r="B48" i="24"/>
  <c r="G48" i="24"/>
  <c r="H48" i="24"/>
  <c r="I48" i="24"/>
  <c r="J48" i="24"/>
  <c r="K48" i="24"/>
  <c r="L48" i="24"/>
  <c r="M48" i="24"/>
  <c r="N48" i="24"/>
  <c r="O48" i="24"/>
  <c r="P48" i="24"/>
  <c r="Q48" i="24"/>
  <c r="R48" i="24"/>
  <c r="S48" i="24"/>
  <c r="T48" i="24"/>
  <c r="U48" i="24"/>
  <c r="V48" i="24"/>
  <c r="W48" i="24"/>
  <c r="X48" i="24"/>
  <c r="Y48" i="24"/>
  <c r="B49" i="24"/>
  <c r="G49" i="24"/>
  <c r="H49" i="24"/>
  <c r="I49" i="24"/>
  <c r="J49" i="24"/>
  <c r="K49" i="24"/>
  <c r="L49" i="24"/>
  <c r="M49" i="24"/>
  <c r="N49" i="24"/>
  <c r="O49" i="24"/>
  <c r="P49" i="24"/>
  <c r="Q49" i="24"/>
  <c r="R49" i="24"/>
  <c r="S49" i="24"/>
  <c r="T49" i="24"/>
  <c r="U49" i="24"/>
  <c r="V49" i="24"/>
  <c r="W49" i="24"/>
  <c r="X49" i="24"/>
  <c r="Y49" i="24"/>
  <c r="B50" i="24"/>
  <c r="G50" i="24"/>
  <c r="H50" i="24"/>
  <c r="I50" i="24"/>
  <c r="J50" i="24"/>
  <c r="K50" i="24"/>
  <c r="L50" i="24"/>
  <c r="M50" i="24"/>
  <c r="N50" i="24"/>
  <c r="O50" i="24"/>
  <c r="P50" i="24"/>
  <c r="Q50" i="24"/>
  <c r="R50" i="24"/>
  <c r="S50" i="24"/>
  <c r="T50" i="24"/>
  <c r="U50" i="24"/>
  <c r="V50" i="24"/>
  <c r="W50" i="24"/>
  <c r="X50" i="24"/>
  <c r="Y50" i="24"/>
  <c r="B51" i="24"/>
  <c r="G51" i="24"/>
  <c r="H51" i="24"/>
  <c r="I51" i="24"/>
  <c r="J51" i="24"/>
  <c r="K51" i="24"/>
  <c r="L51" i="24"/>
  <c r="M51" i="24"/>
  <c r="N51" i="24"/>
  <c r="O51" i="24"/>
  <c r="P51" i="24"/>
  <c r="Q51" i="24"/>
  <c r="R51" i="24"/>
  <c r="S51" i="24"/>
  <c r="T51" i="24"/>
  <c r="U51" i="24"/>
  <c r="V51" i="24"/>
  <c r="W51" i="24"/>
  <c r="X51" i="24"/>
  <c r="Y51" i="24"/>
  <c r="B52" i="24"/>
  <c r="G52" i="24"/>
  <c r="H52" i="24"/>
  <c r="I52" i="24"/>
  <c r="J52" i="24"/>
  <c r="K52" i="24"/>
  <c r="L52" i="24"/>
  <c r="M52" i="24"/>
  <c r="N52" i="24"/>
  <c r="O52" i="24"/>
  <c r="P52" i="24"/>
  <c r="Q52" i="24"/>
  <c r="R52" i="24"/>
  <c r="S52" i="24"/>
  <c r="T52" i="24"/>
  <c r="U52" i="24"/>
  <c r="V52" i="24"/>
  <c r="W52" i="24"/>
  <c r="X52" i="24"/>
  <c r="Y52" i="24"/>
  <c r="B53" i="24"/>
  <c r="G53" i="24"/>
  <c r="H53" i="24"/>
  <c r="I53" i="24"/>
  <c r="J53" i="24"/>
  <c r="K53" i="24"/>
  <c r="L53" i="24"/>
  <c r="M53" i="24"/>
  <c r="N53" i="24"/>
  <c r="O53" i="24"/>
  <c r="P53" i="24"/>
  <c r="Q53" i="24"/>
  <c r="R53" i="24"/>
  <c r="S53" i="24"/>
  <c r="T53" i="24"/>
  <c r="U53" i="24"/>
  <c r="V53" i="24"/>
  <c r="W53" i="24"/>
  <c r="X53" i="24"/>
  <c r="Y53" i="24"/>
  <c r="B54" i="24"/>
  <c r="G54" i="24"/>
  <c r="H54" i="24"/>
  <c r="I54" i="24"/>
  <c r="J54" i="24"/>
  <c r="K54" i="24"/>
  <c r="L54" i="24"/>
  <c r="M54" i="24"/>
  <c r="N54" i="24"/>
  <c r="O54" i="24"/>
  <c r="P54" i="24"/>
  <c r="Q54" i="24"/>
  <c r="R54" i="24"/>
  <c r="S54" i="24"/>
  <c r="T54" i="24"/>
  <c r="U54" i="24"/>
  <c r="V54" i="24"/>
  <c r="W54" i="24"/>
  <c r="X54" i="24"/>
  <c r="Y54" i="24"/>
  <c r="B55" i="24"/>
  <c r="G55" i="24"/>
  <c r="H55" i="24"/>
  <c r="I55" i="24"/>
  <c r="J55" i="24"/>
  <c r="K55" i="24"/>
  <c r="L55" i="24"/>
  <c r="M55" i="24"/>
  <c r="N55" i="24"/>
  <c r="O55" i="24"/>
  <c r="P55" i="24"/>
  <c r="Q55" i="24"/>
  <c r="R55" i="24"/>
  <c r="S55" i="24"/>
  <c r="T55" i="24"/>
  <c r="U55" i="24"/>
  <c r="V55" i="24"/>
  <c r="W55" i="24"/>
  <c r="X55" i="24"/>
  <c r="Y55" i="24"/>
  <c r="B56" i="24"/>
  <c r="G56" i="24"/>
  <c r="H56" i="24"/>
  <c r="I56" i="24"/>
  <c r="J56" i="24"/>
  <c r="K56" i="24"/>
  <c r="L56" i="24"/>
  <c r="M56" i="24"/>
  <c r="N56" i="24"/>
  <c r="O56" i="24"/>
  <c r="P56" i="24"/>
  <c r="Q56" i="24"/>
  <c r="R56" i="24"/>
  <c r="S56" i="24"/>
  <c r="T56" i="24"/>
  <c r="U56" i="24"/>
  <c r="V56" i="24"/>
  <c r="W56" i="24"/>
  <c r="X56" i="24"/>
  <c r="Y56" i="24"/>
  <c r="B57" i="24"/>
  <c r="G57" i="24"/>
  <c r="H57" i="24"/>
  <c r="I57" i="24"/>
  <c r="J57" i="24"/>
  <c r="K57" i="24"/>
  <c r="L57" i="24"/>
  <c r="M57" i="24"/>
  <c r="N57" i="24"/>
  <c r="O57" i="24"/>
  <c r="P57" i="24"/>
  <c r="Q57" i="24"/>
  <c r="R57" i="24"/>
  <c r="S57" i="24"/>
  <c r="T57" i="24"/>
  <c r="U57" i="24"/>
  <c r="V57" i="24"/>
  <c r="W57" i="24"/>
  <c r="X57" i="24"/>
  <c r="Y57" i="24"/>
  <c r="B58" i="24"/>
  <c r="G58" i="24"/>
  <c r="H58" i="24"/>
  <c r="I58" i="24"/>
  <c r="J58" i="24"/>
  <c r="K58" i="24"/>
  <c r="L58" i="24"/>
  <c r="M58" i="24"/>
  <c r="N58" i="24"/>
  <c r="O58" i="24"/>
  <c r="P58" i="24"/>
  <c r="Q58" i="24"/>
  <c r="R58" i="24"/>
  <c r="S58" i="24"/>
  <c r="T58" i="24"/>
  <c r="U58" i="24"/>
  <c r="V58" i="24"/>
  <c r="W58" i="24"/>
  <c r="X58" i="24"/>
  <c r="Y58" i="24"/>
  <c r="B59" i="24"/>
  <c r="G59" i="24"/>
  <c r="H59" i="24"/>
  <c r="I59" i="24"/>
  <c r="J59" i="24"/>
  <c r="K59" i="24"/>
  <c r="L59" i="24"/>
  <c r="M59" i="24"/>
  <c r="N59" i="24"/>
  <c r="O59" i="24"/>
  <c r="P59" i="24"/>
  <c r="Q59" i="24"/>
  <c r="R59" i="24"/>
  <c r="S59" i="24"/>
  <c r="T59" i="24"/>
  <c r="U59" i="24"/>
  <c r="V59" i="24"/>
  <c r="W59" i="24"/>
  <c r="X59" i="24"/>
  <c r="Y59" i="24"/>
  <c r="B60" i="24"/>
  <c r="G60" i="24"/>
  <c r="H60" i="24"/>
  <c r="I60" i="24"/>
  <c r="J60" i="24"/>
  <c r="K60" i="24"/>
  <c r="L60" i="24"/>
  <c r="M60" i="24"/>
  <c r="N60" i="24"/>
  <c r="O60" i="24"/>
  <c r="P60" i="24"/>
  <c r="Q60" i="24"/>
  <c r="R60" i="24"/>
  <c r="S60" i="24"/>
  <c r="T60" i="24"/>
  <c r="U60" i="24"/>
  <c r="V60" i="24"/>
  <c r="W60" i="24"/>
  <c r="X60" i="24"/>
  <c r="Y60" i="24"/>
  <c r="B61" i="24"/>
  <c r="G61" i="24"/>
  <c r="H61" i="24"/>
  <c r="I61" i="24"/>
  <c r="J61" i="24"/>
  <c r="K61" i="24"/>
  <c r="L61" i="24"/>
  <c r="M61" i="24"/>
  <c r="N61" i="24"/>
  <c r="O61" i="24"/>
  <c r="P61" i="24"/>
  <c r="Q61" i="24"/>
  <c r="R61" i="24"/>
  <c r="S61" i="24"/>
  <c r="T61" i="24"/>
  <c r="U61" i="24"/>
  <c r="V61" i="24"/>
  <c r="W61" i="24"/>
  <c r="X61" i="24"/>
  <c r="Y61" i="24"/>
  <c r="B62" i="24"/>
  <c r="G62" i="24"/>
  <c r="H62" i="24"/>
  <c r="I62" i="24"/>
  <c r="J62" i="24"/>
  <c r="K62" i="24"/>
  <c r="L62" i="24"/>
  <c r="M62" i="24"/>
  <c r="N62" i="24"/>
  <c r="O62" i="24"/>
  <c r="P62" i="24"/>
  <c r="Q62" i="24"/>
  <c r="R62" i="24"/>
  <c r="S62" i="24"/>
  <c r="T62" i="24"/>
  <c r="U62" i="24"/>
  <c r="V62" i="24"/>
  <c r="W62" i="24"/>
  <c r="X62" i="24"/>
  <c r="Y62" i="24"/>
  <c r="B63" i="24"/>
  <c r="G63" i="24"/>
  <c r="H63" i="24"/>
  <c r="I63" i="24"/>
  <c r="J63" i="24"/>
  <c r="K63" i="24"/>
  <c r="L63" i="24"/>
  <c r="M63" i="24"/>
  <c r="N63" i="24"/>
  <c r="O63" i="24"/>
  <c r="P63" i="24"/>
  <c r="Q63" i="24"/>
  <c r="R63" i="24"/>
  <c r="S63" i="24"/>
  <c r="T63" i="24"/>
  <c r="U63" i="24"/>
  <c r="V63" i="24"/>
  <c r="W63" i="24"/>
  <c r="X63" i="24"/>
  <c r="Y63" i="24"/>
  <c r="B64" i="24"/>
  <c r="G64" i="24"/>
  <c r="H64" i="24"/>
  <c r="I64" i="24"/>
  <c r="J64" i="24"/>
  <c r="K64" i="24"/>
  <c r="L64" i="24"/>
  <c r="M64" i="24"/>
  <c r="N64" i="24"/>
  <c r="O64" i="24"/>
  <c r="P64" i="24"/>
  <c r="Q64" i="24"/>
  <c r="R64" i="24"/>
  <c r="S64" i="24"/>
  <c r="T64" i="24"/>
  <c r="U64" i="24"/>
  <c r="V64" i="24"/>
  <c r="W64" i="24"/>
  <c r="X64" i="24"/>
  <c r="Y64" i="24"/>
  <c r="B65" i="24"/>
  <c r="G65" i="24"/>
  <c r="H65" i="24"/>
  <c r="I65" i="24"/>
  <c r="J65" i="24"/>
  <c r="K65" i="24"/>
  <c r="L65" i="24"/>
  <c r="M65" i="24"/>
  <c r="N65" i="24"/>
  <c r="O65" i="24"/>
  <c r="P65" i="24"/>
  <c r="Q65" i="24"/>
  <c r="R65" i="24"/>
  <c r="S65" i="24"/>
  <c r="T65" i="24"/>
  <c r="U65" i="24"/>
  <c r="V65" i="24"/>
  <c r="W65" i="24"/>
  <c r="X65" i="24"/>
  <c r="Y65" i="24"/>
  <c r="B66" i="24"/>
  <c r="G66" i="24"/>
  <c r="H66" i="24"/>
  <c r="I66" i="24"/>
  <c r="J66" i="24"/>
  <c r="K66" i="24"/>
  <c r="L66" i="24"/>
  <c r="M66" i="24"/>
  <c r="N66" i="24"/>
  <c r="O66" i="24"/>
  <c r="P66" i="24"/>
  <c r="Q66" i="24"/>
  <c r="R66" i="24"/>
  <c r="S66" i="24"/>
  <c r="T66" i="24"/>
  <c r="U66" i="24"/>
  <c r="V66" i="24"/>
  <c r="W66" i="24"/>
  <c r="X66" i="24"/>
  <c r="Y66" i="24"/>
  <c r="B67" i="24"/>
  <c r="G67" i="24"/>
  <c r="H67" i="24"/>
  <c r="I67" i="24"/>
  <c r="J67" i="24"/>
  <c r="K67" i="24"/>
  <c r="L67" i="24"/>
  <c r="M67" i="24"/>
  <c r="N67" i="24"/>
  <c r="O67" i="24"/>
  <c r="P67" i="24"/>
  <c r="Q67" i="24"/>
  <c r="R67" i="24"/>
  <c r="S67" i="24"/>
  <c r="T67" i="24"/>
  <c r="U67" i="24"/>
  <c r="V67" i="24"/>
  <c r="W67" i="24"/>
  <c r="X67" i="24"/>
  <c r="Y67" i="24"/>
  <c r="B68" i="24"/>
  <c r="G68" i="24"/>
  <c r="H68" i="24"/>
  <c r="I68" i="24"/>
  <c r="J68" i="24"/>
  <c r="K68" i="24"/>
  <c r="L68" i="24"/>
  <c r="M68" i="24"/>
  <c r="N68" i="24"/>
  <c r="O68" i="24"/>
  <c r="P68" i="24"/>
  <c r="Q68" i="24"/>
  <c r="R68" i="24"/>
  <c r="S68" i="24"/>
  <c r="T68" i="24"/>
  <c r="U68" i="24"/>
  <c r="V68" i="24"/>
  <c r="W68" i="24"/>
  <c r="X68" i="24"/>
  <c r="Y68" i="24"/>
  <c r="B69" i="24"/>
  <c r="G69" i="24"/>
  <c r="H69" i="24"/>
  <c r="I69" i="24"/>
  <c r="J69" i="24"/>
  <c r="K69" i="24"/>
  <c r="L69" i="24"/>
  <c r="M69" i="24"/>
  <c r="N69" i="24"/>
  <c r="O69" i="24"/>
  <c r="P69" i="24"/>
  <c r="Q69" i="24"/>
  <c r="R69" i="24"/>
  <c r="S69" i="24"/>
  <c r="T69" i="24"/>
  <c r="U69" i="24"/>
  <c r="V69" i="24"/>
  <c r="W69" i="24"/>
  <c r="X69" i="24"/>
  <c r="Y69" i="24"/>
  <c r="B70" i="24"/>
  <c r="G70" i="24"/>
  <c r="H70" i="24"/>
  <c r="I70" i="24"/>
  <c r="J70" i="24"/>
  <c r="K70" i="24"/>
  <c r="L70" i="24"/>
  <c r="M70" i="24"/>
  <c r="N70" i="24"/>
  <c r="O70" i="24"/>
  <c r="P70" i="24"/>
  <c r="Q70" i="24"/>
  <c r="R70" i="24"/>
  <c r="S70" i="24"/>
  <c r="T70" i="24"/>
  <c r="U70" i="24"/>
  <c r="V70" i="24"/>
  <c r="W70" i="24"/>
  <c r="X70" i="24"/>
  <c r="Y70" i="24"/>
  <c r="B71" i="24"/>
  <c r="G71" i="24"/>
  <c r="H71" i="24"/>
  <c r="I71" i="24"/>
  <c r="J71" i="24"/>
  <c r="K71" i="24"/>
  <c r="L71" i="24"/>
  <c r="M71" i="24"/>
  <c r="N71" i="24"/>
  <c r="O71" i="24"/>
  <c r="P71" i="24"/>
  <c r="Q71" i="24"/>
  <c r="R71" i="24"/>
  <c r="S71" i="24"/>
  <c r="T71" i="24"/>
  <c r="U71" i="24"/>
  <c r="V71" i="24"/>
  <c r="W71" i="24"/>
  <c r="X71" i="24"/>
  <c r="Y71" i="24"/>
  <c r="B72" i="24"/>
  <c r="G72" i="24"/>
  <c r="H72" i="24"/>
  <c r="I72" i="24"/>
  <c r="J72" i="24"/>
  <c r="K72" i="24"/>
  <c r="L72" i="24"/>
  <c r="M72" i="24"/>
  <c r="N72" i="24"/>
  <c r="O72" i="24"/>
  <c r="P72" i="24"/>
  <c r="Q72" i="24"/>
  <c r="R72" i="24"/>
  <c r="S72" i="24"/>
  <c r="T72" i="24"/>
  <c r="U72" i="24"/>
  <c r="V72" i="24"/>
  <c r="W72" i="24"/>
  <c r="X72" i="24"/>
  <c r="Y72" i="24"/>
  <c r="B73" i="24"/>
  <c r="G73" i="24"/>
  <c r="H73" i="24"/>
  <c r="I73" i="24"/>
  <c r="J73" i="24"/>
  <c r="K73" i="24"/>
  <c r="L73" i="24"/>
  <c r="M73" i="24"/>
  <c r="N73" i="24"/>
  <c r="O73" i="24"/>
  <c r="P73" i="24"/>
  <c r="Q73" i="24"/>
  <c r="R73" i="24"/>
  <c r="S73" i="24"/>
  <c r="T73" i="24"/>
  <c r="U73" i="24"/>
  <c r="V73" i="24"/>
  <c r="W73" i="24"/>
  <c r="X73" i="24"/>
  <c r="Y73" i="24"/>
  <c r="B74" i="24"/>
  <c r="G74" i="24"/>
  <c r="H74" i="24"/>
  <c r="I74" i="24"/>
  <c r="J74" i="24"/>
  <c r="K74" i="24"/>
  <c r="L74" i="24"/>
  <c r="M74" i="24"/>
  <c r="N74" i="24"/>
  <c r="O74" i="24"/>
  <c r="P74" i="24"/>
  <c r="Q74" i="24"/>
  <c r="R74" i="24"/>
  <c r="S74" i="24"/>
  <c r="T74" i="24"/>
  <c r="U74" i="24"/>
  <c r="V74" i="24"/>
  <c r="W74" i="24"/>
  <c r="X74" i="24"/>
  <c r="Y74" i="24"/>
  <c r="B75" i="24"/>
  <c r="G75" i="24"/>
  <c r="H75" i="24"/>
  <c r="I75" i="24"/>
  <c r="J75" i="24"/>
  <c r="K75" i="24"/>
  <c r="L75" i="24"/>
  <c r="M75" i="24"/>
  <c r="N75" i="24"/>
  <c r="O75" i="24"/>
  <c r="P75" i="24"/>
  <c r="Q75" i="24"/>
  <c r="R75" i="24"/>
  <c r="S75" i="24"/>
  <c r="T75" i="24"/>
  <c r="U75" i="24"/>
  <c r="V75" i="24"/>
  <c r="W75" i="24"/>
  <c r="X75" i="24"/>
  <c r="Y75" i="24"/>
  <c r="B76" i="24"/>
  <c r="G76" i="24"/>
  <c r="H76" i="24"/>
  <c r="I76" i="24"/>
  <c r="J76" i="24"/>
  <c r="K76" i="24"/>
  <c r="L76" i="24"/>
  <c r="M76" i="24"/>
  <c r="N76" i="24"/>
  <c r="O76" i="24"/>
  <c r="P76" i="24"/>
  <c r="Q76" i="24"/>
  <c r="R76" i="24"/>
  <c r="S76" i="24"/>
  <c r="T76" i="24"/>
  <c r="U76" i="24"/>
  <c r="V76" i="24"/>
  <c r="W76" i="24"/>
  <c r="X76" i="24"/>
  <c r="Y76" i="24"/>
  <c r="B77" i="24"/>
  <c r="G77" i="24"/>
  <c r="H77" i="24"/>
  <c r="I77" i="24"/>
  <c r="J77" i="24"/>
  <c r="K77" i="24"/>
  <c r="L77" i="24"/>
  <c r="M77" i="24"/>
  <c r="N77" i="24"/>
  <c r="O77" i="24"/>
  <c r="P77" i="24"/>
  <c r="Q77" i="24"/>
  <c r="R77" i="24"/>
  <c r="S77" i="24"/>
  <c r="T77" i="24"/>
  <c r="U77" i="24"/>
  <c r="V77" i="24"/>
  <c r="W77" i="24"/>
  <c r="X77" i="24"/>
  <c r="Y77" i="24"/>
  <c r="B78" i="24"/>
  <c r="G78" i="24"/>
  <c r="H78" i="24"/>
  <c r="I78" i="24"/>
  <c r="J78" i="24"/>
  <c r="K78" i="24"/>
  <c r="L78" i="24"/>
  <c r="M78" i="24"/>
  <c r="N78" i="24"/>
  <c r="O78" i="24"/>
  <c r="P78" i="24"/>
  <c r="Q78" i="24"/>
  <c r="R78" i="24"/>
  <c r="S78" i="24"/>
  <c r="T78" i="24"/>
  <c r="U78" i="24"/>
  <c r="V78" i="24"/>
  <c r="W78" i="24"/>
  <c r="X78" i="24"/>
  <c r="Y78" i="24"/>
  <c r="B79" i="24"/>
  <c r="G79" i="24"/>
  <c r="H79" i="24"/>
  <c r="I79" i="24"/>
  <c r="J79" i="24"/>
  <c r="K79" i="24"/>
  <c r="L79" i="24"/>
  <c r="M79" i="24"/>
  <c r="N79" i="24"/>
  <c r="O79" i="24"/>
  <c r="P79" i="24"/>
  <c r="Q79" i="24"/>
  <c r="R79" i="24"/>
  <c r="S79" i="24"/>
  <c r="T79" i="24"/>
  <c r="U79" i="24"/>
  <c r="V79" i="24"/>
  <c r="W79" i="24"/>
  <c r="X79" i="24"/>
  <c r="Y79" i="24"/>
  <c r="B80" i="24"/>
  <c r="G80" i="24"/>
  <c r="H80" i="24"/>
  <c r="I80" i="24"/>
  <c r="J80" i="24"/>
  <c r="K80" i="24"/>
  <c r="L80" i="24"/>
  <c r="M80" i="24"/>
  <c r="N80" i="24"/>
  <c r="O80" i="24"/>
  <c r="P80" i="24"/>
  <c r="Q80" i="24"/>
  <c r="R80" i="24"/>
  <c r="S80" i="24"/>
  <c r="T80" i="24"/>
  <c r="U80" i="24"/>
  <c r="V80" i="24"/>
  <c r="W80" i="24"/>
  <c r="X80" i="24"/>
  <c r="Y80" i="24"/>
  <c r="B81" i="24"/>
  <c r="G81" i="24"/>
  <c r="H81" i="24"/>
  <c r="I81" i="24"/>
  <c r="J81" i="24"/>
  <c r="K81" i="24"/>
  <c r="L81" i="24"/>
  <c r="M81" i="24"/>
  <c r="N81" i="24"/>
  <c r="O81" i="24"/>
  <c r="P81" i="24"/>
  <c r="Q81" i="24"/>
  <c r="R81" i="24"/>
  <c r="S81" i="24"/>
  <c r="T81" i="24"/>
  <c r="U81" i="24"/>
  <c r="V81" i="24"/>
  <c r="W81" i="24"/>
  <c r="X81" i="24"/>
  <c r="Y81" i="24"/>
  <c r="B82" i="24"/>
  <c r="G82" i="24"/>
  <c r="H82" i="24"/>
  <c r="I82" i="24"/>
  <c r="J82" i="24"/>
  <c r="K82" i="24"/>
  <c r="L82" i="24"/>
  <c r="M82" i="24"/>
  <c r="N82" i="24"/>
  <c r="O82" i="24"/>
  <c r="P82" i="24"/>
  <c r="Q82" i="24"/>
  <c r="R82" i="24"/>
  <c r="S82" i="24"/>
  <c r="T82" i="24"/>
  <c r="U82" i="24"/>
  <c r="V82" i="24"/>
  <c r="W82" i="24"/>
  <c r="X82" i="24"/>
  <c r="Y82" i="24"/>
  <c r="B83" i="24"/>
  <c r="G83" i="24"/>
  <c r="H83" i="24"/>
  <c r="I83" i="24"/>
  <c r="J83" i="24"/>
  <c r="K83" i="24"/>
  <c r="L83" i="24"/>
  <c r="M83" i="24"/>
  <c r="N83" i="24"/>
  <c r="O83" i="24"/>
  <c r="P83" i="24"/>
  <c r="Q83" i="24"/>
  <c r="R83" i="24"/>
  <c r="S83" i="24"/>
  <c r="T83" i="24"/>
  <c r="U83" i="24"/>
  <c r="V83" i="24"/>
  <c r="W83" i="24"/>
  <c r="X83" i="24"/>
  <c r="Y83" i="24"/>
  <c r="B84" i="24"/>
  <c r="G84" i="24"/>
  <c r="H84" i="24"/>
  <c r="I84" i="24"/>
  <c r="J84" i="24"/>
  <c r="K84" i="24"/>
  <c r="L84" i="24"/>
  <c r="M84" i="24"/>
  <c r="N84" i="24"/>
  <c r="O84" i="24"/>
  <c r="P84" i="24"/>
  <c r="Q84" i="24"/>
  <c r="R84" i="24"/>
  <c r="S84" i="24"/>
  <c r="T84" i="24"/>
  <c r="U84" i="24"/>
  <c r="V84" i="24"/>
  <c r="W84" i="24"/>
  <c r="X84" i="24"/>
  <c r="Y84" i="24"/>
  <c r="B85" i="24"/>
  <c r="G85" i="24"/>
  <c r="H85" i="24"/>
  <c r="I85" i="24"/>
  <c r="J85" i="24"/>
  <c r="K85" i="24"/>
  <c r="L85" i="24"/>
  <c r="M85" i="24"/>
  <c r="N85" i="24"/>
  <c r="O85" i="24"/>
  <c r="P85" i="24"/>
  <c r="Q85" i="24"/>
  <c r="R85" i="24"/>
  <c r="S85" i="24"/>
  <c r="T85" i="24"/>
  <c r="U85" i="24"/>
  <c r="V85" i="24"/>
  <c r="W85" i="24"/>
  <c r="X85" i="24"/>
  <c r="Y85" i="24"/>
  <c r="B86" i="24"/>
  <c r="G86" i="24"/>
  <c r="H86" i="24"/>
  <c r="I86" i="24"/>
  <c r="J86" i="24"/>
  <c r="K86" i="24"/>
  <c r="L86" i="24"/>
  <c r="M86" i="24"/>
  <c r="N86" i="24"/>
  <c r="O86" i="24"/>
  <c r="P86" i="24"/>
  <c r="Q86" i="24"/>
  <c r="R86" i="24"/>
  <c r="S86" i="24"/>
  <c r="T86" i="24"/>
  <c r="U86" i="24"/>
  <c r="V86" i="24"/>
  <c r="W86" i="24"/>
  <c r="X86" i="24"/>
  <c r="Y86" i="24"/>
  <c r="B87" i="24"/>
  <c r="G87" i="24"/>
  <c r="H87" i="24"/>
  <c r="I87" i="24"/>
  <c r="J87" i="24"/>
  <c r="K87" i="24"/>
  <c r="L87" i="24"/>
  <c r="M87" i="24"/>
  <c r="N87" i="24"/>
  <c r="O87" i="24"/>
  <c r="P87" i="24"/>
  <c r="Q87" i="24"/>
  <c r="R87" i="24"/>
  <c r="S87" i="24"/>
  <c r="T87" i="24"/>
  <c r="U87" i="24"/>
  <c r="V87" i="24"/>
  <c r="W87" i="24"/>
  <c r="X87" i="24"/>
  <c r="Y87" i="24"/>
  <c r="B88" i="24"/>
  <c r="G88" i="24"/>
  <c r="H88" i="24"/>
  <c r="I88" i="24"/>
  <c r="J88" i="24"/>
  <c r="K88" i="24"/>
  <c r="L88" i="24"/>
  <c r="M88" i="24"/>
  <c r="N88" i="24"/>
  <c r="O88" i="24"/>
  <c r="P88" i="24"/>
  <c r="Q88" i="24"/>
  <c r="R88" i="24"/>
  <c r="S88" i="24"/>
  <c r="T88" i="24"/>
  <c r="U88" i="24"/>
  <c r="V88" i="24"/>
  <c r="W88" i="24"/>
  <c r="X88" i="24"/>
  <c r="Y88" i="24"/>
  <c r="B89" i="24"/>
  <c r="G89" i="24"/>
  <c r="H89" i="24"/>
  <c r="I89" i="24"/>
  <c r="J89" i="24"/>
  <c r="K89" i="24"/>
  <c r="L89" i="24"/>
  <c r="M89" i="24"/>
  <c r="N89" i="24"/>
  <c r="O89" i="24"/>
  <c r="P89" i="24"/>
  <c r="Q89" i="24"/>
  <c r="R89" i="24"/>
  <c r="S89" i="24"/>
  <c r="T89" i="24"/>
  <c r="U89" i="24"/>
  <c r="V89" i="24"/>
  <c r="W89" i="24"/>
  <c r="X89" i="24"/>
  <c r="Y89" i="24"/>
  <c r="B90" i="24"/>
  <c r="G90" i="24"/>
  <c r="H90" i="24"/>
  <c r="I90" i="24"/>
  <c r="J90" i="24"/>
  <c r="K90" i="24"/>
  <c r="L90" i="24"/>
  <c r="M90" i="24"/>
  <c r="N90" i="24"/>
  <c r="O90" i="24"/>
  <c r="P90" i="24"/>
  <c r="Q90" i="24"/>
  <c r="R90" i="24"/>
  <c r="S90" i="24"/>
  <c r="T90" i="24"/>
  <c r="U90" i="24"/>
  <c r="V90" i="24"/>
  <c r="W90" i="24"/>
  <c r="X90" i="24"/>
  <c r="Y90" i="24"/>
  <c r="B91" i="24"/>
  <c r="G91" i="24"/>
  <c r="H91" i="24"/>
  <c r="I91" i="24"/>
  <c r="J91" i="24"/>
  <c r="K91" i="24"/>
  <c r="L91" i="24"/>
  <c r="M91" i="24"/>
  <c r="N91" i="24"/>
  <c r="O91" i="24"/>
  <c r="P91" i="24"/>
  <c r="Q91" i="24"/>
  <c r="R91" i="24"/>
  <c r="S91" i="24"/>
  <c r="T91" i="24"/>
  <c r="U91" i="24"/>
  <c r="V91" i="24"/>
  <c r="W91" i="24"/>
  <c r="X91" i="24"/>
  <c r="Y91" i="24"/>
  <c r="B92" i="24"/>
  <c r="G92" i="24"/>
  <c r="H92" i="24"/>
  <c r="I92" i="24"/>
  <c r="J92" i="24"/>
  <c r="K92" i="24"/>
  <c r="L92" i="24"/>
  <c r="M92" i="24"/>
  <c r="N92" i="24"/>
  <c r="O92" i="24"/>
  <c r="P92" i="24"/>
  <c r="Q92" i="24"/>
  <c r="R92" i="24"/>
  <c r="S92" i="24"/>
  <c r="T92" i="24"/>
  <c r="U92" i="24"/>
  <c r="V92" i="24"/>
  <c r="W92" i="24"/>
  <c r="X92" i="24"/>
  <c r="Y92" i="24"/>
  <c r="B93" i="24"/>
  <c r="G93" i="24"/>
  <c r="H93" i="24"/>
  <c r="I93" i="24"/>
  <c r="J93" i="24"/>
  <c r="K93" i="24"/>
  <c r="L93" i="24"/>
  <c r="M93" i="24"/>
  <c r="N93" i="24"/>
  <c r="O93" i="24"/>
  <c r="P93" i="24"/>
  <c r="Q93" i="24"/>
  <c r="R93" i="24"/>
  <c r="S93" i="24"/>
  <c r="T93" i="24"/>
  <c r="U93" i="24"/>
  <c r="V93" i="24"/>
  <c r="W93" i="24"/>
  <c r="X93" i="24"/>
  <c r="Y93" i="24"/>
  <c r="B94" i="24"/>
  <c r="G94" i="24"/>
  <c r="H94" i="24"/>
  <c r="I94" i="24"/>
  <c r="J94" i="24"/>
  <c r="K94" i="24"/>
  <c r="L94" i="24"/>
  <c r="M94" i="24"/>
  <c r="N94" i="24"/>
  <c r="O94" i="24"/>
  <c r="P94" i="24"/>
  <c r="Q94" i="24"/>
  <c r="R94" i="24"/>
  <c r="S94" i="24"/>
  <c r="T94" i="24"/>
  <c r="U94" i="24"/>
  <c r="V94" i="24"/>
  <c r="W94" i="24"/>
  <c r="X94" i="24"/>
  <c r="Y94" i="24"/>
  <c r="B95" i="24"/>
  <c r="G95" i="24"/>
  <c r="H95" i="24"/>
  <c r="I95" i="24"/>
  <c r="J95" i="24"/>
  <c r="K95" i="24"/>
  <c r="L95" i="24"/>
  <c r="M95" i="24"/>
  <c r="N95" i="24"/>
  <c r="O95" i="24"/>
  <c r="P95" i="24"/>
  <c r="Q95" i="24"/>
  <c r="R95" i="24"/>
  <c r="S95" i="24"/>
  <c r="T95" i="24"/>
  <c r="U95" i="24"/>
  <c r="V95" i="24"/>
  <c r="W95" i="24"/>
  <c r="X95" i="24"/>
  <c r="Y95" i="24"/>
  <c r="B96" i="24"/>
  <c r="G96" i="24"/>
  <c r="H96" i="24"/>
  <c r="I96" i="24"/>
  <c r="J96" i="24"/>
  <c r="K96" i="24"/>
  <c r="L96" i="24"/>
  <c r="M96" i="24"/>
  <c r="N96" i="24"/>
  <c r="O96" i="24"/>
  <c r="P96" i="24"/>
  <c r="Q96" i="24"/>
  <c r="R96" i="24"/>
  <c r="S96" i="24"/>
  <c r="T96" i="24"/>
  <c r="U96" i="24"/>
  <c r="V96" i="24"/>
  <c r="W96" i="24"/>
  <c r="X96" i="24"/>
  <c r="Y96" i="24"/>
  <c r="B97" i="24"/>
  <c r="G97" i="24"/>
  <c r="H97" i="24"/>
  <c r="I97" i="24"/>
  <c r="J97" i="24"/>
  <c r="K97" i="24"/>
  <c r="L97" i="24"/>
  <c r="M97" i="24"/>
  <c r="N97" i="24"/>
  <c r="O97" i="24"/>
  <c r="P97" i="24"/>
  <c r="Q97" i="24"/>
  <c r="R97" i="24"/>
  <c r="S97" i="24"/>
  <c r="T97" i="24"/>
  <c r="U97" i="24"/>
  <c r="V97" i="24"/>
  <c r="W97" i="24"/>
  <c r="X97" i="24"/>
  <c r="Y97" i="24"/>
  <c r="B98" i="24"/>
  <c r="G98" i="24"/>
  <c r="H98" i="24"/>
  <c r="I98" i="24"/>
  <c r="J98" i="24"/>
  <c r="K98" i="24"/>
  <c r="L98" i="24"/>
  <c r="M98" i="24"/>
  <c r="N98" i="24"/>
  <c r="O98" i="24"/>
  <c r="P98" i="24"/>
  <c r="Q98" i="24"/>
  <c r="R98" i="24"/>
  <c r="S98" i="24"/>
  <c r="T98" i="24"/>
  <c r="U98" i="24"/>
  <c r="V98" i="24"/>
  <c r="W98" i="24"/>
  <c r="X98" i="24"/>
  <c r="Y98" i="24"/>
  <c r="B99" i="24"/>
  <c r="G99" i="24"/>
  <c r="H99" i="24"/>
  <c r="I99" i="24"/>
  <c r="J99" i="24"/>
  <c r="K99" i="24"/>
  <c r="L99" i="24"/>
  <c r="M99" i="24"/>
  <c r="N99" i="24"/>
  <c r="O99" i="24"/>
  <c r="P99" i="24"/>
  <c r="Q99" i="24"/>
  <c r="R99" i="24"/>
  <c r="S99" i="24"/>
  <c r="T99" i="24"/>
  <c r="U99" i="24"/>
  <c r="V99" i="24"/>
  <c r="W99" i="24"/>
  <c r="X99" i="24"/>
  <c r="Y99" i="24"/>
  <c r="B100" i="24"/>
  <c r="G100" i="24"/>
  <c r="H100" i="24"/>
  <c r="I100" i="24"/>
  <c r="J100" i="24"/>
  <c r="K100" i="24"/>
  <c r="L100" i="24"/>
  <c r="M100" i="24"/>
  <c r="N100" i="24"/>
  <c r="O100" i="24"/>
  <c r="P100" i="24"/>
  <c r="Q100" i="24"/>
  <c r="R100" i="24"/>
  <c r="S100" i="24"/>
  <c r="T100" i="24"/>
  <c r="U100" i="24"/>
  <c r="V100" i="24"/>
  <c r="W100" i="24"/>
  <c r="X100" i="24"/>
  <c r="Y100" i="24"/>
  <c r="B101" i="24"/>
  <c r="G101" i="24"/>
  <c r="H101" i="24"/>
  <c r="I101" i="24"/>
  <c r="J101" i="24"/>
  <c r="K101" i="24"/>
  <c r="L101" i="24"/>
  <c r="M101" i="24"/>
  <c r="N101" i="24"/>
  <c r="O101" i="24"/>
  <c r="P101" i="24"/>
  <c r="Q101" i="24"/>
  <c r="R101" i="24"/>
  <c r="S101" i="24"/>
  <c r="T101" i="24"/>
  <c r="U101" i="24"/>
  <c r="V101" i="24"/>
  <c r="W101" i="24"/>
  <c r="X101" i="24"/>
  <c r="Y101" i="24"/>
  <c r="B102" i="24"/>
  <c r="G102" i="24"/>
  <c r="H102" i="24"/>
  <c r="I102" i="24"/>
  <c r="J102" i="24"/>
  <c r="K102" i="24"/>
  <c r="L102" i="24"/>
  <c r="M102" i="24"/>
  <c r="N102" i="24"/>
  <c r="O102" i="24"/>
  <c r="P102" i="24"/>
  <c r="Q102" i="24"/>
  <c r="R102" i="24"/>
  <c r="S102" i="24"/>
  <c r="T102" i="24"/>
  <c r="U102" i="24"/>
  <c r="V102" i="24"/>
  <c r="W102" i="24"/>
  <c r="X102" i="24"/>
  <c r="Y102" i="24"/>
  <c r="B103" i="24"/>
  <c r="G103" i="24"/>
  <c r="H103" i="24"/>
  <c r="I103" i="24"/>
  <c r="J103" i="24"/>
  <c r="K103" i="24"/>
  <c r="L103" i="24"/>
  <c r="M103" i="24"/>
  <c r="N103" i="24"/>
  <c r="O103" i="24"/>
  <c r="P103" i="24"/>
  <c r="Q103" i="24"/>
  <c r="R103" i="24"/>
  <c r="S103" i="24"/>
  <c r="T103" i="24"/>
  <c r="U103" i="24"/>
  <c r="V103" i="24"/>
  <c r="W103" i="24"/>
  <c r="X103" i="24"/>
  <c r="Y103" i="24"/>
  <c r="B104" i="24"/>
  <c r="G104" i="24"/>
  <c r="H104" i="24"/>
  <c r="I104" i="24"/>
  <c r="J104" i="24"/>
  <c r="K104" i="24"/>
  <c r="L104" i="24"/>
  <c r="M104" i="24"/>
  <c r="N104" i="24"/>
  <c r="O104" i="24"/>
  <c r="P104" i="24"/>
  <c r="Q104" i="24"/>
  <c r="R104" i="24"/>
  <c r="S104" i="24"/>
  <c r="T104" i="24"/>
  <c r="U104" i="24"/>
  <c r="V104" i="24"/>
  <c r="W104" i="24"/>
  <c r="X104" i="24"/>
  <c r="Y104" i="24"/>
  <c r="B105" i="24"/>
  <c r="G105" i="24"/>
  <c r="H105" i="24"/>
  <c r="I105" i="24"/>
  <c r="J105" i="24"/>
  <c r="K105" i="24"/>
  <c r="L105" i="24"/>
  <c r="M105" i="24"/>
  <c r="N105" i="24"/>
  <c r="O105" i="24"/>
  <c r="P105" i="24"/>
  <c r="Q105" i="24"/>
  <c r="R105" i="24"/>
  <c r="S105" i="24"/>
  <c r="T105" i="24"/>
  <c r="U105" i="24"/>
  <c r="V105" i="24"/>
  <c r="W105" i="24"/>
  <c r="X105" i="24"/>
  <c r="Y105" i="24"/>
  <c r="B106" i="24"/>
  <c r="G106" i="24"/>
  <c r="H106" i="24"/>
  <c r="I106" i="24"/>
  <c r="J106" i="24"/>
  <c r="K106" i="24"/>
  <c r="L106" i="24"/>
  <c r="M106" i="24"/>
  <c r="N106" i="24"/>
  <c r="O106" i="24"/>
  <c r="P106" i="24"/>
  <c r="Q106" i="24"/>
  <c r="R106" i="24"/>
  <c r="S106" i="24"/>
  <c r="T106" i="24"/>
  <c r="U106" i="24"/>
  <c r="V106" i="24"/>
  <c r="W106" i="24"/>
  <c r="X106" i="24"/>
  <c r="Y106" i="24"/>
  <c r="B107" i="24"/>
  <c r="G107" i="24"/>
  <c r="H107" i="24"/>
  <c r="I107" i="24"/>
  <c r="J107" i="24"/>
  <c r="K107" i="24"/>
  <c r="L107" i="24"/>
  <c r="M107" i="24"/>
  <c r="N107" i="24"/>
  <c r="O107" i="24"/>
  <c r="P107" i="24"/>
  <c r="Q107" i="24"/>
  <c r="R107" i="24"/>
  <c r="S107" i="24"/>
  <c r="T107" i="24"/>
  <c r="U107" i="24"/>
  <c r="V107" i="24"/>
  <c r="W107" i="24"/>
  <c r="X107" i="24"/>
  <c r="Y107" i="24"/>
  <c r="B108" i="24"/>
  <c r="G108" i="24"/>
  <c r="H108" i="24"/>
  <c r="I108" i="24"/>
  <c r="J108" i="24"/>
  <c r="K108" i="24"/>
  <c r="L108" i="24"/>
  <c r="M108" i="24"/>
  <c r="N108" i="24"/>
  <c r="O108" i="24"/>
  <c r="P108" i="24"/>
  <c r="Q108" i="24"/>
  <c r="R108" i="24"/>
  <c r="S108" i="24"/>
  <c r="T108" i="24"/>
  <c r="U108" i="24"/>
  <c r="V108" i="24"/>
  <c r="W108" i="24"/>
  <c r="X108" i="24"/>
  <c r="Y108" i="24"/>
  <c r="B109" i="24"/>
  <c r="G109" i="24"/>
  <c r="H109" i="24"/>
  <c r="I109" i="24"/>
  <c r="J109" i="24"/>
  <c r="K109" i="24"/>
  <c r="L109" i="24"/>
  <c r="M109" i="24"/>
  <c r="N109" i="24"/>
  <c r="O109" i="24"/>
  <c r="P109" i="24"/>
  <c r="Q109" i="24"/>
  <c r="R109" i="24"/>
  <c r="S109" i="24"/>
  <c r="T109" i="24"/>
  <c r="U109" i="24"/>
  <c r="V109" i="24"/>
  <c r="W109" i="24"/>
  <c r="X109" i="24"/>
  <c r="Y109" i="24"/>
  <c r="B110" i="24"/>
  <c r="G110" i="24"/>
  <c r="H110" i="24"/>
  <c r="I110" i="24"/>
  <c r="J110" i="24"/>
  <c r="K110" i="24"/>
  <c r="L110" i="24"/>
  <c r="M110" i="24"/>
  <c r="N110" i="24"/>
  <c r="O110" i="24"/>
  <c r="P110" i="24"/>
  <c r="Q110" i="24"/>
  <c r="R110" i="24"/>
  <c r="S110" i="24"/>
  <c r="T110" i="24"/>
  <c r="U110" i="24"/>
  <c r="V110" i="24"/>
  <c r="W110" i="24"/>
  <c r="X110" i="24"/>
  <c r="Y110" i="24"/>
  <c r="B111" i="24"/>
  <c r="G111" i="24"/>
  <c r="H111" i="24"/>
  <c r="I111" i="24"/>
  <c r="J111" i="24"/>
  <c r="K111" i="24"/>
  <c r="L111" i="24"/>
  <c r="M111" i="24"/>
  <c r="N111" i="24"/>
  <c r="O111" i="24"/>
  <c r="P111" i="24"/>
  <c r="Q111" i="24"/>
  <c r="R111" i="24"/>
  <c r="S111" i="24"/>
  <c r="T111" i="24"/>
  <c r="U111" i="24"/>
  <c r="V111" i="24"/>
  <c r="W111" i="24"/>
  <c r="X111" i="24"/>
  <c r="Y111" i="24"/>
  <c r="B112" i="24"/>
  <c r="G112" i="24"/>
  <c r="H112" i="24"/>
  <c r="I112" i="24"/>
  <c r="J112" i="24"/>
  <c r="K112" i="24"/>
  <c r="L112" i="24"/>
  <c r="M112" i="24"/>
  <c r="N112" i="24"/>
  <c r="O112" i="24"/>
  <c r="P112" i="24"/>
  <c r="Q112" i="24"/>
  <c r="R112" i="24"/>
  <c r="S112" i="24"/>
  <c r="T112" i="24"/>
  <c r="U112" i="24"/>
  <c r="V112" i="24"/>
  <c r="W112" i="24"/>
  <c r="X112" i="24"/>
  <c r="Y112" i="24"/>
  <c r="B113" i="24"/>
  <c r="G113" i="24"/>
  <c r="H113" i="24"/>
  <c r="I113" i="24"/>
  <c r="J113" i="24"/>
  <c r="K113" i="24"/>
  <c r="L113" i="24"/>
  <c r="M113" i="24"/>
  <c r="N113" i="24"/>
  <c r="O113" i="24"/>
  <c r="P113" i="24"/>
  <c r="Q113" i="24"/>
  <c r="R113" i="24"/>
  <c r="S113" i="24"/>
  <c r="T113" i="24"/>
  <c r="U113" i="24"/>
  <c r="V113" i="24"/>
  <c r="W113" i="24"/>
  <c r="X113" i="24"/>
  <c r="Y113" i="24"/>
  <c r="B114" i="24"/>
  <c r="G114" i="24"/>
  <c r="H114" i="24"/>
  <c r="I114" i="24"/>
  <c r="J114" i="24"/>
  <c r="K114" i="24"/>
  <c r="L114" i="24"/>
  <c r="M114" i="24"/>
  <c r="N114" i="24"/>
  <c r="O114" i="24"/>
  <c r="P114" i="24"/>
  <c r="Q114" i="24"/>
  <c r="R114" i="24"/>
  <c r="S114" i="24"/>
  <c r="T114" i="24"/>
  <c r="U114" i="24"/>
  <c r="V114" i="24"/>
  <c r="W114" i="24"/>
  <c r="X114" i="24"/>
  <c r="Y114" i="24"/>
  <c r="B115" i="24"/>
  <c r="G115" i="24"/>
  <c r="H115" i="24"/>
  <c r="I115" i="24"/>
  <c r="J115" i="24"/>
  <c r="K115" i="24"/>
  <c r="L115" i="24"/>
  <c r="M115" i="24"/>
  <c r="N115" i="24"/>
  <c r="O115" i="24"/>
  <c r="P115" i="24"/>
  <c r="Q115" i="24"/>
  <c r="R115" i="24"/>
  <c r="S115" i="24"/>
  <c r="T115" i="24"/>
  <c r="U115" i="24"/>
  <c r="V115" i="24"/>
  <c r="W115" i="24"/>
  <c r="X115" i="24"/>
  <c r="Y115" i="24"/>
  <c r="B116" i="24"/>
  <c r="G116" i="24"/>
  <c r="H116" i="24"/>
  <c r="I116" i="24"/>
  <c r="J116" i="24"/>
  <c r="K116" i="24"/>
  <c r="L116" i="24"/>
  <c r="M116" i="24"/>
  <c r="N116" i="24"/>
  <c r="O116" i="24"/>
  <c r="P116" i="24"/>
  <c r="Q116" i="24"/>
  <c r="R116" i="24"/>
  <c r="S116" i="24"/>
  <c r="T116" i="24"/>
  <c r="U116" i="24"/>
  <c r="V116" i="24"/>
  <c r="W116" i="24"/>
  <c r="X116" i="24"/>
  <c r="Y116" i="24"/>
  <c r="B117" i="24"/>
  <c r="G117" i="24"/>
  <c r="H117" i="24"/>
  <c r="I117" i="24"/>
  <c r="J117" i="24"/>
  <c r="K117" i="24"/>
  <c r="L117" i="24"/>
  <c r="M117" i="24"/>
  <c r="N117" i="24"/>
  <c r="O117" i="24"/>
  <c r="P117" i="24"/>
  <c r="Q117" i="24"/>
  <c r="R117" i="24"/>
  <c r="S117" i="24"/>
  <c r="T117" i="24"/>
  <c r="U117" i="24"/>
  <c r="V117" i="24"/>
  <c r="W117" i="24"/>
  <c r="X117" i="24"/>
  <c r="Y117" i="24"/>
  <c r="B118" i="24"/>
  <c r="G118" i="24"/>
  <c r="H118" i="24"/>
  <c r="I118" i="24"/>
  <c r="J118" i="24"/>
  <c r="K118" i="24"/>
  <c r="L118" i="24"/>
  <c r="M118" i="24"/>
  <c r="N118" i="24"/>
  <c r="O118" i="24"/>
  <c r="P118" i="24"/>
  <c r="Q118" i="24"/>
  <c r="R118" i="24"/>
  <c r="S118" i="24"/>
  <c r="T118" i="24"/>
  <c r="U118" i="24"/>
  <c r="V118" i="24"/>
  <c r="W118" i="24"/>
  <c r="X118" i="24"/>
  <c r="Y118" i="24"/>
  <c r="B119" i="24"/>
  <c r="G119" i="24"/>
  <c r="H119" i="24"/>
  <c r="I119" i="24"/>
  <c r="J119" i="24"/>
  <c r="K119" i="24"/>
  <c r="L119" i="24"/>
  <c r="M119" i="24"/>
  <c r="N119" i="24"/>
  <c r="O119" i="24"/>
  <c r="P119" i="24"/>
  <c r="Q119" i="24"/>
  <c r="R119" i="24"/>
  <c r="S119" i="24"/>
  <c r="T119" i="24"/>
  <c r="U119" i="24"/>
  <c r="V119" i="24"/>
  <c r="W119" i="24"/>
  <c r="X119" i="24"/>
  <c r="Y119" i="24"/>
  <c r="B120" i="24"/>
  <c r="G120" i="24"/>
  <c r="H120" i="24"/>
  <c r="I120" i="24"/>
  <c r="J120" i="24"/>
  <c r="K120" i="24"/>
  <c r="L120" i="24"/>
  <c r="M120" i="24"/>
  <c r="N120" i="24"/>
  <c r="O120" i="24"/>
  <c r="P120" i="24"/>
  <c r="Q120" i="24"/>
  <c r="R120" i="24"/>
  <c r="S120" i="24"/>
  <c r="T120" i="24"/>
  <c r="U120" i="24"/>
  <c r="V120" i="24"/>
  <c r="W120" i="24"/>
  <c r="X120" i="24"/>
  <c r="Y120" i="24"/>
  <c r="B121" i="24"/>
  <c r="G121" i="24"/>
  <c r="H121" i="24"/>
  <c r="I121" i="24"/>
  <c r="J121" i="24"/>
  <c r="K121" i="24"/>
  <c r="L121" i="24"/>
  <c r="M121" i="24"/>
  <c r="N121" i="24"/>
  <c r="O121" i="24"/>
  <c r="P121" i="24"/>
  <c r="Q121" i="24"/>
  <c r="R121" i="24"/>
  <c r="S121" i="24"/>
  <c r="T121" i="24"/>
  <c r="U121" i="24"/>
  <c r="V121" i="24"/>
  <c r="W121" i="24"/>
  <c r="X121" i="24"/>
  <c r="Y121" i="24"/>
  <c r="B122" i="24"/>
  <c r="G122" i="24"/>
  <c r="H122" i="24"/>
  <c r="I122" i="24"/>
  <c r="J122" i="24"/>
  <c r="K122" i="24"/>
  <c r="L122" i="24"/>
  <c r="M122" i="24"/>
  <c r="N122" i="24"/>
  <c r="O122" i="24"/>
  <c r="P122" i="24"/>
  <c r="Q122" i="24"/>
  <c r="R122" i="24"/>
  <c r="S122" i="24"/>
  <c r="T122" i="24"/>
  <c r="U122" i="24"/>
  <c r="V122" i="24"/>
  <c r="W122" i="24"/>
  <c r="X122" i="24"/>
  <c r="Y122" i="24"/>
  <c r="B123" i="24"/>
  <c r="H123" i="24"/>
  <c r="I123" i="24"/>
  <c r="J123" i="24"/>
  <c r="K123" i="24"/>
  <c r="L123" i="24"/>
  <c r="M123" i="24"/>
  <c r="N123" i="24"/>
  <c r="O123" i="24"/>
  <c r="P123" i="24"/>
  <c r="Q123" i="24"/>
  <c r="R123" i="24"/>
  <c r="S123" i="24"/>
  <c r="T123" i="24"/>
  <c r="U123" i="24"/>
  <c r="V123" i="24"/>
  <c r="W123" i="24"/>
  <c r="X123" i="24"/>
  <c r="Y123" i="24"/>
  <c r="B124" i="24"/>
  <c r="G124" i="24"/>
  <c r="H124" i="24"/>
  <c r="I124" i="24"/>
  <c r="J124" i="24"/>
  <c r="K124" i="24"/>
  <c r="L124" i="24"/>
  <c r="M124" i="24"/>
  <c r="N124" i="24"/>
  <c r="O124" i="24"/>
  <c r="P124" i="24"/>
  <c r="Q124" i="24"/>
  <c r="R124" i="24"/>
  <c r="S124" i="24"/>
  <c r="T124" i="24"/>
  <c r="U124" i="24"/>
  <c r="V124" i="24"/>
  <c r="W124" i="24"/>
  <c r="X124" i="24"/>
  <c r="Y124" i="24"/>
  <c r="B125" i="24"/>
  <c r="G125" i="24"/>
  <c r="H125" i="24"/>
  <c r="I125" i="24"/>
  <c r="J125" i="24"/>
  <c r="K125" i="24"/>
  <c r="L125" i="24"/>
  <c r="M125" i="24"/>
  <c r="N125" i="24"/>
  <c r="O125" i="24"/>
  <c r="P125" i="24"/>
  <c r="Q125" i="24"/>
  <c r="R125" i="24"/>
  <c r="S125" i="24"/>
  <c r="T125" i="24"/>
  <c r="U125" i="24"/>
  <c r="V125" i="24"/>
  <c r="W125" i="24"/>
  <c r="X125" i="24"/>
  <c r="Y125" i="24"/>
  <c r="B126" i="24"/>
  <c r="G126" i="24"/>
  <c r="H126" i="24"/>
  <c r="I126" i="24"/>
  <c r="J126" i="24"/>
  <c r="K126" i="24"/>
  <c r="L126" i="24"/>
  <c r="M126" i="24"/>
  <c r="N126" i="24"/>
  <c r="O126" i="24"/>
  <c r="P126" i="24"/>
  <c r="Q126" i="24"/>
  <c r="R126" i="24"/>
  <c r="S126" i="24"/>
  <c r="T126" i="24"/>
  <c r="U126" i="24"/>
  <c r="V126" i="24"/>
  <c r="W126" i="24"/>
  <c r="X126" i="24"/>
  <c r="Y126" i="24"/>
  <c r="B127" i="24"/>
  <c r="G127" i="24"/>
  <c r="H127" i="24"/>
  <c r="I127" i="24"/>
  <c r="J127" i="24"/>
  <c r="K127" i="24"/>
  <c r="L127" i="24"/>
  <c r="M127" i="24"/>
  <c r="N127" i="24"/>
  <c r="O127" i="24"/>
  <c r="P127" i="24"/>
  <c r="Q127" i="24"/>
  <c r="R127" i="24"/>
  <c r="S127" i="24"/>
  <c r="T127" i="24"/>
  <c r="U127" i="24"/>
  <c r="V127" i="24"/>
  <c r="W127" i="24"/>
  <c r="X127" i="24"/>
  <c r="Y127" i="24"/>
  <c r="B128" i="24"/>
  <c r="G128" i="24"/>
  <c r="H128" i="24"/>
  <c r="I128" i="24"/>
  <c r="J128" i="24"/>
  <c r="K128" i="24"/>
  <c r="L128" i="24"/>
  <c r="M128" i="24"/>
  <c r="N128" i="24"/>
  <c r="O128" i="24"/>
  <c r="P128" i="24"/>
  <c r="Q128" i="24"/>
  <c r="R128" i="24"/>
  <c r="S128" i="24"/>
  <c r="T128" i="24"/>
  <c r="U128" i="24"/>
  <c r="V128" i="24"/>
  <c r="W128" i="24"/>
  <c r="X128" i="24"/>
  <c r="Y128" i="24"/>
  <c r="B129" i="24"/>
  <c r="G129" i="24"/>
  <c r="H129" i="24"/>
  <c r="I129" i="24"/>
  <c r="J129" i="24"/>
  <c r="K129" i="24"/>
  <c r="L129" i="24"/>
  <c r="M129" i="24"/>
  <c r="N129" i="24"/>
  <c r="O129" i="24"/>
  <c r="P129" i="24"/>
  <c r="Q129" i="24"/>
  <c r="R129" i="24"/>
  <c r="S129" i="24"/>
  <c r="T129" i="24"/>
  <c r="U129" i="24"/>
  <c r="V129" i="24"/>
  <c r="W129" i="24"/>
  <c r="X129" i="24"/>
  <c r="Y129" i="24"/>
  <c r="B130" i="24"/>
  <c r="G130" i="24"/>
  <c r="H130" i="24"/>
  <c r="I130" i="24"/>
  <c r="J130" i="24"/>
  <c r="K130" i="24"/>
  <c r="L130" i="24"/>
  <c r="M130" i="24"/>
  <c r="N130" i="24"/>
  <c r="O130" i="24"/>
  <c r="P130" i="24"/>
  <c r="Q130" i="24"/>
  <c r="R130" i="24"/>
  <c r="S130" i="24"/>
  <c r="T130" i="24"/>
  <c r="U130" i="24"/>
  <c r="V130" i="24"/>
  <c r="W130" i="24"/>
  <c r="X130" i="24"/>
  <c r="Y130" i="24"/>
  <c r="B131" i="24"/>
  <c r="G131" i="24"/>
  <c r="H131" i="24"/>
  <c r="I131" i="24"/>
  <c r="J131" i="24"/>
  <c r="K131" i="24"/>
  <c r="L131" i="24"/>
  <c r="M131" i="24"/>
  <c r="N131" i="24"/>
  <c r="O131" i="24"/>
  <c r="P131" i="24"/>
  <c r="Q131" i="24"/>
  <c r="R131" i="24"/>
  <c r="S131" i="24"/>
  <c r="T131" i="24"/>
  <c r="U131" i="24"/>
  <c r="V131" i="24"/>
  <c r="W131" i="24"/>
  <c r="X131" i="24"/>
  <c r="Y131" i="24"/>
  <c r="B132" i="24"/>
  <c r="G132" i="24"/>
  <c r="H132" i="24"/>
  <c r="I132" i="24"/>
  <c r="J132" i="24"/>
  <c r="K132" i="24"/>
  <c r="L132" i="24"/>
  <c r="M132" i="24"/>
  <c r="N132" i="24"/>
  <c r="O132" i="24"/>
  <c r="P132" i="24"/>
  <c r="Q132" i="24"/>
  <c r="R132" i="24"/>
  <c r="S132" i="24"/>
  <c r="T132" i="24"/>
  <c r="U132" i="24"/>
  <c r="V132" i="24"/>
  <c r="W132" i="24"/>
  <c r="X132" i="24"/>
  <c r="Y132" i="24"/>
  <c r="B133" i="24"/>
  <c r="G133" i="24"/>
  <c r="H133" i="24"/>
  <c r="I133" i="24"/>
  <c r="J133" i="24"/>
  <c r="K133" i="24"/>
  <c r="L133" i="24"/>
  <c r="M133" i="24"/>
  <c r="N133" i="24"/>
  <c r="O133" i="24"/>
  <c r="P133" i="24"/>
  <c r="Q133" i="24"/>
  <c r="R133" i="24"/>
  <c r="S133" i="24"/>
  <c r="T133" i="24"/>
  <c r="U133" i="24"/>
  <c r="V133" i="24"/>
  <c r="W133" i="24"/>
  <c r="X133" i="24"/>
  <c r="Y133" i="24"/>
  <c r="B134" i="24"/>
  <c r="G134" i="24"/>
  <c r="H134" i="24"/>
  <c r="I134" i="24"/>
  <c r="J134" i="24"/>
  <c r="K134" i="24"/>
  <c r="L134" i="24"/>
  <c r="M134" i="24"/>
  <c r="N134" i="24"/>
  <c r="O134" i="24"/>
  <c r="P134" i="24"/>
  <c r="Q134" i="24"/>
  <c r="R134" i="24"/>
  <c r="S134" i="24"/>
  <c r="T134" i="24"/>
  <c r="U134" i="24"/>
  <c r="V134" i="24"/>
  <c r="W134" i="24"/>
  <c r="X134" i="24"/>
  <c r="Y134" i="24"/>
  <c r="B135" i="24"/>
  <c r="G135" i="24"/>
  <c r="H135" i="24"/>
  <c r="I135" i="24"/>
  <c r="J135" i="24"/>
  <c r="K135" i="24"/>
  <c r="L135" i="24"/>
  <c r="M135" i="24"/>
  <c r="N135" i="24"/>
  <c r="O135" i="24"/>
  <c r="P135" i="24"/>
  <c r="Q135" i="24"/>
  <c r="R135" i="24"/>
  <c r="S135" i="24"/>
  <c r="T135" i="24"/>
  <c r="U135" i="24"/>
  <c r="V135" i="24"/>
  <c r="W135" i="24"/>
  <c r="X135" i="24"/>
  <c r="Y135" i="24"/>
  <c r="B136" i="24"/>
  <c r="G136" i="24"/>
  <c r="H136" i="24"/>
  <c r="I136" i="24"/>
  <c r="J136" i="24"/>
  <c r="K136" i="24"/>
  <c r="L136" i="24"/>
  <c r="M136" i="24"/>
  <c r="N136" i="24"/>
  <c r="O136" i="24"/>
  <c r="P136" i="24"/>
  <c r="Q136" i="24"/>
  <c r="R136" i="24"/>
  <c r="S136" i="24"/>
  <c r="T136" i="24"/>
  <c r="U136" i="24"/>
  <c r="V136" i="24"/>
  <c r="W136" i="24"/>
  <c r="X136" i="24"/>
  <c r="Y136" i="24"/>
  <c r="B137" i="24"/>
  <c r="G137" i="24"/>
  <c r="H137" i="24"/>
  <c r="I137" i="24"/>
  <c r="J137" i="24"/>
  <c r="K137" i="24"/>
  <c r="L137" i="24"/>
  <c r="M137" i="24"/>
  <c r="N137" i="24"/>
  <c r="O137" i="24"/>
  <c r="P137" i="24"/>
  <c r="Q137" i="24"/>
  <c r="R137" i="24"/>
  <c r="S137" i="24"/>
  <c r="T137" i="24"/>
  <c r="U137" i="24"/>
  <c r="V137" i="24"/>
  <c r="W137" i="24"/>
  <c r="X137" i="24"/>
  <c r="Y137" i="24"/>
  <c r="B138" i="24"/>
  <c r="G138" i="24"/>
  <c r="H138" i="24"/>
  <c r="I138" i="24"/>
  <c r="J138" i="24"/>
  <c r="K138" i="24"/>
  <c r="L138" i="24"/>
  <c r="M138" i="24"/>
  <c r="N138" i="24"/>
  <c r="O138" i="24"/>
  <c r="P138" i="24"/>
  <c r="Q138" i="24"/>
  <c r="R138" i="24"/>
  <c r="S138" i="24"/>
  <c r="T138" i="24"/>
  <c r="U138" i="24"/>
  <c r="V138" i="24"/>
  <c r="W138" i="24"/>
  <c r="X138" i="24"/>
  <c r="Y138" i="24"/>
  <c r="B139" i="24"/>
  <c r="G139" i="24"/>
  <c r="H139" i="24"/>
  <c r="I139" i="24"/>
  <c r="J139" i="24"/>
  <c r="K139" i="24"/>
  <c r="L139" i="24"/>
  <c r="M139" i="24"/>
  <c r="N139" i="24"/>
  <c r="O139" i="24"/>
  <c r="P139" i="24"/>
  <c r="Q139" i="24"/>
  <c r="R139" i="24"/>
  <c r="S139" i="24"/>
  <c r="T139" i="24"/>
  <c r="U139" i="24"/>
  <c r="V139" i="24"/>
  <c r="W139" i="24"/>
  <c r="X139" i="24"/>
  <c r="Y139" i="24"/>
  <c r="B140" i="24"/>
  <c r="G140" i="24"/>
  <c r="H140" i="24"/>
  <c r="I140" i="24"/>
  <c r="J140" i="24"/>
  <c r="K140" i="24"/>
  <c r="L140" i="24"/>
  <c r="M140" i="24"/>
  <c r="N140" i="24"/>
  <c r="O140" i="24"/>
  <c r="P140" i="24"/>
  <c r="Q140" i="24"/>
  <c r="R140" i="24"/>
  <c r="S140" i="24"/>
  <c r="T140" i="24"/>
  <c r="U140" i="24"/>
  <c r="V140" i="24"/>
  <c r="W140" i="24"/>
  <c r="X140" i="24"/>
  <c r="Y140" i="24"/>
  <c r="B141" i="24"/>
  <c r="G141" i="24"/>
  <c r="H141" i="24"/>
  <c r="I141" i="24"/>
  <c r="J141" i="24"/>
  <c r="K141" i="24"/>
  <c r="L141" i="24"/>
  <c r="M141" i="24"/>
  <c r="N141" i="24"/>
  <c r="O141" i="24"/>
  <c r="P141" i="24"/>
  <c r="Q141" i="24"/>
  <c r="R141" i="24"/>
  <c r="S141" i="24"/>
  <c r="T141" i="24"/>
  <c r="U141" i="24"/>
  <c r="V141" i="24"/>
  <c r="W141" i="24"/>
  <c r="X141" i="24"/>
  <c r="Y141" i="24"/>
  <c r="B142" i="24"/>
  <c r="G142" i="24"/>
  <c r="H142" i="24"/>
  <c r="I142" i="24"/>
  <c r="J142" i="24"/>
  <c r="K142" i="24"/>
  <c r="L142" i="24"/>
  <c r="M142" i="24"/>
  <c r="N142" i="24"/>
  <c r="O142" i="24"/>
  <c r="P142" i="24"/>
  <c r="Q142" i="24"/>
  <c r="R142" i="24"/>
  <c r="S142" i="24"/>
  <c r="T142" i="24"/>
  <c r="U142" i="24"/>
  <c r="V142" i="24"/>
  <c r="W142" i="24"/>
  <c r="X142" i="24"/>
  <c r="Y142" i="24"/>
  <c r="B143" i="24"/>
  <c r="G143" i="24"/>
  <c r="H143" i="24"/>
  <c r="I143" i="24"/>
  <c r="J143" i="24"/>
  <c r="K143" i="24"/>
  <c r="L143" i="24"/>
  <c r="M143" i="24"/>
  <c r="N143" i="24"/>
  <c r="O143" i="24"/>
  <c r="P143" i="24"/>
  <c r="Q143" i="24"/>
  <c r="R143" i="24"/>
  <c r="S143" i="24"/>
  <c r="T143" i="24"/>
  <c r="U143" i="24"/>
  <c r="V143" i="24"/>
  <c r="W143" i="24"/>
  <c r="X143" i="24"/>
  <c r="Y143" i="24"/>
  <c r="B144" i="24"/>
  <c r="G144" i="24"/>
  <c r="H144" i="24"/>
  <c r="I144" i="24"/>
  <c r="J144" i="24"/>
  <c r="K144" i="24"/>
  <c r="L144" i="24"/>
  <c r="M144" i="24"/>
  <c r="N144" i="24"/>
  <c r="O144" i="24"/>
  <c r="P144" i="24"/>
  <c r="Q144" i="24"/>
  <c r="R144" i="24"/>
  <c r="S144" i="24"/>
  <c r="T144" i="24"/>
  <c r="U144" i="24"/>
  <c r="V144" i="24"/>
  <c r="W144" i="24"/>
  <c r="X144" i="24"/>
  <c r="Y144" i="24"/>
  <c r="B145" i="24"/>
  <c r="G145" i="24"/>
  <c r="H145" i="24"/>
  <c r="I145" i="24"/>
  <c r="J145" i="24"/>
  <c r="K145" i="24"/>
  <c r="L145" i="24"/>
  <c r="M145" i="24"/>
  <c r="N145" i="24"/>
  <c r="O145" i="24"/>
  <c r="P145" i="24"/>
  <c r="Q145" i="24"/>
  <c r="R145" i="24"/>
  <c r="S145" i="24"/>
  <c r="T145" i="24"/>
  <c r="U145" i="24"/>
  <c r="V145" i="24"/>
  <c r="W145" i="24"/>
  <c r="X145" i="24"/>
  <c r="Y145" i="24"/>
  <c r="B146" i="24"/>
  <c r="G146" i="24"/>
  <c r="H146" i="24"/>
  <c r="I146" i="24"/>
  <c r="J146" i="24"/>
  <c r="K146" i="24"/>
  <c r="L146" i="24"/>
  <c r="M146" i="24"/>
  <c r="N146" i="24"/>
  <c r="O146" i="24"/>
  <c r="P146" i="24"/>
  <c r="Q146" i="24"/>
  <c r="R146" i="24"/>
  <c r="S146" i="24"/>
  <c r="T146" i="24"/>
  <c r="U146" i="24"/>
  <c r="V146" i="24"/>
  <c r="W146" i="24"/>
  <c r="X146" i="24"/>
  <c r="Y146" i="24"/>
  <c r="B147" i="24"/>
  <c r="G147" i="24"/>
  <c r="H147" i="24"/>
  <c r="I147" i="24"/>
  <c r="J147" i="24"/>
  <c r="K147" i="24"/>
  <c r="L147" i="24"/>
  <c r="M147" i="24"/>
  <c r="N147" i="24"/>
  <c r="O147" i="24"/>
  <c r="P147" i="24"/>
  <c r="Q147" i="24"/>
  <c r="R147" i="24"/>
  <c r="S147" i="24"/>
  <c r="T147" i="24"/>
  <c r="U147" i="24"/>
  <c r="V147" i="24"/>
  <c r="W147" i="24"/>
  <c r="X147" i="24"/>
  <c r="Y147" i="24"/>
  <c r="B148" i="24"/>
  <c r="G148" i="24"/>
  <c r="H148" i="24"/>
  <c r="I148" i="24"/>
  <c r="J148" i="24"/>
  <c r="K148" i="24"/>
  <c r="L148" i="24"/>
  <c r="M148" i="24"/>
  <c r="N148" i="24"/>
  <c r="O148" i="24"/>
  <c r="P148" i="24"/>
  <c r="Q148" i="24"/>
  <c r="R148" i="24"/>
  <c r="S148" i="24"/>
  <c r="T148" i="24"/>
  <c r="U148" i="24"/>
  <c r="V148" i="24"/>
  <c r="W148" i="24"/>
  <c r="X148" i="24"/>
  <c r="Y148" i="24"/>
  <c r="B149" i="24"/>
  <c r="G149" i="24"/>
  <c r="H149" i="24"/>
  <c r="I149" i="24"/>
  <c r="J149" i="24"/>
  <c r="K149" i="24"/>
  <c r="L149" i="24"/>
  <c r="M149" i="24"/>
  <c r="N149" i="24"/>
  <c r="O149" i="24"/>
  <c r="P149" i="24"/>
  <c r="Q149" i="24"/>
  <c r="R149" i="24"/>
  <c r="S149" i="24"/>
  <c r="T149" i="24"/>
  <c r="U149" i="24"/>
  <c r="V149" i="24"/>
  <c r="W149" i="24"/>
  <c r="X149" i="24"/>
  <c r="Y149" i="24"/>
  <c r="B150" i="24"/>
  <c r="G150" i="24"/>
  <c r="H150" i="24"/>
  <c r="I150" i="24"/>
  <c r="J150" i="24"/>
  <c r="K150" i="24"/>
  <c r="L150" i="24"/>
  <c r="M150" i="24"/>
  <c r="N150" i="24"/>
  <c r="O150" i="24"/>
  <c r="P150" i="24"/>
  <c r="Q150" i="24"/>
  <c r="R150" i="24"/>
  <c r="S150" i="24"/>
  <c r="T150" i="24"/>
  <c r="U150" i="24"/>
  <c r="V150" i="24"/>
  <c r="W150" i="24"/>
  <c r="X150" i="24"/>
  <c r="Y150" i="24"/>
  <c r="B151" i="24"/>
  <c r="G151" i="24"/>
  <c r="H151" i="24"/>
  <c r="I151" i="24"/>
  <c r="J151" i="24"/>
  <c r="K151" i="24"/>
  <c r="L151" i="24"/>
  <c r="M151" i="24"/>
  <c r="N151" i="24"/>
  <c r="O151" i="24"/>
  <c r="P151" i="24"/>
  <c r="Q151" i="24"/>
  <c r="R151" i="24"/>
  <c r="S151" i="24"/>
  <c r="T151" i="24"/>
  <c r="U151" i="24"/>
  <c r="V151" i="24"/>
  <c r="W151" i="24"/>
  <c r="X151" i="24"/>
  <c r="Y151" i="24"/>
  <c r="B152" i="24"/>
  <c r="G152" i="24"/>
  <c r="H152" i="24"/>
  <c r="I152" i="24"/>
  <c r="J152" i="24"/>
  <c r="K152" i="24"/>
  <c r="L152" i="24"/>
  <c r="M152" i="24"/>
  <c r="N152" i="24"/>
  <c r="O152" i="24"/>
  <c r="P152" i="24"/>
  <c r="Q152" i="24"/>
  <c r="R152" i="24"/>
  <c r="S152" i="24"/>
  <c r="T152" i="24"/>
  <c r="U152" i="24"/>
  <c r="V152" i="24"/>
  <c r="W152" i="24"/>
  <c r="X152" i="24"/>
  <c r="Y152" i="24"/>
  <c r="B153" i="24"/>
  <c r="G153" i="24"/>
  <c r="H153" i="24"/>
  <c r="I153" i="24"/>
  <c r="J153" i="24"/>
  <c r="K153" i="24"/>
  <c r="L153" i="24"/>
  <c r="M153" i="24"/>
  <c r="N153" i="24"/>
  <c r="O153" i="24"/>
  <c r="P153" i="24"/>
  <c r="Q153" i="24"/>
  <c r="R153" i="24"/>
  <c r="S153" i="24"/>
  <c r="T153" i="24"/>
  <c r="U153" i="24"/>
  <c r="V153" i="24"/>
  <c r="W153" i="24"/>
  <c r="X153" i="24"/>
  <c r="Y153" i="24"/>
  <c r="B154" i="24"/>
  <c r="G154" i="24"/>
  <c r="H154" i="24"/>
  <c r="I154" i="24"/>
  <c r="J154" i="24"/>
  <c r="K154" i="24"/>
  <c r="L154" i="24"/>
  <c r="M154" i="24"/>
  <c r="N154" i="24"/>
  <c r="O154" i="24"/>
  <c r="P154" i="24"/>
  <c r="Q154" i="24"/>
  <c r="R154" i="24"/>
  <c r="S154" i="24"/>
  <c r="T154" i="24"/>
  <c r="U154" i="24"/>
  <c r="V154" i="24"/>
  <c r="W154" i="24"/>
  <c r="X154" i="24"/>
  <c r="Y154" i="24"/>
  <c r="B155" i="24"/>
  <c r="G155" i="24"/>
  <c r="H155" i="24"/>
  <c r="I155" i="24"/>
  <c r="J155" i="24"/>
  <c r="K155" i="24"/>
  <c r="L155" i="24"/>
  <c r="M155" i="24"/>
  <c r="N155" i="24"/>
  <c r="O155" i="24"/>
  <c r="P155" i="24"/>
  <c r="Q155" i="24"/>
  <c r="R155" i="24"/>
  <c r="S155" i="24"/>
  <c r="T155" i="24"/>
  <c r="U155" i="24"/>
  <c r="V155" i="24"/>
  <c r="W155" i="24"/>
  <c r="X155" i="24"/>
  <c r="Y155" i="24"/>
  <c r="B156" i="24"/>
  <c r="G156" i="24"/>
  <c r="H156" i="24"/>
  <c r="I156" i="24"/>
  <c r="J156" i="24"/>
  <c r="K156" i="24"/>
  <c r="L156" i="24"/>
  <c r="M156" i="24"/>
  <c r="N156" i="24"/>
  <c r="O156" i="24"/>
  <c r="P156" i="24"/>
  <c r="Q156" i="24"/>
  <c r="R156" i="24"/>
  <c r="S156" i="24"/>
  <c r="T156" i="24"/>
  <c r="U156" i="24"/>
  <c r="V156" i="24"/>
  <c r="W156" i="24"/>
  <c r="X156" i="24"/>
  <c r="Y156" i="24"/>
  <c r="B157" i="24"/>
  <c r="G157" i="24"/>
  <c r="H157" i="24"/>
  <c r="I157" i="24"/>
  <c r="J157" i="24"/>
  <c r="K157" i="24"/>
  <c r="L157" i="24"/>
  <c r="M157" i="24"/>
  <c r="N157" i="24"/>
  <c r="O157" i="24"/>
  <c r="P157" i="24"/>
  <c r="Q157" i="24"/>
  <c r="R157" i="24"/>
  <c r="S157" i="24"/>
  <c r="T157" i="24"/>
  <c r="U157" i="24"/>
  <c r="V157" i="24"/>
  <c r="W157" i="24"/>
  <c r="X157" i="24"/>
  <c r="Y157" i="24"/>
  <c r="B158" i="24"/>
  <c r="G158" i="24"/>
  <c r="H158" i="24"/>
  <c r="I158" i="24"/>
  <c r="J158" i="24"/>
  <c r="K158" i="24"/>
  <c r="L158" i="24"/>
  <c r="M158" i="24"/>
  <c r="N158" i="24"/>
  <c r="O158" i="24"/>
  <c r="P158" i="24"/>
  <c r="Q158" i="24"/>
  <c r="R158" i="24"/>
  <c r="S158" i="24"/>
  <c r="T158" i="24"/>
  <c r="U158" i="24"/>
  <c r="V158" i="24"/>
  <c r="W158" i="24"/>
  <c r="X158" i="24"/>
  <c r="Y158" i="24"/>
  <c r="B159" i="24"/>
  <c r="G159" i="24"/>
  <c r="H159" i="24"/>
  <c r="I159" i="24"/>
  <c r="J159" i="24"/>
  <c r="K159" i="24"/>
  <c r="L159" i="24"/>
  <c r="M159" i="24"/>
  <c r="N159" i="24"/>
  <c r="O159" i="24"/>
  <c r="P159" i="24"/>
  <c r="Q159" i="24"/>
  <c r="R159" i="24"/>
  <c r="S159" i="24"/>
  <c r="T159" i="24"/>
  <c r="U159" i="24"/>
  <c r="V159" i="24"/>
  <c r="W159" i="24"/>
  <c r="X159" i="24"/>
  <c r="Y159" i="24"/>
  <c r="B160" i="24"/>
  <c r="G160" i="24"/>
  <c r="H160" i="24"/>
  <c r="I160" i="24"/>
  <c r="J160" i="24"/>
  <c r="K160" i="24"/>
  <c r="L160" i="24"/>
  <c r="M160" i="24"/>
  <c r="N160" i="24"/>
  <c r="O160" i="24"/>
  <c r="P160" i="24"/>
  <c r="Q160" i="24"/>
  <c r="R160" i="24"/>
  <c r="S160" i="24"/>
  <c r="T160" i="24"/>
  <c r="U160" i="24"/>
  <c r="V160" i="24"/>
  <c r="W160" i="24"/>
  <c r="X160" i="24"/>
  <c r="Y160" i="24"/>
  <c r="B161" i="24"/>
  <c r="G161" i="24"/>
  <c r="H161" i="24"/>
  <c r="I161" i="24"/>
  <c r="J161" i="24"/>
  <c r="K161" i="24"/>
  <c r="L161" i="24"/>
  <c r="M161" i="24"/>
  <c r="N161" i="24"/>
  <c r="O161" i="24"/>
  <c r="P161" i="24"/>
  <c r="Q161" i="24"/>
  <c r="R161" i="24"/>
  <c r="S161" i="24"/>
  <c r="T161" i="24"/>
  <c r="U161" i="24"/>
  <c r="V161" i="24"/>
  <c r="W161" i="24"/>
  <c r="X161" i="24"/>
  <c r="Y161" i="24"/>
  <c r="B162" i="24"/>
  <c r="G162" i="24"/>
  <c r="H162" i="24"/>
  <c r="I162" i="24"/>
  <c r="J162" i="24"/>
  <c r="K162" i="24"/>
  <c r="L162" i="24"/>
  <c r="M162" i="24"/>
  <c r="N162" i="24"/>
  <c r="O162" i="24"/>
  <c r="P162" i="24"/>
  <c r="Q162" i="24"/>
  <c r="R162" i="24"/>
  <c r="S162" i="24"/>
  <c r="T162" i="24"/>
  <c r="U162" i="24"/>
  <c r="V162" i="24"/>
  <c r="W162" i="24"/>
  <c r="X162" i="24"/>
  <c r="Y162" i="24"/>
  <c r="B163" i="24"/>
  <c r="G163" i="24"/>
  <c r="H163" i="24"/>
  <c r="I163" i="24"/>
  <c r="J163" i="24"/>
  <c r="K163" i="24"/>
  <c r="L163" i="24"/>
  <c r="M163" i="24"/>
  <c r="N163" i="24"/>
  <c r="O163" i="24"/>
  <c r="P163" i="24"/>
  <c r="Q163" i="24"/>
  <c r="R163" i="24"/>
  <c r="S163" i="24"/>
  <c r="T163" i="24"/>
  <c r="U163" i="24"/>
  <c r="V163" i="24"/>
  <c r="W163" i="24"/>
  <c r="X163" i="24"/>
  <c r="Y163" i="24"/>
  <c r="B164" i="24"/>
  <c r="G164" i="24"/>
  <c r="H164" i="24"/>
  <c r="I164" i="24"/>
  <c r="J164" i="24"/>
  <c r="K164" i="24"/>
  <c r="L164" i="24"/>
  <c r="M164" i="24"/>
  <c r="N164" i="24"/>
  <c r="O164" i="24"/>
  <c r="P164" i="24"/>
  <c r="Q164" i="24"/>
  <c r="R164" i="24"/>
  <c r="S164" i="24"/>
  <c r="T164" i="24"/>
  <c r="U164" i="24"/>
  <c r="V164" i="24"/>
  <c r="W164" i="24"/>
  <c r="X164" i="24"/>
  <c r="Y164" i="24"/>
  <c r="B165" i="24"/>
  <c r="G165" i="24"/>
  <c r="H165" i="24"/>
  <c r="I165" i="24"/>
  <c r="J165" i="24"/>
  <c r="K165" i="24"/>
  <c r="L165" i="24"/>
  <c r="M165" i="24"/>
  <c r="N165" i="24"/>
  <c r="O165" i="24"/>
  <c r="P165" i="24"/>
  <c r="Q165" i="24"/>
  <c r="R165" i="24"/>
  <c r="S165" i="24"/>
  <c r="T165" i="24"/>
  <c r="U165" i="24"/>
  <c r="V165" i="24"/>
  <c r="W165" i="24"/>
  <c r="X165" i="24"/>
  <c r="Y165" i="24"/>
  <c r="B166" i="24"/>
  <c r="G166" i="24"/>
  <c r="H166" i="24"/>
  <c r="I166" i="24"/>
  <c r="J166" i="24"/>
  <c r="K166" i="24"/>
  <c r="L166" i="24"/>
  <c r="M166" i="24"/>
  <c r="N166" i="24"/>
  <c r="O166" i="24"/>
  <c r="P166" i="24"/>
  <c r="Q166" i="24"/>
  <c r="R166" i="24"/>
  <c r="S166" i="24"/>
  <c r="T166" i="24"/>
  <c r="U166" i="24"/>
  <c r="V166" i="24"/>
  <c r="W166" i="24"/>
  <c r="X166" i="24"/>
  <c r="Y166" i="24"/>
  <c r="B167" i="24"/>
  <c r="G167" i="24"/>
  <c r="H167" i="24"/>
  <c r="I167" i="24"/>
  <c r="J167" i="24"/>
  <c r="K167" i="24"/>
  <c r="L167" i="24"/>
  <c r="M167" i="24"/>
  <c r="N167" i="24"/>
  <c r="O167" i="24"/>
  <c r="P167" i="24"/>
  <c r="Q167" i="24"/>
  <c r="R167" i="24"/>
  <c r="S167" i="24"/>
  <c r="T167" i="24"/>
  <c r="U167" i="24"/>
  <c r="V167" i="24"/>
  <c r="W167" i="24"/>
  <c r="X167" i="24"/>
  <c r="Y167" i="24"/>
  <c r="B168" i="24"/>
  <c r="G168" i="24"/>
  <c r="H168" i="24"/>
  <c r="I168" i="24"/>
  <c r="J168" i="24"/>
  <c r="K168" i="24"/>
  <c r="L168" i="24"/>
  <c r="M168" i="24"/>
  <c r="N168" i="24"/>
  <c r="O168" i="24"/>
  <c r="P168" i="24"/>
  <c r="Q168" i="24"/>
  <c r="R168" i="24"/>
  <c r="S168" i="24"/>
  <c r="T168" i="24"/>
  <c r="U168" i="24"/>
  <c r="V168" i="24"/>
  <c r="W168" i="24"/>
  <c r="X168" i="24"/>
  <c r="Y168" i="24"/>
  <c r="B169" i="24"/>
  <c r="G169" i="24"/>
  <c r="H169" i="24"/>
  <c r="I169" i="24"/>
  <c r="J169" i="24"/>
  <c r="K169" i="24"/>
  <c r="L169" i="24"/>
  <c r="M169" i="24"/>
  <c r="N169" i="24"/>
  <c r="O169" i="24"/>
  <c r="P169" i="24"/>
  <c r="Q169" i="24"/>
  <c r="R169" i="24"/>
  <c r="S169" i="24"/>
  <c r="T169" i="24"/>
  <c r="U169" i="24"/>
  <c r="V169" i="24"/>
  <c r="W169" i="24"/>
  <c r="X169" i="24"/>
  <c r="Y169" i="24"/>
  <c r="B170" i="24"/>
  <c r="G170" i="24"/>
  <c r="H170" i="24"/>
  <c r="I170" i="24"/>
  <c r="J170" i="24"/>
  <c r="K170" i="24"/>
  <c r="L170" i="24"/>
  <c r="M170" i="24"/>
  <c r="N170" i="24"/>
  <c r="O170" i="24"/>
  <c r="P170" i="24"/>
  <c r="Q170" i="24"/>
  <c r="R170" i="24"/>
  <c r="S170" i="24"/>
  <c r="T170" i="24"/>
  <c r="U170" i="24"/>
  <c r="V170" i="24"/>
  <c r="W170" i="24"/>
  <c r="X170" i="24"/>
  <c r="Y170" i="24"/>
  <c r="B171" i="24"/>
  <c r="G171" i="24"/>
  <c r="H171" i="24"/>
  <c r="I171" i="24"/>
  <c r="J171" i="24"/>
  <c r="K171" i="24"/>
  <c r="L171" i="24"/>
  <c r="M171" i="24"/>
  <c r="N171" i="24"/>
  <c r="O171" i="24"/>
  <c r="P171" i="24"/>
  <c r="Q171" i="24"/>
  <c r="R171" i="24"/>
  <c r="S171" i="24"/>
  <c r="T171" i="24"/>
  <c r="U171" i="24"/>
  <c r="V171" i="24"/>
  <c r="W171" i="24"/>
  <c r="X171" i="24"/>
  <c r="Y171" i="24"/>
  <c r="B172" i="24"/>
  <c r="G172" i="24"/>
  <c r="H172" i="24"/>
  <c r="I172" i="24"/>
  <c r="J172" i="24"/>
  <c r="K172" i="24"/>
  <c r="L172" i="24"/>
  <c r="M172" i="24"/>
  <c r="N172" i="24"/>
  <c r="O172" i="24"/>
  <c r="P172" i="24"/>
  <c r="Q172" i="24"/>
  <c r="R172" i="24"/>
  <c r="S172" i="24"/>
  <c r="T172" i="24"/>
  <c r="U172" i="24"/>
  <c r="V172" i="24"/>
  <c r="W172" i="24"/>
  <c r="X172" i="24"/>
  <c r="Y172" i="24"/>
  <c r="B173" i="24"/>
  <c r="G173" i="24"/>
  <c r="H173" i="24"/>
  <c r="I173" i="24"/>
  <c r="J173" i="24"/>
  <c r="K173" i="24"/>
  <c r="L173" i="24"/>
  <c r="M173" i="24"/>
  <c r="N173" i="24"/>
  <c r="O173" i="24"/>
  <c r="P173" i="24"/>
  <c r="Q173" i="24"/>
  <c r="R173" i="24"/>
  <c r="S173" i="24"/>
  <c r="T173" i="24"/>
  <c r="U173" i="24"/>
  <c r="V173" i="24"/>
  <c r="W173" i="24"/>
  <c r="X173" i="24"/>
  <c r="Y173" i="24"/>
  <c r="B174" i="24"/>
  <c r="G174" i="24"/>
  <c r="H174" i="24"/>
  <c r="I174" i="24"/>
  <c r="J174" i="24"/>
  <c r="K174" i="24"/>
  <c r="L174" i="24"/>
  <c r="M174" i="24"/>
  <c r="N174" i="24"/>
  <c r="O174" i="24"/>
  <c r="P174" i="24"/>
  <c r="Q174" i="24"/>
  <c r="R174" i="24"/>
  <c r="S174" i="24"/>
  <c r="T174" i="24"/>
  <c r="U174" i="24"/>
  <c r="V174" i="24"/>
  <c r="W174" i="24"/>
  <c r="X174" i="24"/>
  <c r="Y174" i="24"/>
  <c r="B175" i="24"/>
  <c r="G175" i="24"/>
  <c r="H175" i="24"/>
  <c r="I175" i="24"/>
  <c r="J175" i="24"/>
  <c r="K175" i="24"/>
  <c r="L175" i="24"/>
  <c r="M175" i="24"/>
  <c r="N175" i="24"/>
  <c r="O175" i="24"/>
  <c r="P175" i="24"/>
  <c r="Q175" i="24"/>
  <c r="R175" i="24"/>
  <c r="S175" i="24"/>
  <c r="T175" i="24"/>
  <c r="U175" i="24"/>
  <c r="V175" i="24"/>
  <c r="W175" i="24"/>
  <c r="X175" i="24"/>
  <c r="Y175" i="24"/>
  <c r="B176" i="24"/>
  <c r="G176" i="24"/>
  <c r="H176" i="24"/>
  <c r="I176" i="24"/>
  <c r="J176" i="24"/>
  <c r="K176" i="24"/>
  <c r="L176" i="24"/>
  <c r="M176" i="24"/>
  <c r="N176" i="24"/>
  <c r="O176" i="24"/>
  <c r="P176" i="24"/>
  <c r="Q176" i="24"/>
  <c r="R176" i="24"/>
  <c r="S176" i="24"/>
  <c r="T176" i="24"/>
  <c r="U176" i="24"/>
  <c r="V176" i="24"/>
  <c r="W176" i="24"/>
  <c r="X176" i="24"/>
  <c r="Y176" i="24"/>
  <c r="B177" i="24"/>
  <c r="G177" i="24"/>
  <c r="H177" i="24"/>
  <c r="I177" i="24"/>
  <c r="J177" i="24"/>
  <c r="K177" i="24"/>
  <c r="L177" i="24"/>
  <c r="M177" i="24"/>
  <c r="N177" i="24"/>
  <c r="O177" i="24"/>
  <c r="P177" i="24"/>
  <c r="Q177" i="24"/>
  <c r="R177" i="24"/>
  <c r="S177" i="24"/>
  <c r="T177" i="24"/>
  <c r="U177" i="24"/>
  <c r="V177" i="24"/>
  <c r="W177" i="24"/>
  <c r="X177" i="24"/>
  <c r="Y177" i="24"/>
  <c r="B178" i="24"/>
  <c r="G178" i="24"/>
  <c r="H178" i="24"/>
  <c r="I178" i="24"/>
  <c r="J178" i="24"/>
  <c r="K178" i="24"/>
  <c r="L178" i="24"/>
  <c r="M178" i="24"/>
  <c r="N178" i="24"/>
  <c r="O178" i="24"/>
  <c r="P178" i="24"/>
  <c r="Q178" i="24"/>
  <c r="R178" i="24"/>
  <c r="S178" i="24"/>
  <c r="T178" i="24"/>
  <c r="U178" i="24"/>
  <c r="V178" i="24"/>
  <c r="W178" i="24"/>
  <c r="X178" i="24"/>
  <c r="Y178" i="24"/>
  <c r="B179" i="24"/>
  <c r="G179" i="24"/>
  <c r="H179" i="24"/>
  <c r="I179" i="24"/>
  <c r="J179" i="24"/>
  <c r="K179" i="24"/>
  <c r="L179" i="24"/>
  <c r="M179" i="24"/>
  <c r="N179" i="24"/>
  <c r="O179" i="24"/>
  <c r="P179" i="24"/>
  <c r="Q179" i="24"/>
  <c r="R179" i="24"/>
  <c r="S179" i="24"/>
  <c r="T179" i="24"/>
  <c r="U179" i="24"/>
  <c r="V179" i="24"/>
  <c r="W179" i="24"/>
  <c r="X179" i="24"/>
  <c r="Y179" i="24"/>
  <c r="B180" i="24"/>
  <c r="G180" i="24"/>
  <c r="H180" i="24"/>
  <c r="I180" i="24"/>
  <c r="J180" i="24"/>
  <c r="K180" i="24"/>
  <c r="L180" i="24"/>
  <c r="M180" i="24"/>
  <c r="N180" i="24"/>
  <c r="O180" i="24"/>
  <c r="P180" i="24"/>
  <c r="Q180" i="24"/>
  <c r="R180" i="24"/>
  <c r="S180" i="24"/>
  <c r="T180" i="24"/>
  <c r="U180" i="24"/>
  <c r="V180" i="24"/>
  <c r="W180" i="24"/>
  <c r="X180" i="24"/>
  <c r="Y180" i="24"/>
  <c r="B181" i="24"/>
  <c r="G181" i="24"/>
  <c r="H181" i="24"/>
  <c r="I181" i="24"/>
  <c r="J181" i="24"/>
  <c r="K181" i="24"/>
  <c r="L181" i="24"/>
  <c r="M181" i="24"/>
  <c r="N181" i="24"/>
  <c r="O181" i="24"/>
  <c r="P181" i="24"/>
  <c r="Q181" i="24"/>
  <c r="R181" i="24"/>
  <c r="S181" i="24"/>
  <c r="T181" i="24"/>
  <c r="U181" i="24"/>
  <c r="V181" i="24"/>
  <c r="W181" i="24"/>
  <c r="X181" i="24"/>
  <c r="Y181" i="24"/>
  <c r="B182" i="24"/>
  <c r="G182" i="24"/>
  <c r="H182" i="24"/>
  <c r="I182" i="24"/>
  <c r="J182" i="24"/>
  <c r="K182" i="24"/>
  <c r="L182" i="24"/>
  <c r="M182" i="24"/>
  <c r="N182" i="24"/>
  <c r="O182" i="24"/>
  <c r="P182" i="24"/>
  <c r="Q182" i="24"/>
  <c r="R182" i="24"/>
  <c r="S182" i="24"/>
  <c r="T182" i="24"/>
  <c r="U182" i="24"/>
  <c r="V182" i="24"/>
  <c r="W182" i="24"/>
  <c r="X182" i="24"/>
  <c r="Y182" i="24"/>
  <c r="B183" i="24"/>
  <c r="G183" i="24"/>
  <c r="H183" i="24"/>
  <c r="I183" i="24"/>
  <c r="J183" i="24"/>
  <c r="K183" i="24"/>
  <c r="L183" i="24"/>
  <c r="M183" i="24"/>
  <c r="N183" i="24"/>
  <c r="O183" i="24"/>
  <c r="P183" i="24"/>
  <c r="Q183" i="24"/>
  <c r="R183" i="24"/>
  <c r="S183" i="24"/>
  <c r="T183" i="24"/>
  <c r="U183" i="24"/>
  <c r="V183" i="24"/>
  <c r="W183" i="24"/>
  <c r="X183" i="24"/>
  <c r="Y183" i="24"/>
  <c r="B184" i="24"/>
  <c r="G184" i="24"/>
  <c r="H184" i="24"/>
  <c r="I184" i="24"/>
  <c r="J184" i="24"/>
  <c r="K184" i="24"/>
  <c r="L184" i="24"/>
  <c r="M184" i="24"/>
  <c r="N184" i="24"/>
  <c r="O184" i="24"/>
  <c r="P184" i="24"/>
  <c r="Q184" i="24"/>
  <c r="R184" i="24"/>
  <c r="S184" i="24"/>
  <c r="T184" i="24"/>
  <c r="U184" i="24"/>
  <c r="V184" i="24"/>
  <c r="W184" i="24"/>
  <c r="X184" i="24"/>
  <c r="Y184" i="24"/>
  <c r="B185" i="24"/>
  <c r="G185" i="24"/>
  <c r="H185" i="24"/>
  <c r="I185" i="24"/>
  <c r="J185" i="24"/>
  <c r="K185" i="24"/>
  <c r="L185" i="24"/>
  <c r="M185" i="24"/>
  <c r="N185" i="24"/>
  <c r="O185" i="24"/>
  <c r="P185" i="24"/>
  <c r="Q185" i="24"/>
  <c r="R185" i="24"/>
  <c r="S185" i="24"/>
  <c r="T185" i="24"/>
  <c r="U185" i="24"/>
  <c r="V185" i="24"/>
  <c r="W185" i="24"/>
  <c r="X185" i="24"/>
  <c r="Y185" i="24"/>
  <c r="B186" i="24"/>
  <c r="G186" i="24"/>
  <c r="H186" i="24"/>
  <c r="I186" i="24"/>
  <c r="J186" i="24"/>
  <c r="K186" i="24"/>
  <c r="L186" i="24"/>
  <c r="M186" i="24"/>
  <c r="N186" i="24"/>
  <c r="O186" i="24"/>
  <c r="P186" i="24"/>
  <c r="Q186" i="24"/>
  <c r="R186" i="24"/>
  <c r="S186" i="24"/>
  <c r="T186" i="24"/>
  <c r="U186" i="24"/>
  <c r="V186" i="24"/>
  <c r="W186" i="24"/>
  <c r="X186" i="24"/>
  <c r="Y186" i="24"/>
  <c r="B187" i="24"/>
  <c r="G187" i="24"/>
  <c r="H187" i="24"/>
  <c r="I187" i="24"/>
  <c r="J187" i="24"/>
  <c r="K187" i="24"/>
  <c r="L187" i="24"/>
  <c r="M187" i="24"/>
  <c r="N187" i="24"/>
  <c r="O187" i="24"/>
  <c r="P187" i="24"/>
  <c r="Q187" i="24"/>
  <c r="R187" i="24"/>
  <c r="S187" i="24"/>
  <c r="T187" i="24"/>
  <c r="U187" i="24"/>
  <c r="V187" i="24"/>
  <c r="W187" i="24"/>
  <c r="X187" i="24"/>
  <c r="Y187" i="24"/>
  <c r="B188" i="24"/>
  <c r="G188" i="24"/>
  <c r="H188" i="24"/>
  <c r="I188" i="24"/>
  <c r="J188" i="24"/>
  <c r="K188" i="24"/>
  <c r="L188" i="24"/>
  <c r="M188" i="24"/>
  <c r="N188" i="24"/>
  <c r="O188" i="24"/>
  <c r="P188" i="24"/>
  <c r="Q188" i="24"/>
  <c r="R188" i="24"/>
  <c r="S188" i="24"/>
  <c r="T188" i="24"/>
  <c r="U188" i="24"/>
  <c r="V188" i="24"/>
  <c r="W188" i="24"/>
  <c r="X188" i="24"/>
  <c r="Y188" i="24"/>
  <c r="B189" i="24"/>
  <c r="G189" i="24"/>
  <c r="H189" i="24"/>
  <c r="I189" i="24"/>
  <c r="J189" i="24"/>
  <c r="K189" i="24"/>
  <c r="L189" i="24"/>
  <c r="M189" i="24"/>
  <c r="N189" i="24"/>
  <c r="O189" i="24"/>
  <c r="P189" i="24"/>
  <c r="Q189" i="24"/>
  <c r="R189" i="24"/>
  <c r="S189" i="24"/>
  <c r="T189" i="24"/>
  <c r="U189" i="24"/>
  <c r="V189" i="24"/>
  <c r="W189" i="24"/>
  <c r="X189" i="24"/>
  <c r="Y189" i="24"/>
  <c r="B190" i="24"/>
  <c r="G190" i="24"/>
  <c r="H190" i="24"/>
  <c r="I190" i="24"/>
  <c r="J190" i="24"/>
  <c r="K190" i="24"/>
  <c r="L190" i="24"/>
  <c r="M190" i="24"/>
  <c r="N190" i="24"/>
  <c r="O190" i="24"/>
  <c r="P190" i="24"/>
  <c r="Q190" i="24"/>
  <c r="R190" i="24"/>
  <c r="S190" i="24"/>
  <c r="T190" i="24"/>
  <c r="U190" i="24"/>
  <c r="V190" i="24"/>
  <c r="W190" i="24"/>
  <c r="X190" i="24"/>
  <c r="Y190" i="24"/>
  <c r="B191" i="24"/>
  <c r="G191" i="24"/>
  <c r="H191" i="24"/>
  <c r="I191" i="24"/>
  <c r="J191" i="24"/>
  <c r="K191" i="24"/>
  <c r="L191" i="24"/>
  <c r="M191" i="24"/>
  <c r="N191" i="24"/>
  <c r="O191" i="24"/>
  <c r="P191" i="24"/>
  <c r="Q191" i="24"/>
  <c r="R191" i="24"/>
  <c r="S191" i="24"/>
  <c r="T191" i="24"/>
  <c r="U191" i="24"/>
  <c r="V191" i="24"/>
  <c r="W191" i="24"/>
  <c r="X191" i="24"/>
  <c r="Y191" i="24"/>
  <c r="B192" i="24"/>
  <c r="G192" i="24"/>
  <c r="H192" i="24"/>
  <c r="I192" i="24"/>
  <c r="J192" i="24"/>
  <c r="K192" i="24"/>
  <c r="L192" i="24"/>
  <c r="M192" i="24"/>
  <c r="N192" i="24"/>
  <c r="O192" i="24"/>
  <c r="P192" i="24"/>
  <c r="Q192" i="24"/>
  <c r="R192" i="24"/>
  <c r="S192" i="24"/>
  <c r="T192" i="24"/>
  <c r="U192" i="24"/>
  <c r="V192" i="24"/>
  <c r="W192" i="24"/>
  <c r="X192" i="24"/>
  <c r="Y192" i="24"/>
  <c r="B193" i="24"/>
  <c r="G193" i="24"/>
  <c r="H193" i="24"/>
  <c r="I193" i="24"/>
  <c r="J193" i="24"/>
  <c r="K193" i="24"/>
  <c r="L193" i="24"/>
  <c r="M193" i="24"/>
  <c r="N193" i="24"/>
  <c r="O193" i="24"/>
  <c r="P193" i="24"/>
  <c r="Q193" i="24"/>
  <c r="R193" i="24"/>
  <c r="S193" i="24"/>
  <c r="T193" i="24"/>
  <c r="U193" i="24"/>
  <c r="V193" i="24"/>
  <c r="W193" i="24"/>
  <c r="X193" i="24"/>
  <c r="Y193" i="24"/>
  <c r="B194" i="24"/>
  <c r="G194" i="24"/>
  <c r="H194" i="24"/>
  <c r="I194" i="24"/>
  <c r="J194" i="24"/>
  <c r="K194" i="24"/>
  <c r="L194" i="24"/>
  <c r="M194" i="24"/>
  <c r="N194" i="24"/>
  <c r="O194" i="24"/>
  <c r="P194" i="24"/>
  <c r="Q194" i="24"/>
  <c r="R194" i="24"/>
  <c r="S194" i="24"/>
  <c r="T194" i="24"/>
  <c r="U194" i="24"/>
  <c r="V194" i="24"/>
  <c r="W194" i="24"/>
  <c r="X194" i="24"/>
  <c r="Y194" i="24"/>
  <c r="B195" i="24"/>
  <c r="G195" i="24"/>
  <c r="H195" i="24"/>
  <c r="I195" i="24"/>
  <c r="J195" i="24"/>
  <c r="K195" i="24"/>
  <c r="L195" i="24"/>
  <c r="M195" i="24"/>
  <c r="N195" i="24"/>
  <c r="O195" i="24"/>
  <c r="P195" i="24"/>
  <c r="Q195" i="24"/>
  <c r="R195" i="24"/>
  <c r="S195" i="24"/>
  <c r="T195" i="24"/>
  <c r="U195" i="24"/>
  <c r="V195" i="24"/>
  <c r="W195" i="24"/>
  <c r="X195" i="24"/>
  <c r="Y195" i="24"/>
  <c r="B196" i="24"/>
  <c r="G196" i="24"/>
  <c r="H196" i="24"/>
  <c r="I196" i="24"/>
  <c r="J196" i="24"/>
  <c r="K196" i="24"/>
  <c r="L196" i="24"/>
  <c r="M196" i="24"/>
  <c r="N196" i="24"/>
  <c r="O196" i="24"/>
  <c r="P196" i="24"/>
  <c r="Q196" i="24"/>
  <c r="R196" i="24"/>
  <c r="S196" i="24"/>
  <c r="T196" i="24"/>
  <c r="U196" i="24"/>
  <c r="V196" i="24"/>
  <c r="W196" i="24"/>
  <c r="X196" i="24"/>
  <c r="Y196" i="24"/>
  <c r="B197" i="24"/>
  <c r="G197" i="24"/>
  <c r="H197" i="24"/>
  <c r="I197" i="24"/>
  <c r="J197" i="24"/>
  <c r="K197" i="24"/>
  <c r="L197" i="24"/>
  <c r="M197" i="24"/>
  <c r="N197" i="24"/>
  <c r="O197" i="24"/>
  <c r="P197" i="24"/>
  <c r="Q197" i="24"/>
  <c r="R197" i="24"/>
  <c r="S197" i="24"/>
  <c r="T197" i="24"/>
  <c r="U197" i="24"/>
  <c r="V197" i="24"/>
  <c r="W197" i="24"/>
  <c r="X197" i="24"/>
  <c r="Y197" i="24"/>
  <c r="B198" i="24"/>
  <c r="G198" i="24"/>
  <c r="H198" i="24"/>
  <c r="I198" i="24"/>
  <c r="J198" i="24"/>
  <c r="K198" i="24"/>
  <c r="L198" i="24"/>
  <c r="M198" i="24"/>
  <c r="N198" i="24"/>
  <c r="O198" i="24"/>
  <c r="P198" i="24"/>
  <c r="Q198" i="24"/>
  <c r="R198" i="24"/>
  <c r="S198" i="24"/>
  <c r="T198" i="24"/>
  <c r="U198" i="24"/>
  <c r="V198" i="24"/>
  <c r="W198" i="24"/>
  <c r="X198" i="24"/>
  <c r="Y198" i="24"/>
  <c r="B199" i="24"/>
  <c r="G199" i="24"/>
  <c r="H199" i="24"/>
  <c r="I199" i="24"/>
  <c r="J199" i="24"/>
  <c r="K199" i="24"/>
  <c r="L199" i="24"/>
  <c r="M199" i="24"/>
  <c r="N199" i="24"/>
  <c r="O199" i="24"/>
  <c r="P199" i="24"/>
  <c r="Q199" i="24"/>
  <c r="R199" i="24"/>
  <c r="S199" i="24"/>
  <c r="T199" i="24"/>
  <c r="U199" i="24"/>
  <c r="V199" i="24"/>
  <c r="W199" i="24"/>
  <c r="X199" i="24"/>
  <c r="Y199" i="24"/>
  <c r="B200" i="24"/>
  <c r="G200" i="24"/>
  <c r="H200" i="24"/>
  <c r="I200" i="24"/>
  <c r="J200" i="24"/>
  <c r="K200" i="24"/>
  <c r="L200" i="24"/>
  <c r="M200" i="24"/>
  <c r="N200" i="24"/>
  <c r="O200" i="24"/>
  <c r="P200" i="24"/>
  <c r="Q200" i="24"/>
  <c r="R200" i="24"/>
  <c r="S200" i="24"/>
  <c r="T200" i="24"/>
  <c r="U200" i="24"/>
  <c r="V200" i="24"/>
  <c r="W200" i="24"/>
  <c r="X200" i="24"/>
  <c r="Y200" i="24"/>
  <c r="B201" i="24"/>
  <c r="G201" i="24"/>
  <c r="H201" i="24"/>
  <c r="I201" i="24"/>
  <c r="J201" i="24"/>
  <c r="K201" i="24"/>
  <c r="L201" i="24"/>
  <c r="M201" i="24"/>
  <c r="N201" i="24"/>
  <c r="O201" i="24"/>
  <c r="P201" i="24"/>
  <c r="Q201" i="24"/>
  <c r="R201" i="24"/>
  <c r="S201" i="24"/>
  <c r="T201" i="24"/>
  <c r="U201" i="24"/>
  <c r="V201" i="24"/>
  <c r="W201" i="24"/>
  <c r="X201" i="24"/>
  <c r="Y201" i="24"/>
  <c r="B202" i="24"/>
  <c r="G202" i="24"/>
  <c r="H202" i="24"/>
  <c r="I202" i="24"/>
  <c r="J202" i="24"/>
  <c r="K202" i="24"/>
  <c r="L202" i="24"/>
  <c r="M202" i="24"/>
  <c r="N202" i="24"/>
  <c r="O202" i="24"/>
  <c r="P202" i="24"/>
  <c r="Q202" i="24"/>
  <c r="R202" i="24"/>
  <c r="S202" i="24"/>
  <c r="T202" i="24"/>
  <c r="U202" i="24"/>
  <c r="V202" i="24"/>
  <c r="W202" i="24"/>
  <c r="X202" i="24"/>
  <c r="Y202" i="24"/>
  <c r="B203" i="24"/>
  <c r="G203" i="24"/>
  <c r="H203" i="24"/>
  <c r="I203" i="24"/>
  <c r="J203" i="24"/>
  <c r="K203" i="24"/>
  <c r="L203" i="24"/>
  <c r="M203" i="24"/>
  <c r="N203" i="24"/>
  <c r="O203" i="24"/>
  <c r="P203" i="24"/>
  <c r="Q203" i="24"/>
  <c r="R203" i="24"/>
  <c r="S203" i="24"/>
  <c r="T203" i="24"/>
  <c r="U203" i="24"/>
  <c r="V203" i="24"/>
  <c r="W203" i="24"/>
  <c r="X203" i="24"/>
  <c r="Y203" i="24"/>
  <c r="B204" i="24"/>
  <c r="G204" i="24"/>
  <c r="H204" i="24"/>
  <c r="I204" i="24"/>
  <c r="J204" i="24"/>
  <c r="K204" i="24"/>
  <c r="L204" i="24"/>
  <c r="M204" i="24"/>
  <c r="N204" i="24"/>
  <c r="O204" i="24"/>
  <c r="P204" i="24"/>
  <c r="Q204" i="24"/>
  <c r="R204" i="24"/>
  <c r="S204" i="24"/>
  <c r="T204" i="24"/>
  <c r="U204" i="24"/>
  <c r="V204" i="24"/>
  <c r="W204" i="24"/>
  <c r="X204" i="24"/>
  <c r="Y204" i="24"/>
  <c r="B205" i="24"/>
  <c r="G205" i="24"/>
  <c r="H205" i="24"/>
  <c r="I205" i="24"/>
  <c r="J205" i="24"/>
  <c r="K205" i="24"/>
  <c r="L205" i="24"/>
  <c r="M205" i="24"/>
  <c r="N205" i="24"/>
  <c r="O205" i="24"/>
  <c r="P205" i="24"/>
  <c r="Q205" i="24"/>
  <c r="R205" i="24"/>
  <c r="S205" i="24"/>
  <c r="T205" i="24"/>
  <c r="U205" i="24"/>
  <c r="V205" i="24"/>
  <c r="W205" i="24"/>
  <c r="X205" i="24"/>
  <c r="Y205" i="24"/>
  <c r="B206" i="24"/>
  <c r="G206" i="24"/>
  <c r="H206" i="24"/>
  <c r="I206" i="24"/>
  <c r="J206" i="24"/>
  <c r="K206" i="24"/>
  <c r="L206" i="24"/>
  <c r="M206" i="24"/>
  <c r="N206" i="24"/>
  <c r="O206" i="24"/>
  <c r="P206" i="24"/>
  <c r="Q206" i="24"/>
  <c r="R206" i="24"/>
  <c r="S206" i="24"/>
  <c r="T206" i="24"/>
  <c r="U206" i="24"/>
  <c r="V206" i="24"/>
  <c r="W206" i="24"/>
  <c r="X206" i="24"/>
  <c r="Y206" i="24"/>
  <c r="B207" i="24"/>
  <c r="G207" i="24"/>
  <c r="H207" i="24"/>
  <c r="I207" i="24"/>
  <c r="J207" i="24"/>
  <c r="K207" i="24"/>
  <c r="L207" i="24"/>
  <c r="M207" i="24"/>
  <c r="N207" i="24"/>
  <c r="O207" i="24"/>
  <c r="P207" i="24"/>
  <c r="Q207" i="24"/>
  <c r="R207" i="24"/>
  <c r="S207" i="24"/>
  <c r="T207" i="24"/>
  <c r="U207" i="24"/>
  <c r="V207" i="24"/>
  <c r="W207" i="24"/>
  <c r="X207" i="24"/>
  <c r="Y207" i="24"/>
  <c r="B208" i="24"/>
  <c r="G208" i="24"/>
  <c r="H208" i="24"/>
  <c r="I208" i="24"/>
  <c r="J208" i="24"/>
  <c r="K208" i="24"/>
  <c r="L208" i="24"/>
  <c r="M208" i="24"/>
  <c r="N208" i="24"/>
  <c r="O208" i="24"/>
  <c r="P208" i="24"/>
  <c r="Q208" i="24"/>
  <c r="R208" i="24"/>
  <c r="S208" i="24"/>
  <c r="T208" i="24"/>
  <c r="U208" i="24"/>
  <c r="V208" i="24"/>
  <c r="W208" i="24"/>
  <c r="X208" i="24"/>
  <c r="Y208" i="24"/>
  <c r="B209" i="24"/>
  <c r="G209" i="24"/>
  <c r="H209" i="24"/>
  <c r="I209" i="24"/>
  <c r="J209" i="24"/>
  <c r="K209" i="24"/>
  <c r="L209" i="24"/>
  <c r="M209" i="24"/>
  <c r="N209" i="24"/>
  <c r="O209" i="24"/>
  <c r="P209" i="24"/>
  <c r="Q209" i="24"/>
  <c r="R209" i="24"/>
  <c r="S209" i="24"/>
  <c r="T209" i="24"/>
  <c r="U209" i="24"/>
  <c r="V209" i="24"/>
  <c r="W209" i="24"/>
  <c r="X209" i="24"/>
  <c r="Y209" i="24"/>
  <c r="B210" i="24"/>
  <c r="G210" i="24"/>
  <c r="H210" i="24"/>
  <c r="I210" i="24"/>
  <c r="J210" i="24"/>
  <c r="K210" i="24"/>
  <c r="L210" i="24"/>
  <c r="M210" i="24"/>
  <c r="N210" i="24"/>
  <c r="O210" i="24"/>
  <c r="P210" i="24"/>
  <c r="Q210" i="24"/>
  <c r="R210" i="24"/>
  <c r="S210" i="24"/>
  <c r="T210" i="24"/>
  <c r="U210" i="24"/>
  <c r="V210" i="24"/>
  <c r="W210" i="24"/>
  <c r="X210" i="24"/>
  <c r="Y210" i="24"/>
  <c r="B211" i="24"/>
  <c r="G211" i="24"/>
  <c r="H211" i="24"/>
  <c r="I211" i="24"/>
  <c r="J211" i="24"/>
  <c r="K211" i="24"/>
  <c r="L211" i="24"/>
  <c r="M211" i="24"/>
  <c r="N211" i="24"/>
  <c r="O211" i="24"/>
  <c r="P211" i="24"/>
  <c r="Q211" i="24"/>
  <c r="R211" i="24"/>
  <c r="S211" i="24"/>
  <c r="T211" i="24"/>
  <c r="U211" i="24"/>
  <c r="V211" i="24"/>
  <c r="W211" i="24"/>
  <c r="X211" i="24"/>
  <c r="Y211" i="24"/>
  <c r="B212" i="24"/>
  <c r="G212" i="24"/>
  <c r="H212" i="24"/>
  <c r="I212" i="24"/>
  <c r="J212" i="24"/>
  <c r="K212" i="24"/>
  <c r="L212" i="24"/>
  <c r="M212" i="24"/>
  <c r="N212" i="24"/>
  <c r="O212" i="24"/>
  <c r="P212" i="24"/>
  <c r="Q212" i="24"/>
  <c r="R212" i="24"/>
  <c r="S212" i="24"/>
  <c r="T212" i="24"/>
  <c r="U212" i="24"/>
  <c r="V212" i="24"/>
  <c r="W212" i="24"/>
  <c r="X212" i="24"/>
  <c r="Y212" i="24"/>
  <c r="B213" i="24"/>
  <c r="G213" i="24"/>
  <c r="H213" i="24"/>
  <c r="I213" i="24"/>
  <c r="J213" i="24"/>
  <c r="K213" i="24"/>
  <c r="L213" i="24"/>
  <c r="M213" i="24"/>
  <c r="N213" i="24"/>
  <c r="O213" i="24"/>
  <c r="P213" i="24"/>
  <c r="Q213" i="24"/>
  <c r="R213" i="24"/>
  <c r="S213" i="24"/>
  <c r="T213" i="24"/>
  <c r="U213" i="24"/>
  <c r="V213" i="24"/>
  <c r="W213" i="24"/>
  <c r="X213" i="24"/>
  <c r="Y213" i="24"/>
  <c r="B214" i="24"/>
  <c r="G214" i="24"/>
  <c r="H214" i="24"/>
  <c r="I214" i="24"/>
  <c r="J214" i="24"/>
  <c r="K214" i="24"/>
  <c r="L214" i="24"/>
  <c r="M214" i="24"/>
  <c r="N214" i="24"/>
  <c r="O214" i="24"/>
  <c r="P214" i="24"/>
  <c r="Q214" i="24"/>
  <c r="R214" i="24"/>
  <c r="S214" i="24"/>
  <c r="T214" i="24"/>
  <c r="U214" i="24"/>
  <c r="V214" i="24"/>
  <c r="W214" i="24"/>
  <c r="X214" i="24"/>
  <c r="Y214" i="24"/>
  <c r="B215" i="24"/>
  <c r="G215" i="24"/>
  <c r="H215" i="24"/>
  <c r="I215" i="24"/>
  <c r="J215" i="24"/>
  <c r="K215" i="24"/>
  <c r="L215" i="24"/>
  <c r="M215" i="24"/>
  <c r="N215" i="24"/>
  <c r="O215" i="24"/>
  <c r="P215" i="24"/>
  <c r="Q215" i="24"/>
  <c r="R215" i="24"/>
  <c r="S215" i="24"/>
  <c r="T215" i="24"/>
  <c r="U215" i="24"/>
  <c r="V215" i="24"/>
  <c r="W215" i="24"/>
  <c r="X215" i="24"/>
  <c r="Y215" i="24"/>
  <c r="B216" i="24"/>
  <c r="G216" i="24"/>
  <c r="H216" i="24"/>
  <c r="I216" i="24"/>
  <c r="J216" i="24"/>
  <c r="K216" i="24"/>
  <c r="L216" i="24"/>
  <c r="M216" i="24"/>
  <c r="N216" i="24"/>
  <c r="O216" i="24"/>
  <c r="P216" i="24"/>
  <c r="Q216" i="24"/>
  <c r="R216" i="24"/>
  <c r="S216" i="24"/>
  <c r="T216" i="24"/>
  <c r="U216" i="24"/>
  <c r="V216" i="24"/>
  <c r="W216" i="24"/>
  <c r="X216" i="24"/>
  <c r="Y216" i="24"/>
  <c r="B217" i="24"/>
  <c r="G217" i="24"/>
  <c r="H217" i="24"/>
  <c r="I217" i="24"/>
  <c r="J217" i="24"/>
  <c r="K217" i="24"/>
  <c r="L217" i="24"/>
  <c r="M217" i="24"/>
  <c r="N217" i="24"/>
  <c r="O217" i="24"/>
  <c r="P217" i="24"/>
  <c r="Q217" i="24"/>
  <c r="R217" i="24"/>
  <c r="S217" i="24"/>
  <c r="T217" i="24"/>
  <c r="U217" i="24"/>
  <c r="V217" i="24"/>
  <c r="W217" i="24"/>
  <c r="X217" i="24"/>
  <c r="Y217" i="24"/>
  <c r="B218" i="24"/>
  <c r="G218" i="24"/>
  <c r="H218" i="24"/>
  <c r="I218" i="24"/>
  <c r="J218" i="24"/>
  <c r="K218" i="24"/>
  <c r="L218" i="24"/>
  <c r="M218" i="24"/>
  <c r="N218" i="24"/>
  <c r="O218" i="24"/>
  <c r="P218" i="24"/>
  <c r="Q218" i="24"/>
  <c r="R218" i="24"/>
  <c r="S218" i="24"/>
  <c r="T218" i="24"/>
  <c r="U218" i="24"/>
  <c r="V218" i="24"/>
  <c r="W218" i="24"/>
  <c r="X218" i="24"/>
  <c r="Y218" i="24"/>
  <c r="B219" i="24"/>
  <c r="G219" i="24"/>
  <c r="H219" i="24"/>
  <c r="I219" i="24"/>
  <c r="J219" i="24"/>
  <c r="K219" i="24"/>
  <c r="L219" i="24"/>
  <c r="M219" i="24"/>
  <c r="N219" i="24"/>
  <c r="O219" i="24"/>
  <c r="P219" i="24"/>
  <c r="Q219" i="24"/>
  <c r="R219" i="24"/>
  <c r="S219" i="24"/>
  <c r="T219" i="24"/>
  <c r="U219" i="24"/>
  <c r="V219" i="24"/>
  <c r="W219" i="24"/>
  <c r="X219" i="24"/>
  <c r="Y219" i="24"/>
  <c r="B220" i="24"/>
  <c r="G220" i="24"/>
  <c r="H220" i="24"/>
  <c r="I220" i="24"/>
  <c r="J220" i="24"/>
  <c r="K220" i="24"/>
  <c r="L220" i="24"/>
  <c r="M220" i="24"/>
  <c r="N220" i="24"/>
  <c r="O220" i="24"/>
  <c r="P220" i="24"/>
  <c r="Q220" i="24"/>
  <c r="R220" i="24"/>
  <c r="S220" i="24"/>
  <c r="T220" i="24"/>
  <c r="U220" i="24"/>
  <c r="V220" i="24"/>
  <c r="W220" i="24"/>
  <c r="X220" i="24"/>
  <c r="Y220" i="24"/>
  <c r="B221" i="24"/>
  <c r="G221" i="24"/>
  <c r="H221" i="24"/>
  <c r="I221" i="24"/>
  <c r="J221" i="24"/>
  <c r="K221" i="24"/>
  <c r="L221" i="24"/>
  <c r="M221" i="24"/>
  <c r="N221" i="24"/>
  <c r="O221" i="24"/>
  <c r="P221" i="24"/>
  <c r="Q221" i="24"/>
  <c r="R221" i="24"/>
  <c r="S221" i="24"/>
  <c r="T221" i="24"/>
  <c r="U221" i="24"/>
  <c r="V221" i="24"/>
  <c r="W221" i="24"/>
  <c r="X221" i="24"/>
  <c r="Y221" i="24"/>
  <c r="B222" i="24"/>
  <c r="G222" i="24"/>
  <c r="H222" i="24"/>
  <c r="I222" i="24"/>
  <c r="J222" i="24"/>
  <c r="K222" i="24"/>
  <c r="L222" i="24"/>
  <c r="M222" i="24"/>
  <c r="N222" i="24"/>
  <c r="O222" i="24"/>
  <c r="P222" i="24"/>
  <c r="Q222" i="24"/>
  <c r="R222" i="24"/>
  <c r="S222" i="24"/>
  <c r="T222" i="24"/>
  <c r="U222" i="24"/>
  <c r="V222" i="24"/>
  <c r="W222" i="24"/>
  <c r="X222" i="24"/>
  <c r="Y222" i="24"/>
  <c r="B223" i="24"/>
  <c r="G223" i="24"/>
  <c r="H223" i="24"/>
  <c r="I223" i="24"/>
  <c r="J223" i="24"/>
  <c r="K223" i="24"/>
  <c r="L223" i="24"/>
  <c r="M223" i="24"/>
  <c r="N223" i="24"/>
  <c r="O223" i="24"/>
  <c r="P223" i="24"/>
  <c r="Q223" i="24"/>
  <c r="R223" i="24"/>
  <c r="S223" i="24"/>
  <c r="T223" i="24"/>
  <c r="U223" i="24"/>
  <c r="V223" i="24"/>
  <c r="W223" i="24"/>
  <c r="X223" i="24"/>
  <c r="Y223" i="24"/>
  <c r="B224" i="24"/>
  <c r="G224" i="24"/>
  <c r="H224" i="24"/>
  <c r="I224" i="24"/>
  <c r="J224" i="24"/>
  <c r="K224" i="24"/>
  <c r="L224" i="24"/>
  <c r="M224" i="24"/>
  <c r="N224" i="24"/>
  <c r="O224" i="24"/>
  <c r="P224" i="24"/>
  <c r="Q224" i="24"/>
  <c r="R224" i="24"/>
  <c r="S224" i="24"/>
  <c r="T224" i="24"/>
  <c r="U224" i="24"/>
  <c r="V224" i="24"/>
  <c r="W224" i="24"/>
  <c r="X224" i="24"/>
  <c r="Y224" i="24"/>
  <c r="B225" i="24"/>
  <c r="G225" i="24"/>
  <c r="H225" i="24"/>
  <c r="I225" i="24"/>
  <c r="J225" i="24"/>
  <c r="K225" i="24"/>
  <c r="L225" i="24"/>
  <c r="M225" i="24"/>
  <c r="N225" i="24"/>
  <c r="O225" i="24"/>
  <c r="P225" i="24"/>
  <c r="Q225" i="24"/>
  <c r="R225" i="24"/>
  <c r="S225" i="24"/>
  <c r="T225" i="24"/>
  <c r="U225" i="24"/>
  <c r="V225" i="24"/>
  <c r="W225" i="24"/>
  <c r="X225" i="24"/>
  <c r="Y225" i="24"/>
  <c r="B226" i="24"/>
  <c r="G226" i="24"/>
  <c r="H226" i="24"/>
  <c r="I226" i="24"/>
  <c r="J226" i="24"/>
  <c r="K226" i="24"/>
  <c r="L226" i="24"/>
  <c r="M226" i="24"/>
  <c r="N226" i="24"/>
  <c r="O226" i="24"/>
  <c r="P226" i="24"/>
  <c r="Q226" i="24"/>
  <c r="R226" i="24"/>
  <c r="S226" i="24"/>
  <c r="T226" i="24"/>
  <c r="U226" i="24"/>
  <c r="V226" i="24"/>
  <c r="W226" i="24"/>
  <c r="X226" i="24"/>
  <c r="Y226" i="24"/>
  <c r="L227" i="24"/>
  <c r="M227" i="24"/>
  <c r="N227" i="24"/>
  <c r="P227" i="24"/>
  <c r="Q227" i="24"/>
  <c r="R227" i="24"/>
  <c r="S227" i="24"/>
  <c r="T227" i="24"/>
  <c r="U227" i="24"/>
  <c r="V227" i="24"/>
  <c r="W227" i="24"/>
  <c r="L2" i="23"/>
  <c r="F5" i="23"/>
  <c r="G5" i="23"/>
  <c r="H5" i="23"/>
  <c r="I5" i="23"/>
  <c r="J5" i="23"/>
  <c r="K5" i="23"/>
  <c r="L5" i="23"/>
  <c r="M5" i="23"/>
  <c r="N5" i="23"/>
  <c r="O5" i="23"/>
  <c r="P5" i="23"/>
  <c r="Q5" i="23"/>
  <c r="R5" i="23"/>
  <c r="S5" i="23"/>
  <c r="T5" i="23"/>
  <c r="U5" i="23"/>
  <c r="V5" i="23"/>
  <c r="W5" i="23"/>
  <c r="X5" i="23"/>
  <c r="AK32" i="23"/>
  <c r="AK33" i="23"/>
  <c r="AR39" i="23"/>
  <c r="AR40" i="23"/>
  <c r="Z43" i="23"/>
  <c r="Z44" i="23"/>
  <c r="Z45" i="23"/>
  <c r="Z46" i="23"/>
  <c r="Z47" i="23"/>
  <c r="Z48" i="23"/>
  <c r="Z49" i="23"/>
  <c r="AJ49" i="23"/>
  <c r="AA50" i="23"/>
  <c r="AJ50" i="23"/>
  <c r="Z51" i="23"/>
  <c r="AJ51" i="23"/>
  <c r="Z52" i="23"/>
  <c r="Z53" i="23"/>
  <c r="Z54" i="23"/>
  <c r="Z55" i="23"/>
  <c r="Z56" i="23"/>
  <c r="Z57" i="23"/>
  <c r="AL60" i="23"/>
  <c r="AL62" i="23"/>
  <c r="AJ63" i="23"/>
  <c r="Z67" i="23"/>
  <c r="Z68" i="23"/>
  <c r="Z76" i="23"/>
  <c r="AL76" i="23"/>
  <c r="Z84" i="23"/>
  <c r="AJ84" i="23"/>
  <c r="Z88" i="23"/>
  <c r="AJ91" i="23"/>
  <c r="Z92" i="23"/>
  <c r="AJ95" i="23"/>
  <c r="Z96" i="23"/>
  <c r="Z100" i="23"/>
  <c r="Z104" i="23"/>
  <c r="Z108" i="23"/>
  <c r="AJ108" i="23"/>
  <c r="AJ111" i="23"/>
  <c r="Z112" i="23"/>
  <c r="AJ112" i="23"/>
  <c r="AJ115" i="23"/>
  <c r="Z116" i="23"/>
  <c r="Z120" i="23"/>
  <c r="Z124" i="23"/>
  <c r="Z128" i="23"/>
  <c r="Z132" i="23"/>
  <c r="Z136" i="23"/>
  <c r="Z140" i="23"/>
  <c r="Z144" i="23"/>
  <c r="Z148" i="23"/>
  <c r="Z152" i="23"/>
  <c r="Z156" i="23"/>
  <c r="Z160" i="23"/>
  <c r="Z164" i="23"/>
  <c r="Z168" i="23"/>
  <c r="Z172" i="23"/>
  <c r="Z176" i="23"/>
  <c r="F180" i="23"/>
  <c r="G180" i="23"/>
  <c r="H180" i="23"/>
  <c r="I180" i="23"/>
  <c r="J180" i="23"/>
  <c r="K180" i="23"/>
  <c r="L180" i="23"/>
  <c r="M180" i="23"/>
  <c r="N180" i="23"/>
  <c r="O180" i="23"/>
  <c r="P180" i="23"/>
  <c r="Q180" i="23"/>
  <c r="R180" i="23"/>
  <c r="S180" i="23"/>
  <c r="T180" i="23"/>
  <c r="U180" i="23"/>
  <c r="V180" i="23"/>
  <c r="W180" i="23"/>
  <c r="X180" i="23"/>
  <c r="Z180" i="23"/>
  <c r="Z184" i="23"/>
  <c r="Z188" i="23"/>
  <c r="Z192" i="23"/>
  <c r="Z196" i="23"/>
  <c r="Z200" i="23"/>
  <c r="Z204" i="23"/>
  <c r="Z208" i="23"/>
  <c r="Z212" i="23"/>
  <c r="Z216" i="23"/>
  <c r="Z220" i="23"/>
  <c r="Z224" i="23"/>
  <c r="D240" i="23"/>
  <c r="D241" i="23"/>
  <c r="D242" i="23"/>
  <c r="D243" i="23"/>
  <c r="D244" i="23"/>
  <c r="D245" i="23"/>
  <c r="D246" i="23"/>
  <c r="D247" i="23"/>
  <c r="D248" i="23"/>
  <c r="D249" i="23"/>
  <c r="D250" i="23"/>
  <c r="Z253" i="23"/>
  <c r="Z254" i="23"/>
  <c r="Z260" i="23"/>
  <c r="Z261" i="23"/>
  <c r="Z262" i="23"/>
  <c r="Z263" i="23"/>
  <c r="Z264" i="23"/>
  <c r="Z265" i="23"/>
  <c r="Z266" i="23"/>
  <c r="Z267" i="23"/>
  <c r="Z268" i="23"/>
  <c r="Z269" i="23"/>
  <c r="Z270" i="23"/>
  <c r="Z271" i="23"/>
  <c r="Z272" i="23"/>
  <c r="Z273" i="23"/>
  <c r="Z274" i="23"/>
  <c r="Z278" i="23"/>
  <c r="D294" i="23"/>
  <c r="D295" i="23"/>
  <c r="D296" i="23"/>
  <c r="D297" i="23"/>
  <c r="D298" i="23"/>
  <c r="D299" i="23"/>
  <c r="D300" i="23"/>
  <c r="D301" i="23"/>
  <c r="D302" i="23"/>
  <c r="D303" i="23"/>
  <c r="D304" i="23"/>
  <c r="D305" i="23"/>
  <c r="F305" i="23"/>
  <c r="G305" i="23"/>
  <c r="H305" i="23"/>
  <c r="I305" i="23"/>
  <c r="J305" i="23"/>
  <c r="K305" i="23"/>
  <c r="L305" i="23"/>
  <c r="M305" i="23"/>
  <c r="N305" i="23"/>
  <c r="O305" i="23"/>
  <c r="P305" i="23"/>
  <c r="Q305" i="23"/>
  <c r="R305" i="23"/>
  <c r="S305" i="23"/>
  <c r="T305" i="23"/>
  <c r="U305" i="23"/>
  <c r="V305" i="23"/>
  <c r="W305" i="23"/>
  <c r="X305" i="23"/>
  <c r="Z305" i="23"/>
  <c r="D306" i="23"/>
  <c r="F306" i="23"/>
  <c r="G306" i="23"/>
  <c r="H306" i="23"/>
  <c r="I306" i="23"/>
  <c r="J306" i="23"/>
  <c r="K306" i="23"/>
  <c r="L306" i="23"/>
  <c r="M306" i="23"/>
  <c r="N306" i="23"/>
  <c r="O306" i="23"/>
  <c r="P306" i="23"/>
  <c r="Q306" i="23"/>
  <c r="R306" i="23"/>
  <c r="S306" i="23"/>
  <c r="T306" i="23"/>
  <c r="U306" i="23"/>
  <c r="V306" i="23"/>
  <c r="W306" i="23"/>
  <c r="X306" i="23"/>
  <c r="Z306" i="23"/>
  <c r="D307" i="23"/>
  <c r="F307" i="23"/>
  <c r="G307" i="23"/>
  <c r="H307" i="23"/>
  <c r="I307" i="23"/>
  <c r="J307" i="23"/>
  <c r="K307" i="23"/>
  <c r="L307" i="23"/>
  <c r="M307" i="23"/>
  <c r="N307" i="23"/>
  <c r="O307" i="23"/>
  <c r="P307" i="23"/>
  <c r="Q307" i="23"/>
  <c r="R307" i="23"/>
  <c r="S307" i="23"/>
  <c r="T307" i="23"/>
  <c r="U307" i="23"/>
  <c r="V307" i="23"/>
  <c r="W307" i="23"/>
  <c r="X307" i="23"/>
  <c r="Z307" i="23"/>
  <c r="D308" i="23"/>
  <c r="F308" i="23"/>
  <c r="G308" i="23"/>
  <c r="H308" i="23"/>
  <c r="I308" i="23"/>
  <c r="J308" i="23"/>
  <c r="K308" i="23"/>
  <c r="L308" i="23"/>
  <c r="M308" i="23"/>
  <c r="N308" i="23"/>
  <c r="O308" i="23"/>
  <c r="P308" i="23"/>
  <c r="Q308" i="23"/>
  <c r="R308" i="23"/>
  <c r="S308" i="23"/>
  <c r="T308" i="23"/>
  <c r="U308" i="23"/>
  <c r="V308" i="23"/>
  <c r="W308" i="23"/>
  <c r="X308" i="23"/>
  <c r="Z308" i="23"/>
  <c r="D309" i="23"/>
  <c r="F309" i="23"/>
  <c r="G309" i="23"/>
  <c r="H309" i="23"/>
  <c r="I309" i="23"/>
  <c r="J309" i="23"/>
  <c r="K309" i="23"/>
  <c r="L309" i="23"/>
  <c r="M309" i="23"/>
  <c r="N309" i="23"/>
  <c r="O309" i="23"/>
  <c r="P309" i="23"/>
  <c r="Q309" i="23"/>
  <c r="R309" i="23"/>
  <c r="S309" i="23"/>
  <c r="T309" i="23"/>
  <c r="U309" i="23"/>
  <c r="V309" i="23"/>
  <c r="W309" i="23"/>
  <c r="X309" i="23"/>
  <c r="Z309" i="23"/>
  <c r="D310" i="23"/>
  <c r="F310" i="23"/>
  <c r="G310" i="23"/>
  <c r="H310" i="23"/>
  <c r="I310" i="23"/>
  <c r="J310" i="23"/>
  <c r="K310" i="23"/>
  <c r="L310" i="23"/>
  <c r="M310" i="23"/>
  <c r="N310" i="23"/>
  <c r="O310" i="23"/>
  <c r="P310" i="23"/>
  <c r="Q310" i="23"/>
  <c r="R310" i="23"/>
  <c r="S310" i="23"/>
  <c r="T310" i="23"/>
  <c r="U310" i="23"/>
  <c r="V310" i="23"/>
  <c r="W310" i="23"/>
  <c r="X310" i="23"/>
  <c r="Z310" i="23"/>
  <c r="D311" i="23"/>
  <c r="F311" i="23"/>
  <c r="G311" i="23"/>
  <c r="H311" i="23"/>
  <c r="I311" i="23"/>
  <c r="J311" i="23"/>
  <c r="K311" i="23"/>
  <c r="L311" i="23"/>
  <c r="M311" i="23"/>
  <c r="N311" i="23"/>
  <c r="O311" i="23"/>
  <c r="P311" i="23"/>
  <c r="Q311" i="23"/>
  <c r="R311" i="23"/>
  <c r="S311" i="23"/>
  <c r="T311" i="23"/>
  <c r="U311" i="23"/>
  <c r="V311" i="23"/>
  <c r="W311" i="23"/>
  <c r="X311" i="23"/>
  <c r="Z311" i="23"/>
  <c r="D312" i="23"/>
  <c r="F312" i="23"/>
  <c r="G312" i="23"/>
  <c r="H312" i="23"/>
  <c r="I312" i="23"/>
  <c r="J312" i="23"/>
  <c r="K312" i="23"/>
  <c r="L312" i="23"/>
  <c r="M312" i="23"/>
  <c r="N312" i="23"/>
  <c r="O312" i="23"/>
  <c r="P312" i="23"/>
  <c r="Q312" i="23"/>
  <c r="R312" i="23"/>
  <c r="S312" i="23"/>
  <c r="T312" i="23"/>
  <c r="U312" i="23"/>
  <c r="V312" i="23"/>
  <c r="W312" i="23"/>
  <c r="X312" i="23"/>
  <c r="Z312" i="23"/>
  <c r="D313" i="23"/>
  <c r="F313" i="23"/>
  <c r="G313" i="23"/>
  <c r="H313" i="23"/>
  <c r="I313" i="23"/>
  <c r="J313" i="23"/>
  <c r="K313" i="23"/>
  <c r="L313" i="23"/>
  <c r="M313" i="23"/>
  <c r="N313" i="23"/>
  <c r="O313" i="23"/>
  <c r="P313" i="23"/>
  <c r="Q313" i="23"/>
  <c r="R313" i="23"/>
  <c r="S313" i="23"/>
  <c r="T313" i="23"/>
  <c r="U313" i="23"/>
  <c r="V313" i="23"/>
  <c r="W313" i="23"/>
  <c r="X313" i="23"/>
  <c r="Z313" i="23"/>
  <c r="D314" i="23"/>
  <c r="F314" i="23"/>
  <c r="G314" i="23"/>
  <c r="H314" i="23"/>
  <c r="I314" i="23"/>
  <c r="J314" i="23"/>
  <c r="K314" i="23"/>
  <c r="L314" i="23"/>
  <c r="M314" i="23"/>
  <c r="N314" i="23"/>
  <c r="O314" i="23"/>
  <c r="P314" i="23"/>
  <c r="Q314" i="23"/>
  <c r="R314" i="23"/>
  <c r="S314" i="23"/>
  <c r="T314" i="23"/>
  <c r="U314" i="23"/>
  <c r="V314" i="23"/>
  <c r="W314" i="23"/>
  <c r="X314" i="23"/>
  <c r="Z314" i="23"/>
  <c r="D315" i="23"/>
  <c r="F315" i="23"/>
  <c r="G315" i="23"/>
  <c r="H315" i="23"/>
  <c r="I315" i="23"/>
  <c r="J315" i="23"/>
  <c r="K315" i="23"/>
  <c r="L315" i="23"/>
  <c r="M315" i="23"/>
  <c r="N315" i="23"/>
  <c r="O315" i="23"/>
  <c r="P315" i="23"/>
  <c r="Q315" i="23"/>
  <c r="R315" i="23"/>
  <c r="S315" i="23"/>
  <c r="T315" i="23"/>
  <c r="U315" i="23"/>
  <c r="V315" i="23"/>
  <c r="W315" i="23"/>
  <c r="X315" i="23"/>
  <c r="Z315" i="23"/>
  <c r="F316" i="23"/>
  <c r="G316" i="23"/>
  <c r="H316" i="23"/>
  <c r="I316" i="23"/>
  <c r="J316" i="23"/>
  <c r="K316" i="23"/>
  <c r="L316" i="23"/>
  <c r="M316" i="23"/>
  <c r="N316" i="23"/>
  <c r="O316" i="23"/>
  <c r="P316" i="23"/>
  <c r="Q316" i="23"/>
  <c r="R316" i="23"/>
  <c r="S316" i="23"/>
  <c r="T316" i="23"/>
  <c r="U316" i="23"/>
  <c r="V316" i="23"/>
  <c r="W316" i="23"/>
  <c r="X316" i="23"/>
  <c r="D320" i="23"/>
  <c r="F320" i="23"/>
  <c r="G320" i="23"/>
  <c r="H320" i="23"/>
  <c r="I320" i="23"/>
  <c r="J320" i="23"/>
  <c r="K320" i="23"/>
  <c r="L320" i="23"/>
  <c r="M320" i="23"/>
  <c r="N320" i="23"/>
  <c r="O320" i="23"/>
  <c r="P320" i="23"/>
  <c r="Q320" i="23"/>
  <c r="R320" i="23"/>
  <c r="S320" i="23"/>
  <c r="T320" i="23"/>
  <c r="U320" i="23"/>
  <c r="V320" i="23"/>
  <c r="W320" i="23"/>
  <c r="X320" i="23"/>
  <c r="Z320" i="23"/>
  <c r="D321" i="23"/>
  <c r="F321" i="23"/>
  <c r="G321" i="23"/>
  <c r="H321" i="23"/>
  <c r="I321" i="23"/>
  <c r="J321" i="23"/>
  <c r="K321" i="23"/>
  <c r="L321" i="23"/>
  <c r="M321" i="23"/>
  <c r="N321" i="23"/>
  <c r="O321" i="23"/>
  <c r="P321" i="23"/>
  <c r="Q321" i="23"/>
  <c r="R321" i="23"/>
  <c r="S321" i="23"/>
  <c r="T321" i="23"/>
  <c r="U321" i="23"/>
  <c r="V321" i="23"/>
  <c r="W321" i="23"/>
  <c r="X321" i="23"/>
  <c r="Z321" i="23"/>
  <c r="D322" i="23"/>
  <c r="F322" i="23"/>
  <c r="G322" i="23"/>
  <c r="H322" i="23"/>
  <c r="I322" i="23"/>
  <c r="J322" i="23"/>
  <c r="K322" i="23"/>
  <c r="L322" i="23"/>
  <c r="M322" i="23"/>
  <c r="N322" i="23"/>
  <c r="O322" i="23"/>
  <c r="P322" i="23"/>
  <c r="Q322" i="23"/>
  <c r="R322" i="23"/>
  <c r="S322" i="23"/>
  <c r="T322" i="23"/>
  <c r="U322" i="23"/>
  <c r="V322" i="23"/>
  <c r="W322" i="23"/>
  <c r="X322" i="23"/>
  <c r="Z322" i="23"/>
  <c r="D323" i="23"/>
  <c r="F323" i="23"/>
  <c r="G323" i="23"/>
  <c r="H323" i="23"/>
  <c r="I323" i="23"/>
  <c r="J323" i="23"/>
  <c r="K323" i="23"/>
  <c r="L323" i="23"/>
  <c r="M323" i="23"/>
  <c r="N323" i="23"/>
  <c r="O323" i="23"/>
  <c r="P323" i="23"/>
  <c r="Q323" i="23"/>
  <c r="S323" i="23"/>
  <c r="T323" i="23"/>
  <c r="U323" i="23"/>
  <c r="V323" i="23"/>
  <c r="W323" i="23"/>
  <c r="X323" i="23"/>
  <c r="Z323" i="23"/>
  <c r="D324" i="23"/>
  <c r="F324" i="23"/>
  <c r="G324" i="23"/>
  <c r="H324" i="23"/>
  <c r="I324" i="23"/>
  <c r="J324" i="23"/>
  <c r="K324" i="23"/>
  <c r="L324" i="23"/>
  <c r="M324" i="23"/>
  <c r="N324" i="23"/>
  <c r="O324" i="23"/>
  <c r="P324" i="23"/>
  <c r="Q324" i="23"/>
  <c r="S324" i="23"/>
  <c r="T324" i="23"/>
  <c r="U324" i="23"/>
  <c r="V324" i="23"/>
  <c r="W324" i="23"/>
  <c r="X324" i="23"/>
  <c r="Z324" i="23"/>
  <c r="D325" i="23"/>
  <c r="F325" i="23"/>
  <c r="G325" i="23"/>
  <c r="H325" i="23"/>
  <c r="I325" i="23"/>
  <c r="J325" i="23"/>
  <c r="K325" i="23"/>
  <c r="L325" i="23"/>
  <c r="M325" i="23"/>
  <c r="N325" i="23"/>
  <c r="O325" i="23"/>
  <c r="P325" i="23"/>
  <c r="Q325" i="23"/>
  <c r="R325" i="23"/>
  <c r="S325" i="23"/>
  <c r="T325" i="23"/>
  <c r="U325" i="23"/>
  <c r="V325" i="23"/>
  <c r="W325" i="23"/>
  <c r="X325" i="23"/>
  <c r="Z325" i="23"/>
  <c r="D326" i="23"/>
  <c r="F326" i="23"/>
  <c r="G326" i="23"/>
  <c r="H326" i="23"/>
  <c r="I326" i="23"/>
  <c r="J326" i="23"/>
  <c r="K326" i="23"/>
  <c r="L326" i="23"/>
  <c r="M326" i="23"/>
  <c r="N326" i="23"/>
  <c r="O326" i="23"/>
  <c r="P326" i="23"/>
  <c r="Q326" i="23"/>
  <c r="R326" i="23"/>
  <c r="S326" i="23"/>
  <c r="T326" i="23"/>
  <c r="U326" i="23"/>
  <c r="V326" i="23"/>
  <c r="W326" i="23"/>
  <c r="X326" i="23"/>
  <c r="Z326" i="23"/>
  <c r="D327" i="23"/>
  <c r="F327" i="23"/>
  <c r="G327" i="23"/>
  <c r="H327" i="23"/>
  <c r="I327" i="23"/>
  <c r="J327" i="23"/>
  <c r="K327" i="23"/>
  <c r="L327" i="23"/>
  <c r="M327" i="23"/>
  <c r="N327" i="23"/>
  <c r="O327" i="23"/>
  <c r="P327" i="23"/>
  <c r="Q327" i="23"/>
  <c r="R327" i="23"/>
  <c r="S327" i="23"/>
  <c r="T327" i="23"/>
  <c r="U327" i="23"/>
  <c r="V327" i="23"/>
  <c r="W327" i="23"/>
  <c r="X327" i="23"/>
  <c r="Z327" i="23"/>
  <c r="D328" i="23"/>
  <c r="F328" i="23"/>
  <c r="G328" i="23"/>
  <c r="H328" i="23"/>
  <c r="I328" i="23"/>
  <c r="J328" i="23"/>
  <c r="K328" i="23"/>
  <c r="L328" i="23"/>
  <c r="M328" i="23"/>
  <c r="N328" i="23"/>
  <c r="O328" i="23"/>
  <c r="P328" i="23"/>
  <c r="Q328" i="23"/>
  <c r="R328" i="23"/>
  <c r="S328" i="23"/>
  <c r="T328" i="23"/>
  <c r="U328" i="23"/>
  <c r="V328" i="23"/>
  <c r="W328" i="23"/>
  <c r="X328" i="23"/>
  <c r="Z328" i="23"/>
  <c r="D329" i="23"/>
  <c r="F329" i="23"/>
  <c r="G329" i="23"/>
  <c r="H329" i="23"/>
  <c r="I329" i="23"/>
  <c r="J329" i="23"/>
  <c r="K329" i="23"/>
  <c r="L329" i="23"/>
  <c r="M329" i="23"/>
  <c r="N329" i="23"/>
  <c r="O329" i="23"/>
  <c r="P329" i="23"/>
  <c r="Q329" i="23"/>
  <c r="R329" i="23"/>
  <c r="S329" i="23"/>
  <c r="T329" i="23"/>
  <c r="U329" i="23"/>
  <c r="V329" i="23"/>
  <c r="W329" i="23"/>
  <c r="X329" i="23"/>
  <c r="Z329" i="23"/>
  <c r="D330" i="23"/>
  <c r="F330" i="23"/>
  <c r="G330" i="23"/>
  <c r="H330" i="23"/>
  <c r="I330" i="23"/>
  <c r="J330" i="23"/>
  <c r="K330" i="23"/>
  <c r="L330" i="23"/>
  <c r="M330" i="23"/>
  <c r="N330" i="23"/>
  <c r="O330" i="23"/>
  <c r="P330" i="23"/>
  <c r="Q330" i="23"/>
  <c r="R330" i="23"/>
  <c r="S330" i="23"/>
  <c r="T330" i="23"/>
  <c r="U330" i="23"/>
  <c r="V330" i="23"/>
  <c r="W330" i="23"/>
  <c r="X330" i="23"/>
  <c r="Z330" i="23"/>
  <c r="F331" i="23"/>
  <c r="G331" i="23"/>
  <c r="H331" i="23"/>
  <c r="I331" i="23"/>
  <c r="J331" i="23"/>
  <c r="K331" i="23"/>
  <c r="L331" i="23"/>
  <c r="M331" i="23"/>
  <c r="N331" i="23"/>
  <c r="O331" i="23"/>
  <c r="P331" i="23"/>
  <c r="Q331" i="23"/>
  <c r="R331" i="23"/>
  <c r="S331" i="23"/>
  <c r="T331" i="23"/>
  <c r="U331" i="23"/>
  <c r="V331" i="23"/>
  <c r="W331" i="23"/>
  <c r="X331" i="23"/>
  <c r="Z336" i="23"/>
  <c r="Z340" i="23"/>
  <c r="Z344" i="23"/>
  <c r="Z348" i="23"/>
  <c r="Z352" i="23"/>
  <c r="Z356" i="23"/>
  <c r="D360" i="23"/>
  <c r="Z360" i="23"/>
  <c r="D361" i="23"/>
  <c r="Z361" i="23"/>
  <c r="D362" i="23"/>
  <c r="Z362" i="23"/>
  <c r="D363" i="23"/>
  <c r="Z363" i="23"/>
  <c r="D364" i="23"/>
  <c r="Z364" i="23"/>
  <c r="D365" i="23"/>
  <c r="Z365" i="23"/>
  <c r="D366" i="23"/>
  <c r="Z366" i="23"/>
  <c r="D367" i="23"/>
  <c r="Z367" i="23"/>
  <c r="D368" i="23"/>
  <c r="Z368" i="23"/>
  <c r="D369" i="23"/>
  <c r="Z369" i="23"/>
  <c r="D370" i="23"/>
  <c r="Z370" i="23"/>
  <c r="G374" i="23"/>
  <c r="H374" i="23"/>
  <c r="I374" i="23"/>
  <c r="N374" i="23"/>
  <c r="O374" i="23"/>
  <c r="P374" i="23"/>
  <c r="Q374" i="23"/>
  <c r="R374" i="23"/>
  <c r="V374" i="23"/>
  <c r="W374" i="23"/>
  <c r="X374" i="23"/>
  <c r="Z374" i="23"/>
  <c r="F375" i="23"/>
  <c r="G375" i="23"/>
  <c r="H375" i="23"/>
  <c r="N375" i="23"/>
  <c r="O375" i="23"/>
  <c r="V375" i="23"/>
  <c r="W375" i="23"/>
  <c r="X375" i="23"/>
  <c r="Z375" i="23"/>
  <c r="F376" i="23"/>
  <c r="G376" i="23"/>
  <c r="H376" i="23"/>
  <c r="I376" i="23"/>
  <c r="J376" i="23"/>
  <c r="K376" i="23"/>
  <c r="N376" i="23"/>
  <c r="O376" i="23"/>
  <c r="P376" i="23"/>
  <c r="Q376" i="23"/>
  <c r="R376" i="23"/>
  <c r="V376" i="23"/>
  <c r="W376" i="23"/>
  <c r="X376" i="23"/>
  <c r="Z376" i="23"/>
  <c r="F377" i="23"/>
  <c r="G377" i="23"/>
  <c r="H377" i="23"/>
  <c r="I377" i="23"/>
  <c r="J377" i="23"/>
  <c r="K377" i="23"/>
  <c r="L377" i="23"/>
  <c r="M377" i="23"/>
  <c r="N377" i="23"/>
  <c r="O377" i="23"/>
  <c r="P377" i="23"/>
  <c r="Q377" i="23"/>
  <c r="R377" i="23"/>
  <c r="V377" i="23"/>
  <c r="W377" i="23"/>
  <c r="X377" i="23"/>
  <c r="Z377" i="23"/>
  <c r="F378" i="23"/>
  <c r="G378" i="23"/>
  <c r="N378" i="23"/>
  <c r="O378" i="23"/>
  <c r="V378" i="23"/>
  <c r="W378" i="23"/>
  <c r="X378" i="23"/>
  <c r="Z378" i="23"/>
  <c r="Z379" i="23"/>
  <c r="Z380" i="23"/>
  <c r="Z381" i="23"/>
  <c r="Z382" i="23"/>
  <c r="Z383" i="23"/>
  <c r="Z384" i="23"/>
  <c r="Z385" i="23"/>
  <c r="Z386" i="23"/>
  <c r="Z387" i="23"/>
  <c r="Z388" i="23"/>
  <c r="Z392" i="23"/>
  <c r="Z393" i="23"/>
  <c r="Z394" i="23"/>
  <c r="Z395" i="23"/>
  <c r="Z396" i="23"/>
  <c r="Z397" i="23"/>
  <c r="Z398" i="23"/>
  <c r="Z399" i="23"/>
  <c r="Z400" i="23"/>
  <c r="Z401" i="23"/>
  <c r="Z402" i="23"/>
  <c r="Z403" i="23"/>
  <c r="Z404" i="23"/>
  <c r="Z405" i="23"/>
  <c r="Z406" i="23"/>
  <c r="D410" i="23"/>
  <c r="Z410" i="23"/>
  <c r="D411" i="23"/>
  <c r="Z411" i="23"/>
  <c r="D412" i="23"/>
  <c r="Z412" i="23"/>
  <c r="D413" i="23"/>
  <c r="Z413" i="23"/>
  <c r="D414" i="23"/>
  <c r="Z414" i="23"/>
  <c r="D415" i="23"/>
  <c r="Z415" i="23"/>
  <c r="D416" i="23"/>
  <c r="Z416" i="23"/>
  <c r="D417" i="23"/>
  <c r="Z417" i="23"/>
  <c r="D418" i="23"/>
  <c r="Z418" i="23"/>
  <c r="D419" i="23"/>
  <c r="Z419" i="23"/>
  <c r="D420" i="23"/>
  <c r="Z420" i="23"/>
  <c r="D421" i="23"/>
  <c r="Z421" i="23"/>
  <c r="D422" i="23"/>
  <c r="Z422" i="23"/>
  <c r="D423" i="23"/>
  <c r="Z423" i="23"/>
  <c r="D424" i="23"/>
  <c r="Z424" i="23"/>
  <c r="Z428" i="23"/>
  <c r="C432" i="23"/>
  <c r="Z432" i="23"/>
  <c r="C433" i="23"/>
  <c r="Z433" i="23"/>
  <c r="C434" i="23"/>
  <c r="Z434" i="23"/>
  <c r="C435" i="23"/>
  <c r="Z435" i="23"/>
  <c r="C436" i="23"/>
  <c r="Z436" i="23"/>
  <c r="Z440" i="23"/>
  <c r="Z444" i="23"/>
  <c r="F448" i="23"/>
  <c r="G448" i="23"/>
  <c r="H448" i="23"/>
  <c r="I448" i="23"/>
  <c r="J448" i="23"/>
  <c r="K448" i="23"/>
  <c r="L448" i="23"/>
  <c r="M448" i="23"/>
  <c r="N448" i="23"/>
  <c r="O448" i="23"/>
  <c r="P448" i="23"/>
  <c r="Q448" i="23"/>
  <c r="R448" i="23"/>
  <c r="S448" i="23"/>
  <c r="T448" i="23"/>
  <c r="U448" i="23"/>
  <c r="V448" i="23"/>
  <c r="W448" i="23"/>
  <c r="X448" i="23"/>
  <c r="F451" i="23"/>
  <c r="G451" i="23"/>
  <c r="H451" i="23"/>
  <c r="I451" i="23"/>
  <c r="J451" i="23"/>
  <c r="K451" i="23"/>
  <c r="L451" i="23"/>
  <c r="M451" i="23"/>
  <c r="N451" i="23"/>
  <c r="O451" i="23"/>
  <c r="P451" i="23"/>
  <c r="Q451" i="23"/>
  <c r="R451" i="23"/>
  <c r="S451" i="23"/>
  <c r="T451" i="23"/>
  <c r="U451" i="23"/>
  <c r="V451" i="23"/>
  <c r="W451" i="23"/>
  <c r="X451" i="23"/>
  <c r="F454" i="23"/>
  <c r="G454" i="23"/>
  <c r="H454" i="23"/>
  <c r="I454" i="23"/>
  <c r="J454" i="23"/>
  <c r="K454" i="23"/>
  <c r="L454" i="23"/>
  <c r="M454" i="23"/>
  <c r="N454" i="23"/>
  <c r="O454" i="23"/>
  <c r="P454" i="23"/>
  <c r="Q454" i="23"/>
  <c r="R454" i="23"/>
  <c r="S454" i="23"/>
  <c r="T454" i="23"/>
  <c r="U454" i="23"/>
  <c r="V454" i="23"/>
  <c r="W454" i="23"/>
  <c r="X454" i="23"/>
  <c r="C2" i="22"/>
  <c r="W6" i="22"/>
  <c r="B7" i="22"/>
  <c r="W7" i="22"/>
  <c r="W8" i="22"/>
  <c r="B9" i="22"/>
  <c r="W9" i="22"/>
  <c r="W10" i="22"/>
  <c r="B11" i="22"/>
  <c r="W11" i="22"/>
  <c r="W12" i="22"/>
  <c r="B13" i="22"/>
  <c r="W13" i="22"/>
  <c r="W14" i="22"/>
  <c r="B15" i="22"/>
  <c r="W15" i="22"/>
  <c r="W16" i="22"/>
  <c r="B17" i="22"/>
  <c r="W17" i="22"/>
  <c r="W18" i="22"/>
  <c r="B19" i="22"/>
  <c r="W19" i="22"/>
  <c r="W20" i="22"/>
  <c r="B21" i="22"/>
  <c r="W21" i="22"/>
  <c r="W22" i="22"/>
  <c r="B23" i="22"/>
  <c r="W23" i="22"/>
  <c r="W24" i="22"/>
  <c r="B25" i="22"/>
  <c r="W25" i="22"/>
  <c r="W26" i="22"/>
  <c r="B27" i="22"/>
  <c r="W27" i="22"/>
  <c r="W28" i="22"/>
  <c r="B29" i="22"/>
  <c r="W29" i="22"/>
  <c r="D30" i="22"/>
  <c r="F6" i="23"/>
  <c r="E30" i="22"/>
  <c r="G6" i="23"/>
  <c r="F30" i="22"/>
  <c r="H6" i="23"/>
  <c r="G30" i="22"/>
  <c r="I6" i="23"/>
  <c r="H30" i="22"/>
  <c r="J6" i="23"/>
  <c r="I30" i="22"/>
  <c r="K6" i="23"/>
  <c r="J30" i="22"/>
  <c r="L6" i="23"/>
  <c r="K30" i="22"/>
  <c r="M6" i="23"/>
  <c r="L30" i="22"/>
  <c r="N6" i="23"/>
  <c r="M30" i="22"/>
  <c r="O6" i="23"/>
  <c r="N30" i="22"/>
  <c r="P6" i="23"/>
  <c r="O30" i="22"/>
  <c r="Q6" i="23"/>
  <c r="P30" i="22"/>
  <c r="R6" i="23"/>
  <c r="Q30" i="22"/>
  <c r="S6" i="23"/>
  <c r="R30" i="22"/>
  <c r="T6" i="23"/>
  <c r="S30" i="22"/>
  <c r="U6" i="23"/>
  <c r="T30" i="22"/>
  <c r="V6" i="23"/>
  <c r="U30" i="22"/>
  <c r="W6" i="23"/>
  <c r="V30" i="22"/>
  <c r="X6" i="23"/>
  <c r="W30" i="22"/>
  <c r="D31" i="22"/>
  <c r="F7" i="23"/>
  <c r="E31" i="22"/>
  <c r="G7" i="23"/>
  <c r="F31" i="22"/>
  <c r="H7" i="23"/>
  <c r="G31" i="22"/>
  <c r="I7" i="23"/>
  <c r="H31" i="22"/>
  <c r="J7" i="23"/>
  <c r="I31" i="22"/>
  <c r="K7" i="23"/>
  <c r="J31" i="22"/>
  <c r="L7" i="23"/>
  <c r="K31" i="22"/>
  <c r="M7" i="23"/>
  <c r="L31" i="22"/>
  <c r="N7" i="23"/>
  <c r="M31" i="22"/>
  <c r="O7" i="23"/>
  <c r="N31" i="22"/>
  <c r="P7" i="23"/>
  <c r="O31" i="22"/>
  <c r="Q7" i="23"/>
  <c r="P31" i="22"/>
  <c r="R7" i="23"/>
  <c r="Q31" i="22"/>
  <c r="S7" i="23"/>
  <c r="R31" i="22"/>
  <c r="T7" i="23"/>
  <c r="S31" i="22"/>
  <c r="U7" i="23"/>
  <c r="T31" i="22"/>
  <c r="V7" i="23"/>
  <c r="U31" i="22"/>
  <c r="W7" i="23"/>
  <c r="V31" i="22"/>
  <c r="X7" i="23"/>
  <c r="D32" i="22"/>
  <c r="F8" i="23"/>
  <c r="E32" i="22"/>
  <c r="G8" i="23"/>
  <c r="F32" i="22"/>
  <c r="H8" i="23"/>
  <c r="G32" i="22"/>
  <c r="I8" i="23"/>
  <c r="H32" i="22"/>
  <c r="J8" i="23"/>
  <c r="I32" i="22"/>
  <c r="K8" i="23"/>
  <c r="J32" i="22"/>
  <c r="L8" i="23"/>
  <c r="K32" i="22"/>
  <c r="M8" i="23"/>
  <c r="L32" i="22"/>
  <c r="N8" i="23"/>
  <c r="M32" i="22"/>
  <c r="O8" i="23"/>
  <c r="N32" i="22"/>
  <c r="P8" i="23"/>
  <c r="O32" i="22"/>
  <c r="Q8" i="23"/>
  <c r="P32" i="22"/>
  <c r="R8" i="23"/>
  <c r="Q32" i="22"/>
  <c r="S8" i="23"/>
  <c r="R32" i="22"/>
  <c r="T8" i="23"/>
  <c r="S32" i="22"/>
  <c r="U8" i="23"/>
  <c r="T32" i="22"/>
  <c r="V8" i="23"/>
  <c r="U32" i="22"/>
  <c r="W8" i="23"/>
  <c r="V32" i="22"/>
  <c r="X8" i="23"/>
  <c r="B36" i="22" a="1"/>
  <c r="B36" i="22" s="1"/>
  <c r="F24" i="23" s="1"/>
  <c r="G36" i="22"/>
  <c r="G37" i="22"/>
  <c r="G38" i="22"/>
  <c r="G39" i="22"/>
  <c r="G40" i="22"/>
  <c r="M40" i="22"/>
  <c r="G41" i="22"/>
  <c r="M41" i="22"/>
  <c r="AB41" i="22"/>
  <c r="AC41" i="22"/>
  <c r="G42" i="22"/>
  <c r="M42" i="22"/>
  <c r="AB42" i="22"/>
  <c r="AC42" i="22"/>
  <c r="G43" i="22"/>
  <c r="M43" i="22"/>
  <c r="AB43" i="22"/>
  <c r="AC43" i="22"/>
  <c r="G44" i="22"/>
  <c r="AB44" i="22"/>
  <c r="AC44" i="22"/>
  <c r="G45" i="22"/>
  <c r="AB45" i="22"/>
  <c r="AC45" i="22"/>
  <c r="G46" i="22"/>
  <c r="AB46" i="22"/>
  <c r="AC46" i="22"/>
  <c r="G47" i="22"/>
  <c r="AB47" i="22"/>
  <c r="AC47" i="22"/>
  <c r="G48" i="22"/>
  <c r="AB48" i="22"/>
  <c r="AC48" i="22"/>
  <c r="G49" i="22"/>
  <c r="AB49" i="22"/>
  <c r="AC49" i="22"/>
  <c r="G50" i="22"/>
  <c r="AB50" i="22"/>
  <c r="AC50" i="22"/>
  <c r="G51" i="22"/>
  <c r="AB51" i="22"/>
  <c r="AC51" i="22"/>
  <c r="G52" i="22"/>
  <c r="AB52" i="22"/>
  <c r="AC52" i="22"/>
  <c r="G53" i="22"/>
  <c r="AB53" i="22"/>
  <c r="AC53" i="22"/>
  <c r="G54" i="22"/>
  <c r="AB54" i="22"/>
  <c r="AC54" i="22"/>
  <c r="AB55" i="22"/>
  <c r="AC55" i="22"/>
  <c r="AB56" i="22"/>
  <c r="AC56" i="22"/>
  <c r="G5" i="21"/>
  <c r="J5" i="21"/>
  <c r="K5" i="21"/>
  <c r="G6" i="21"/>
  <c r="J6" i="21"/>
  <c r="K6" i="21"/>
  <c r="G7" i="21"/>
  <c r="J7" i="21"/>
  <c r="K7" i="21"/>
  <c r="G8" i="21"/>
  <c r="J8" i="21"/>
  <c r="K8" i="21"/>
  <c r="G9" i="21"/>
  <c r="J9" i="21"/>
  <c r="K9" i="21"/>
  <c r="G10" i="21"/>
  <c r="J10" i="21"/>
  <c r="K10" i="21"/>
  <c r="G11" i="21"/>
  <c r="J11" i="21"/>
  <c r="K11" i="21"/>
  <c r="J12" i="21"/>
  <c r="K12" i="21"/>
  <c r="J13" i="21"/>
  <c r="K13" i="21"/>
  <c r="G14" i="21"/>
  <c r="J14" i="21"/>
  <c r="K14" i="21"/>
  <c r="G15" i="21"/>
  <c r="J15" i="21"/>
  <c r="K15" i="21"/>
  <c r="G16" i="21"/>
  <c r="J16" i="21"/>
  <c r="K16" i="21"/>
  <c r="J17" i="21"/>
  <c r="K17" i="21"/>
  <c r="G18" i="21"/>
  <c r="J18" i="21"/>
  <c r="K18" i="21"/>
  <c r="G19" i="21"/>
  <c r="J19" i="21"/>
  <c r="K19" i="21"/>
  <c r="J20" i="21"/>
  <c r="K20" i="21"/>
  <c r="G21" i="21"/>
  <c r="J21" i="21"/>
  <c r="K21" i="21"/>
  <c r="G22" i="21"/>
  <c r="J22" i="21"/>
  <c r="K22" i="21"/>
  <c r="J23" i="21"/>
  <c r="K23" i="21"/>
  <c r="G24" i="21"/>
  <c r="J24" i="21"/>
  <c r="K24" i="21"/>
  <c r="G25" i="21"/>
  <c r="J25" i="21"/>
  <c r="K25" i="21"/>
  <c r="J26" i="21"/>
  <c r="K26" i="21"/>
  <c r="G27" i="21"/>
  <c r="J27" i="21"/>
  <c r="K27" i="21"/>
  <c r="G28" i="21"/>
  <c r="J28" i="21"/>
  <c r="K28" i="21"/>
  <c r="J29" i="21"/>
  <c r="K29" i="21"/>
  <c r="G30" i="21"/>
  <c r="J30" i="21"/>
  <c r="K30" i="21"/>
  <c r="G31" i="21"/>
  <c r="J31" i="21"/>
  <c r="K31" i="21"/>
  <c r="J32" i="21"/>
  <c r="K32" i="21"/>
  <c r="G33" i="21"/>
  <c r="J33" i="21"/>
  <c r="K33" i="21"/>
  <c r="G34" i="21"/>
  <c r="J34" i="21"/>
  <c r="K34" i="21"/>
  <c r="J35" i="21"/>
  <c r="K35" i="21"/>
  <c r="G36" i="21"/>
  <c r="J36" i="21"/>
  <c r="K36" i="21"/>
  <c r="G37" i="21"/>
  <c r="J37" i="21"/>
  <c r="K37" i="21"/>
  <c r="J38" i="21"/>
  <c r="K38" i="21"/>
  <c r="G39" i="21"/>
  <c r="J39" i="21"/>
  <c r="K39" i="21"/>
  <c r="G40" i="21"/>
  <c r="J40" i="21"/>
  <c r="K40" i="21"/>
  <c r="J41" i="21"/>
  <c r="K41" i="21"/>
  <c r="G42" i="21"/>
  <c r="J42" i="21"/>
  <c r="K42" i="21"/>
  <c r="G43" i="21"/>
  <c r="J43" i="21"/>
  <c r="K43" i="21"/>
  <c r="J44" i="21"/>
  <c r="K44" i="21"/>
  <c r="G45" i="21"/>
  <c r="J45" i="21"/>
  <c r="K45" i="21"/>
  <c r="G46" i="21"/>
  <c r="J46" i="21"/>
  <c r="K46" i="21"/>
  <c r="J47" i="21"/>
  <c r="K47" i="21"/>
  <c r="G48" i="21"/>
  <c r="J48" i="21"/>
  <c r="K48" i="21"/>
  <c r="G49" i="21"/>
  <c r="J49" i="21"/>
  <c r="K49" i="21"/>
  <c r="J50" i="21"/>
  <c r="K50" i="21"/>
  <c r="G51" i="21"/>
  <c r="J51" i="21"/>
  <c r="K51" i="21"/>
  <c r="G52" i="21"/>
  <c r="J52" i="21"/>
  <c r="K52" i="21"/>
  <c r="J53" i="21"/>
  <c r="K53" i="21"/>
  <c r="G54" i="21"/>
  <c r="J54" i="21"/>
  <c r="K54" i="21"/>
  <c r="G55" i="21"/>
  <c r="J55" i="21"/>
  <c r="K55" i="21"/>
  <c r="J56" i="21"/>
  <c r="K56" i="21"/>
  <c r="G57" i="21"/>
  <c r="J57" i="21"/>
  <c r="K57" i="21"/>
  <c r="G58" i="21"/>
  <c r="J58" i="21"/>
  <c r="K58" i="21"/>
  <c r="J59" i="21"/>
  <c r="K59" i="21"/>
  <c r="G60" i="21"/>
  <c r="J60" i="21"/>
  <c r="K60" i="21"/>
  <c r="G61" i="21"/>
  <c r="J61" i="21"/>
  <c r="K61" i="21"/>
  <c r="J62" i="21"/>
  <c r="K62" i="21"/>
  <c r="G63" i="21"/>
  <c r="J63" i="21"/>
  <c r="K63" i="21"/>
  <c r="G64" i="21"/>
  <c r="J64" i="21"/>
  <c r="K64" i="21"/>
  <c r="J65" i="21"/>
  <c r="K65" i="21"/>
  <c r="G66" i="21"/>
  <c r="J66" i="21"/>
  <c r="K66" i="21"/>
  <c r="G67" i="21"/>
  <c r="J67" i="21"/>
  <c r="K67" i="21"/>
  <c r="J68" i="21"/>
  <c r="K68" i="21"/>
  <c r="G69" i="21"/>
  <c r="J69" i="21"/>
  <c r="K69" i="21"/>
  <c r="G70" i="21"/>
  <c r="J70" i="21"/>
  <c r="K70" i="21"/>
  <c r="J71" i="21"/>
  <c r="K71" i="21"/>
  <c r="G72" i="21"/>
  <c r="J72" i="21"/>
  <c r="K72" i="21"/>
  <c r="G73" i="21"/>
  <c r="J73" i="21"/>
  <c r="K73" i="21"/>
  <c r="J74" i="21"/>
  <c r="K74" i="21"/>
  <c r="G75" i="21"/>
  <c r="J75" i="21"/>
  <c r="K75" i="21"/>
  <c r="G76" i="21"/>
  <c r="J76" i="21"/>
  <c r="K76" i="21"/>
  <c r="J77" i="21"/>
  <c r="K77" i="21"/>
  <c r="G78" i="21"/>
  <c r="J78" i="21"/>
  <c r="K78" i="21"/>
  <c r="G79" i="21"/>
  <c r="J79" i="21"/>
  <c r="K79" i="21"/>
  <c r="J80" i="21"/>
  <c r="K80" i="21"/>
  <c r="G81" i="21"/>
  <c r="J81" i="21"/>
  <c r="K81" i="21"/>
  <c r="G82" i="21"/>
  <c r="J82" i="21"/>
  <c r="K82" i="21"/>
  <c r="J83" i="21"/>
  <c r="K83" i="21"/>
  <c r="G84" i="21"/>
  <c r="J84" i="21"/>
  <c r="K84" i="21"/>
  <c r="G85" i="21"/>
  <c r="J85" i="21"/>
  <c r="K85" i="21"/>
  <c r="J86" i="21"/>
  <c r="K86" i="21"/>
  <c r="G87" i="21"/>
  <c r="J87" i="21"/>
  <c r="K87" i="21"/>
  <c r="G88" i="21"/>
  <c r="J88" i="21"/>
  <c r="K88" i="21"/>
  <c r="J89" i="21"/>
  <c r="K89" i="21"/>
  <c r="G90" i="21"/>
  <c r="J90" i="21"/>
  <c r="K90" i="21"/>
  <c r="G91" i="21"/>
  <c r="J91" i="21"/>
  <c r="K91" i="21"/>
  <c r="J92" i="21"/>
  <c r="K92" i="21"/>
  <c r="G93" i="21"/>
  <c r="J93" i="21"/>
  <c r="K93" i="21"/>
  <c r="G94" i="21"/>
  <c r="J94" i="21"/>
  <c r="K94" i="21"/>
  <c r="J95" i="21"/>
  <c r="K95" i="21"/>
  <c r="G96" i="21"/>
  <c r="J96" i="21"/>
  <c r="K96" i="21"/>
  <c r="G97" i="21"/>
  <c r="J97" i="21"/>
  <c r="K97" i="21"/>
  <c r="J98" i="21"/>
  <c r="K98" i="21"/>
  <c r="G99" i="21"/>
  <c r="J99" i="21"/>
  <c r="K99" i="21"/>
  <c r="G100" i="21"/>
  <c r="J100" i="21"/>
  <c r="K100" i="21"/>
  <c r="J101" i="21"/>
  <c r="K101" i="21"/>
  <c r="G102" i="21"/>
  <c r="J102" i="21"/>
  <c r="K102" i="21"/>
  <c r="G103" i="21"/>
  <c r="J103" i="21"/>
  <c r="K103" i="21"/>
  <c r="J104" i="21"/>
  <c r="K104" i="21"/>
  <c r="G105" i="21"/>
  <c r="J105" i="21"/>
  <c r="K105" i="21"/>
  <c r="G106" i="21"/>
  <c r="J106" i="21"/>
  <c r="K106" i="21"/>
  <c r="J107" i="21"/>
  <c r="K107" i="21"/>
  <c r="G108" i="21"/>
  <c r="J108" i="21"/>
  <c r="K108" i="21"/>
  <c r="G109" i="21"/>
  <c r="J109" i="21"/>
  <c r="K109" i="21"/>
  <c r="J110" i="21"/>
  <c r="K110" i="21"/>
  <c r="G111" i="21"/>
  <c r="J111" i="21"/>
  <c r="K111" i="21"/>
  <c r="G112" i="21"/>
  <c r="J112" i="21"/>
  <c r="K112" i="21"/>
  <c r="J113" i="21"/>
  <c r="K113" i="21"/>
  <c r="G114" i="21"/>
  <c r="J114" i="21"/>
  <c r="K114" i="21"/>
  <c r="G115" i="21"/>
  <c r="J115" i="21"/>
  <c r="K115" i="21"/>
  <c r="J116" i="21"/>
  <c r="K116" i="21"/>
  <c r="G117" i="21"/>
  <c r="J117" i="21"/>
  <c r="K117" i="21"/>
  <c r="G118" i="21"/>
  <c r="J118" i="21"/>
  <c r="K118" i="21"/>
  <c r="J119" i="21"/>
  <c r="K119" i="21"/>
  <c r="G120" i="21"/>
  <c r="H120" i="21"/>
  <c r="J120" i="21"/>
  <c r="K120" i="21"/>
  <c r="G121" i="21"/>
  <c r="J121" i="21"/>
  <c r="K121" i="21"/>
  <c r="G122" i="21"/>
  <c r="J122" i="21"/>
  <c r="K122" i="21"/>
  <c r="G123" i="21"/>
  <c r="J123" i="21"/>
  <c r="K123" i="21"/>
  <c r="G124" i="21"/>
  <c r="J124" i="21"/>
  <c r="K124" i="21"/>
  <c r="J125" i="21"/>
  <c r="K125" i="21"/>
  <c r="G126" i="21"/>
  <c r="J126" i="21"/>
  <c r="K126" i="21"/>
  <c r="G127" i="21"/>
  <c r="J127" i="21"/>
  <c r="K127" i="21"/>
  <c r="G128" i="21"/>
  <c r="J128" i="21"/>
  <c r="K128" i="21"/>
  <c r="G129" i="21"/>
  <c r="J129" i="21"/>
  <c r="K129" i="21"/>
  <c r="G130" i="21"/>
  <c r="J130" i="21"/>
  <c r="K130" i="21"/>
  <c r="G131" i="21"/>
  <c r="J131" i="21"/>
  <c r="K131" i="21"/>
  <c r="G132" i="21"/>
  <c r="J132" i="21"/>
  <c r="K132" i="21"/>
  <c r="G133" i="21"/>
  <c r="J133" i="21"/>
  <c r="K133" i="21"/>
  <c r="G134" i="21"/>
  <c r="J134" i="21"/>
  <c r="K134" i="21"/>
  <c r="G135" i="21"/>
  <c r="J135" i="21"/>
  <c r="K135" i="21"/>
  <c r="G136" i="21"/>
  <c r="J136" i="21"/>
  <c r="K136" i="21"/>
  <c r="G137" i="21"/>
  <c r="J137" i="21"/>
  <c r="K137" i="21"/>
  <c r="G138" i="21"/>
  <c r="J138" i="21"/>
  <c r="K138" i="21"/>
  <c r="G139" i="21"/>
  <c r="J139" i="21"/>
  <c r="K139" i="21"/>
  <c r="G140" i="21"/>
  <c r="J140" i="21"/>
  <c r="K140" i="21"/>
  <c r="G141" i="21"/>
  <c r="J141" i="21"/>
  <c r="K141" i="21"/>
  <c r="J142" i="21"/>
  <c r="K142" i="21"/>
  <c r="G143" i="21"/>
  <c r="J143" i="21"/>
  <c r="K143" i="21"/>
  <c r="G144" i="21"/>
  <c r="J144" i="21"/>
  <c r="K144" i="21"/>
  <c r="J145" i="21"/>
  <c r="K145" i="21"/>
  <c r="G146" i="21"/>
  <c r="J146" i="21"/>
  <c r="K146" i="21"/>
  <c r="G147" i="21"/>
  <c r="J147" i="21"/>
  <c r="K147" i="21"/>
  <c r="G148" i="21"/>
  <c r="J148" i="21"/>
  <c r="K148" i="21"/>
  <c r="G149" i="21"/>
  <c r="J149" i="21"/>
  <c r="K149" i="21"/>
  <c r="G150" i="21"/>
  <c r="J150" i="21"/>
  <c r="K150" i="21"/>
  <c r="G151" i="21"/>
  <c r="J151" i="21"/>
  <c r="K151" i="21"/>
  <c r="G152" i="21"/>
  <c r="J152" i="21"/>
  <c r="K152" i="21"/>
  <c r="G153" i="21"/>
  <c r="J153" i="21"/>
  <c r="K153" i="21"/>
  <c r="G154" i="21"/>
  <c r="J154" i="21"/>
  <c r="K154" i="21"/>
  <c r="G155" i="21"/>
  <c r="J155" i="21"/>
  <c r="K155" i="21"/>
  <c r="G156" i="21"/>
  <c r="J156" i="21"/>
  <c r="K156" i="21"/>
  <c r="G157" i="21"/>
  <c r="J157" i="21"/>
  <c r="K157" i="21"/>
  <c r="D158" i="21"/>
  <c r="G158" i="21"/>
  <c r="J158" i="21"/>
  <c r="K158" i="21"/>
  <c r="D159" i="21"/>
  <c r="G159" i="21"/>
  <c r="J159" i="21"/>
  <c r="K159" i="21"/>
  <c r="D160" i="21"/>
  <c r="G160" i="21"/>
  <c r="J160" i="21"/>
  <c r="K160" i="21"/>
  <c r="D161" i="21"/>
  <c r="G161" i="21"/>
  <c r="J161" i="21"/>
  <c r="K161" i="21"/>
  <c r="D162" i="21"/>
  <c r="G162" i="21"/>
  <c r="J162" i="21"/>
  <c r="K162" i="21"/>
  <c r="D163" i="21"/>
  <c r="G163" i="21"/>
  <c r="J163" i="21"/>
  <c r="K163" i="21"/>
  <c r="D164" i="21"/>
  <c r="G164" i="21"/>
  <c r="J164" i="21"/>
  <c r="K164" i="21"/>
  <c r="D165" i="21"/>
  <c r="G165" i="21"/>
  <c r="J165" i="21"/>
  <c r="K165" i="21"/>
  <c r="D166" i="21"/>
  <c r="G166" i="21"/>
  <c r="J166" i="21"/>
  <c r="K166" i="21"/>
  <c r="D167" i="21"/>
  <c r="G167" i="21"/>
  <c r="J167" i="21"/>
  <c r="K167" i="21"/>
  <c r="D168" i="21"/>
  <c r="G168" i="21"/>
  <c r="J168" i="21"/>
  <c r="K168" i="21"/>
  <c r="G169" i="21"/>
  <c r="J169" i="21"/>
  <c r="K169" i="21"/>
  <c r="J170" i="21"/>
  <c r="K170" i="21"/>
  <c r="G171" i="21"/>
  <c r="J171" i="21"/>
  <c r="K171" i="21"/>
  <c r="F172" i="21"/>
  <c r="G172" i="21"/>
  <c r="H172" i="21"/>
  <c r="J172" i="21"/>
  <c r="K172" i="21"/>
  <c r="G173" i="21"/>
  <c r="J173" i="21"/>
  <c r="K173" i="21"/>
  <c r="G174" i="21"/>
  <c r="J174" i="21"/>
  <c r="K174" i="21"/>
  <c r="J175" i="21"/>
  <c r="K175" i="21"/>
  <c r="G176" i="21"/>
  <c r="J176" i="21"/>
  <c r="K176" i="21"/>
  <c r="G177" i="21"/>
  <c r="J177" i="21"/>
  <c r="K177" i="21"/>
  <c r="J178" i="21"/>
  <c r="K178" i="21"/>
  <c r="G179" i="21"/>
  <c r="J179" i="21"/>
  <c r="K179" i="21"/>
  <c r="G180" i="21"/>
  <c r="J180" i="21"/>
  <c r="K180" i="21"/>
  <c r="J181" i="21"/>
  <c r="K181" i="21"/>
  <c r="G182" i="21"/>
  <c r="J182" i="21"/>
  <c r="K182" i="21"/>
  <c r="G183" i="21"/>
  <c r="J183" i="21"/>
  <c r="K183" i="21"/>
  <c r="J184" i="21"/>
  <c r="K184" i="21"/>
  <c r="G185" i="21"/>
  <c r="J185" i="21"/>
  <c r="K185" i="21"/>
  <c r="G186" i="21"/>
  <c r="J186" i="21"/>
  <c r="K186" i="21"/>
  <c r="J187" i="21"/>
  <c r="K187" i="21"/>
  <c r="G188" i="21"/>
  <c r="J188" i="21"/>
  <c r="K188" i="21"/>
  <c r="G189" i="21"/>
  <c r="J189" i="21"/>
  <c r="K189" i="21"/>
  <c r="G190" i="21"/>
  <c r="J190" i="21"/>
  <c r="K190" i="21"/>
  <c r="G191" i="21"/>
  <c r="J191" i="21"/>
  <c r="K191" i="21"/>
  <c r="G192" i="21"/>
  <c r="J192" i="21"/>
  <c r="K192" i="21"/>
  <c r="G193" i="21"/>
  <c r="J193" i="21"/>
  <c r="K193" i="21"/>
  <c r="G194" i="21"/>
  <c r="J194" i="21"/>
  <c r="K194" i="21"/>
  <c r="G195" i="21"/>
  <c r="J195" i="21"/>
  <c r="K195" i="21"/>
  <c r="G196" i="21"/>
  <c r="J196" i="21"/>
  <c r="K196" i="21"/>
  <c r="G197" i="21"/>
  <c r="J197" i="21"/>
  <c r="K197" i="21"/>
  <c r="G198" i="21"/>
  <c r="J198" i="21"/>
  <c r="K198" i="21"/>
  <c r="G199" i="21"/>
  <c r="J199" i="21"/>
  <c r="K199" i="21"/>
  <c r="J200" i="21"/>
  <c r="K200" i="21"/>
  <c r="G201" i="21"/>
  <c r="J201" i="21"/>
  <c r="K201" i="21"/>
  <c r="G202" i="21"/>
  <c r="J202" i="21"/>
  <c r="K202" i="21"/>
  <c r="G203" i="21"/>
  <c r="J203" i="21"/>
  <c r="K203" i="21"/>
  <c r="G204" i="21"/>
  <c r="J204" i="21"/>
  <c r="K204" i="21"/>
  <c r="G205" i="21"/>
  <c r="J205" i="21"/>
  <c r="K205" i="21"/>
  <c r="G206" i="21"/>
  <c r="J206" i="21"/>
  <c r="K206" i="21"/>
  <c r="G207" i="21"/>
  <c r="J207" i="21"/>
  <c r="K207" i="21"/>
  <c r="G208" i="21"/>
  <c r="J208" i="21"/>
  <c r="K208" i="21"/>
  <c r="G209" i="21"/>
  <c r="J209" i="21"/>
  <c r="K209" i="21"/>
  <c r="G210" i="21"/>
  <c r="J210" i="21"/>
  <c r="K210" i="21"/>
  <c r="G211" i="21"/>
  <c r="J211" i="21"/>
  <c r="K211" i="21"/>
  <c r="G212" i="21"/>
  <c r="J212" i="21"/>
  <c r="K212" i="21"/>
  <c r="G213" i="21"/>
  <c r="J213" i="21"/>
  <c r="K213" i="21"/>
  <c r="G214" i="21"/>
  <c r="J214" i="21"/>
  <c r="K214" i="21"/>
  <c r="G215" i="21"/>
  <c r="J215" i="21"/>
  <c r="K215" i="21"/>
  <c r="G216" i="21"/>
  <c r="J216" i="21"/>
  <c r="K216" i="21"/>
  <c r="J217" i="21"/>
  <c r="K217" i="21"/>
  <c r="G218" i="21"/>
  <c r="J218" i="21"/>
  <c r="K218" i="21"/>
  <c r="G219" i="21"/>
  <c r="J219" i="21"/>
  <c r="K219" i="21"/>
  <c r="G220" i="21"/>
  <c r="J220" i="21"/>
  <c r="K220" i="21"/>
  <c r="G221" i="21"/>
  <c r="J221" i="21"/>
  <c r="K221" i="21"/>
  <c r="G222" i="21"/>
  <c r="J222" i="21"/>
  <c r="K222" i="21"/>
  <c r="G223" i="21"/>
  <c r="J223" i="21"/>
  <c r="K223" i="21"/>
  <c r="G224" i="21"/>
  <c r="J224" i="21"/>
  <c r="K224" i="21"/>
  <c r="G225" i="21"/>
  <c r="J225" i="21"/>
  <c r="K225" i="21"/>
  <c r="G226" i="21"/>
  <c r="J226" i="21"/>
  <c r="K226" i="21"/>
  <c r="G227" i="21"/>
  <c r="J227" i="21"/>
  <c r="K227" i="21"/>
  <c r="G228" i="21"/>
  <c r="J228" i="21"/>
  <c r="K228" i="21"/>
  <c r="G229" i="21"/>
  <c r="J229" i="21"/>
  <c r="K229" i="21"/>
  <c r="G230" i="21"/>
  <c r="J230" i="21"/>
  <c r="K230" i="21"/>
  <c r="G231" i="21"/>
  <c r="J231" i="21"/>
  <c r="K231" i="21"/>
  <c r="G232" i="21"/>
  <c r="J232" i="21"/>
  <c r="K232" i="21"/>
  <c r="G233" i="21"/>
  <c r="J233" i="21"/>
  <c r="K233" i="21"/>
  <c r="J234" i="21"/>
  <c r="K234" i="21"/>
  <c r="D235" i="21"/>
  <c r="G235" i="21"/>
  <c r="J235" i="21"/>
  <c r="K235" i="21"/>
  <c r="D236" i="21"/>
  <c r="G236" i="21"/>
  <c r="J236" i="21"/>
  <c r="K236" i="21"/>
  <c r="D237" i="21"/>
  <c r="G237" i="21"/>
  <c r="J237" i="21"/>
  <c r="K237" i="21"/>
  <c r="D238" i="21"/>
  <c r="G238" i="21"/>
  <c r="J238" i="21"/>
  <c r="K238" i="21"/>
  <c r="D239" i="21"/>
  <c r="G239" i="21"/>
  <c r="J239" i="21"/>
  <c r="K239" i="21"/>
  <c r="D240" i="21"/>
  <c r="G240" i="21"/>
  <c r="J240" i="21"/>
  <c r="K240" i="21"/>
  <c r="D241" i="21"/>
  <c r="G241" i="21"/>
  <c r="J241" i="21"/>
  <c r="K241" i="21"/>
  <c r="D242" i="21"/>
  <c r="G242" i="21"/>
  <c r="J242" i="21"/>
  <c r="K242" i="21"/>
  <c r="D243" i="21"/>
  <c r="G243" i="21"/>
  <c r="J243" i="21"/>
  <c r="K243" i="21"/>
  <c r="D244" i="21"/>
  <c r="G244" i="21"/>
  <c r="J244" i="21"/>
  <c r="K244" i="21"/>
  <c r="D245" i="21"/>
  <c r="G245" i="21"/>
  <c r="J245" i="21"/>
  <c r="K245" i="21"/>
  <c r="D246" i="21"/>
  <c r="G246" i="21"/>
  <c r="J246" i="21"/>
  <c r="K246" i="21"/>
  <c r="D247" i="21"/>
  <c r="G247" i="21"/>
  <c r="J247" i="21"/>
  <c r="K247" i="21"/>
  <c r="D248" i="21"/>
  <c r="G248" i="21"/>
  <c r="J248" i="21"/>
  <c r="K248" i="21"/>
  <c r="D249" i="21"/>
  <c r="G249" i="21"/>
  <c r="J249" i="21"/>
  <c r="K249" i="21"/>
  <c r="G250" i="21"/>
  <c r="J250" i="21"/>
  <c r="K250" i="21"/>
  <c r="J251" i="21"/>
  <c r="K251" i="21"/>
  <c r="C252" i="21"/>
  <c r="G252" i="21"/>
  <c r="J252" i="21"/>
  <c r="K252" i="21"/>
  <c r="C253" i="21"/>
  <c r="G253" i="21"/>
  <c r="J253" i="21"/>
  <c r="K253" i="21"/>
  <c r="C254" i="21"/>
  <c r="G254" i="21"/>
  <c r="J254" i="21"/>
  <c r="K254" i="21"/>
  <c r="C255" i="21"/>
  <c r="G255" i="21"/>
  <c r="J255" i="21"/>
  <c r="K255" i="21"/>
  <c r="C256" i="21"/>
  <c r="G256" i="21"/>
  <c r="J256" i="21"/>
  <c r="K256" i="21"/>
  <c r="G257" i="21"/>
  <c r="J257" i="21"/>
  <c r="K257" i="21"/>
  <c r="K258" i="21"/>
  <c r="CG92" i="19"/>
  <c r="U168" i="19"/>
  <c r="U167" i="19"/>
  <c r="U166" i="19"/>
  <c r="U165" i="19"/>
  <c r="U164" i="19"/>
  <c r="U163" i="19"/>
  <c r="U162" i="19"/>
  <c r="U161" i="19"/>
  <c r="U160" i="19"/>
  <c r="U159" i="19"/>
  <c r="U158" i="19"/>
  <c r="U157" i="19"/>
  <c r="U156" i="19"/>
  <c r="U155" i="19"/>
  <c r="U154" i="19"/>
  <c r="U153" i="19"/>
  <c r="U152" i="19"/>
  <c r="U151" i="19"/>
  <c r="U150" i="19"/>
  <c r="U149" i="19"/>
  <c r="U148" i="19"/>
  <c r="U147" i="19"/>
  <c r="U146" i="19"/>
  <c r="U145" i="19"/>
  <c r="U144" i="19"/>
  <c r="W144" i="19"/>
  <c r="Z168" i="19"/>
  <c r="Z167" i="19"/>
  <c r="Z166" i="19"/>
  <c r="Z165" i="19"/>
  <c r="Z164" i="19"/>
  <c r="Z163" i="19"/>
  <c r="Z162" i="19"/>
  <c r="Z161" i="19"/>
  <c r="Z160" i="19"/>
  <c r="Z159" i="19"/>
  <c r="Z158" i="19"/>
  <c r="Z157" i="19"/>
  <c r="Z156" i="19"/>
  <c r="Z155" i="19"/>
  <c r="Z154" i="19"/>
  <c r="Z153" i="19"/>
  <c r="Z152" i="19"/>
  <c r="Z151" i="19"/>
  <c r="Z150" i="19"/>
  <c r="Z149" i="19"/>
  <c r="Z148" i="19"/>
  <c r="Z147" i="19"/>
  <c r="Z146" i="19"/>
  <c r="Z145" i="19"/>
  <c r="Z144" i="19"/>
  <c r="AA168" i="19"/>
  <c r="AA167" i="19"/>
  <c r="AA166" i="19"/>
  <c r="AA165" i="19"/>
  <c r="AA164" i="19"/>
  <c r="AA163" i="19"/>
  <c r="AA162" i="19"/>
  <c r="AA161" i="19"/>
  <c r="AA160" i="19"/>
  <c r="AA159" i="19"/>
  <c r="AA158" i="19"/>
  <c r="AA157" i="19"/>
  <c r="AA156" i="19"/>
  <c r="AA155" i="19"/>
  <c r="AA154" i="19"/>
  <c r="AA153" i="19"/>
  <c r="AA152" i="19"/>
  <c r="AA151" i="19"/>
  <c r="AA150" i="19"/>
  <c r="AA149" i="19"/>
  <c r="AA148" i="19"/>
  <c r="AA147" i="19"/>
  <c r="AA146" i="19"/>
  <c r="AA145" i="19"/>
  <c r="AA144" i="19"/>
  <c r="AB168" i="19"/>
  <c r="AB167" i="19"/>
  <c r="AB166" i="19"/>
  <c r="AB165" i="19"/>
  <c r="AB164" i="19"/>
  <c r="AB163" i="19"/>
  <c r="AB162" i="19"/>
  <c r="AB161" i="19"/>
  <c r="AB160" i="19"/>
  <c r="AB159" i="19"/>
  <c r="AB158" i="19"/>
  <c r="AB157" i="19"/>
  <c r="AB156" i="19"/>
  <c r="AB155" i="19"/>
  <c r="AB154" i="19"/>
  <c r="AB153" i="19"/>
  <c r="AB152" i="19"/>
  <c r="AB151" i="19"/>
  <c r="AB150" i="19"/>
  <c r="AB149" i="19"/>
  <c r="AB148" i="19"/>
  <c r="AB147" i="19"/>
  <c r="AB146" i="19"/>
  <c r="AB145" i="19"/>
  <c r="AB144" i="19"/>
  <c r="AC168" i="19"/>
  <c r="AC167" i="19"/>
  <c r="AC166" i="19"/>
  <c r="AC165" i="19"/>
  <c r="AC164" i="19"/>
  <c r="AC163" i="19"/>
  <c r="AC162" i="19"/>
  <c r="AC161" i="19"/>
  <c r="AC160" i="19"/>
  <c r="AC159" i="19"/>
  <c r="AC158" i="19"/>
  <c r="AC157" i="19"/>
  <c r="AC156" i="19"/>
  <c r="AC155" i="19"/>
  <c r="AC154" i="19"/>
  <c r="AC153" i="19"/>
  <c r="AC152" i="19"/>
  <c r="AC151" i="19"/>
  <c r="AC150" i="19"/>
  <c r="AC149" i="19"/>
  <c r="AC148" i="19"/>
  <c r="AC147" i="19"/>
  <c r="AC146" i="19"/>
  <c r="AC145" i="19"/>
  <c r="AC144" i="19"/>
  <c r="AI144" i="19"/>
  <c r="W168" i="19"/>
  <c r="W167" i="19"/>
  <c r="W166" i="19"/>
  <c r="W165" i="19"/>
  <c r="W164" i="19"/>
  <c r="W163" i="19"/>
  <c r="W162" i="19"/>
  <c r="W161" i="19"/>
  <c r="W160" i="19"/>
  <c r="W159" i="19"/>
  <c r="W158" i="19"/>
  <c r="W157" i="19"/>
  <c r="W156" i="19"/>
  <c r="W155" i="19"/>
  <c r="W154" i="19"/>
  <c r="W153" i="19"/>
  <c r="W152" i="19"/>
  <c r="W151" i="19"/>
  <c r="W150" i="19"/>
  <c r="W149" i="19"/>
  <c r="W148" i="19"/>
  <c r="W147" i="19"/>
  <c r="W146" i="19"/>
  <c r="W145" i="19"/>
  <c r="V168" i="19"/>
  <c r="V167" i="19"/>
  <c r="V166" i="19"/>
  <c r="V165" i="19"/>
  <c r="V164" i="19"/>
  <c r="V163" i="19"/>
  <c r="V162" i="19"/>
  <c r="V161" i="19"/>
  <c r="V160" i="19"/>
  <c r="V159" i="19"/>
  <c r="V158" i="19"/>
  <c r="V157" i="19"/>
  <c r="V156" i="19"/>
  <c r="V155" i="19"/>
  <c r="V154" i="19"/>
  <c r="V153" i="19"/>
  <c r="V152" i="19"/>
  <c r="V151" i="19"/>
  <c r="V150" i="19"/>
  <c r="V149" i="19"/>
  <c r="V148" i="19"/>
  <c r="V147" i="19"/>
  <c r="V146" i="19"/>
  <c r="V145" i="19"/>
  <c r="V144" i="19"/>
  <c r="G168" i="19"/>
  <c r="G167" i="19"/>
  <c r="G166" i="19"/>
  <c r="G165" i="19"/>
  <c r="G164" i="19"/>
  <c r="G163" i="19"/>
  <c r="G162" i="19"/>
  <c r="G161" i="19"/>
  <c r="G160" i="19"/>
  <c r="G159" i="19"/>
  <c r="G158" i="19"/>
  <c r="G157" i="19"/>
  <c r="G156" i="19"/>
  <c r="G155" i="19"/>
  <c r="G154" i="19"/>
  <c r="G153" i="19"/>
  <c r="G152" i="19"/>
  <c r="G151" i="19"/>
  <c r="G150" i="19"/>
  <c r="G149" i="19"/>
  <c r="G148" i="19"/>
  <c r="G147" i="19"/>
  <c r="G146" i="19"/>
  <c r="G145" i="19"/>
  <c r="G144" i="19"/>
  <c r="T40" i="12"/>
  <c r="T41" i="12"/>
  <c r="T42" i="12"/>
  <c r="T43" i="12"/>
  <c r="T22" i="12"/>
  <c r="T21" i="12"/>
  <c r="T20" i="12"/>
  <c r="T19" i="12"/>
  <c r="T18" i="12"/>
  <c r="S39" i="12"/>
  <c r="T39" i="12" s="1"/>
  <c r="R24" i="12"/>
  <c r="R25" i="12" s="1"/>
  <c r="R26" i="12" s="1"/>
  <c r="R27" i="12" s="1"/>
  <c r="R28" i="12" s="1"/>
  <c r="R29" i="12" s="1"/>
  <c r="R30" i="12" s="1"/>
  <c r="R31" i="12" s="1"/>
  <c r="R32" i="12" s="1"/>
  <c r="R33" i="12" s="1"/>
  <c r="R34" i="12" s="1"/>
  <c r="R35" i="12" s="1"/>
  <c r="R36" i="12" s="1"/>
  <c r="R37" i="12" s="1"/>
  <c r="R38" i="12" s="1"/>
  <c r="R39" i="12" s="1"/>
  <c r="R40" i="12" s="1"/>
  <c r="R41" i="12" s="1"/>
  <c r="F20" i="12"/>
  <c r="Y8" i="23"/>
  <c r="Y7" i="23"/>
  <c r="X11" i="23"/>
  <c r="X12" i="23"/>
  <c r="X13" i="23"/>
  <c r="X14" i="23"/>
  <c r="X15" i="23"/>
  <c r="X16" i="23"/>
  <c r="X17" i="23"/>
  <c r="X19" i="23"/>
  <c r="X20" i="23"/>
  <c r="X21" i="23"/>
  <c r="X22" i="23"/>
  <c r="X23" i="23"/>
  <c r="X332" i="23"/>
  <c r="X24" i="23"/>
  <c r="X25" i="23"/>
  <c r="X27" i="23"/>
  <c r="X28" i="23"/>
  <c r="X29" i="23"/>
  <c r="X30" i="23"/>
  <c r="X31" i="23"/>
  <c r="X32" i="23"/>
  <c r="X33" i="23"/>
  <c r="X35" i="23"/>
  <c r="X36" i="23"/>
  <c r="X37" i="23"/>
  <c r="X38" i="23"/>
  <c r="X39" i="23"/>
  <c r="X40" i="23"/>
  <c r="X41" i="23"/>
  <c r="X61" i="23"/>
  <c r="X62" i="23"/>
  <c r="X67" i="23"/>
  <c r="X68" i="23"/>
  <c r="X69" i="23"/>
  <c r="X70" i="23"/>
  <c r="X72" i="23"/>
  <c r="X76" i="23"/>
  <c r="X77" i="23"/>
  <c r="X78" i="23"/>
  <c r="X80" i="23"/>
  <c r="X84" i="23"/>
  <c r="X85" i="23"/>
  <c r="X86" i="23"/>
  <c r="X88" i="23"/>
  <c r="X89" i="23"/>
  <c r="X90" i="23"/>
  <c r="X92" i="23"/>
  <c r="X93" i="23"/>
  <c r="X94" i="23"/>
  <c r="X96" i="23"/>
  <c r="X97" i="23"/>
  <c r="X98" i="23"/>
  <c r="X101" i="23"/>
  <c r="X102" i="23"/>
  <c r="X104" i="23"/>
  <c r="X105" i="23"/>
  <c r="X106" i="23"/>
  <c r="X117" i="23"/>
  <c r="X118" i="23"/>
  <c r="X120" i="23"/>
  <c r="X121" i="23"/>
  <c r="X122" i="23"/>
  <c r="X125" i="23"/>
  <c r="X126" i="23"/>
  <c r="X129" i="23"/>
  <c r="X130" i="23"/>
  <c r="X133" i="23"/>
  <c r="X134" i="23"/>
  <c r="X136" i="23"/>
  <c r="X140" i="23"/>
  <c r="X141" i="23"/>
  <c r="X142" i="23"/>
  <c r="X149" i="23"/>
  <c r="X150" i="23"/>
  <c r="X153" i="23"/>
  <c r="X154" i="23"/>
  <c r="X157" i="23"/>
  <c r="X158" i="23"/>
  <c r="X161" i="23"/>
  <c r="X162" i="23"/>
  <c r="X165" i="23"/>
  <c r="X166" i="23"/>
  <c r="X169" i="23"/>
  <c r="X170" i="23"/>
  <c r="X173" i="23"/>
  <c r="X174" i="23"/>
  <c r="X177" i="23"/>
  <c r="X178" i="23"/>
  <c r="X181" i="23"/>
  <c r="X182" i="23"/>
  <c r="X185" i="23"/>
  <c r="X186" i="23"/>
  <c r="X189" i="23"/>
  <c r="X190" i="23"/>
  <c r="X193" i="23"/>
  <c r="X194" i="23"/>
  <c r="X197" i="23"/>
  <c r="X198" i="23"/>
  <c r="X201" i="23"/>
  <c r="X202" i="23"/>
  <c r="X205" i="23"/>
  <c r="X206" i="23"/>
  <c r="X209" i="23"/>
  <c r="X210" i="23"/>
  <c r="X213" i="23"/>
  <c r="X214" i="23"/>
  <c r="X216" i="23"/>
  <c r="X217" i="23"/>
  <c r="X218" i="23"/>
  <c r="X220" i="23"/>
  <c r="X221" i="23"/>
  <c r="X222" i="23"/>
  <c r="X224" i="23"/>
  <c r="X225" i="23"/>
  <c r="X226" i="23"/>
  <c r="X238" i="23"/>
  <c r="X240" i="23"/>
  <c r="X241" i="23"/>
  <c r="X242" i="23"/>
  <c r="X243" i="23"/>
  <c r="X244" i="23"/>
  <c r="X245" i="23"/>
  <c r="X246" i="23"/>
  <c r="X247" i="23"/>
  <c r="X248" i="23"/>
  <c r="X249" i="23"/>
  <c r="X250" i="23"/>
  <c r="X255" i="23"/>
  <c r="X256" i="23"/>
  <c r="X257" i="23"/>
  <c r="X258" i="23"/>
  <c r="X275" i="23"/>
  <c r="X276" i="23"/>
  <c r="X279" i="23"/>
  <c r="X280" i="23"/>
  <c r="X317" i="23"/>
  <c r="X318" i="23"/>
  <c r="X319" i="23"/>
  <c r="X333" i="23"/>
  <c r="X334" i="23"/>
  <c r="X337" i="23"/>
  <c r="X338" i="23"/>
  <c r="X340" i="23"/>
  <c r="X341" i="23"/>
  <c r="X342" i="23"/>
  <c r="X344" i="23"/>
  <c r="X345" i="23"/>
  <c r="X346" i="23"/>
  <c r="X348" i="23"/>
  <c r="X349" i="23"/>
  <c r="X350" i="23"/>
  <c r="X352" i="23"/>
  <c r="X353" i="23"/>
  <c r="X354" i="23"/>
  <c r="X356" i="23"/>
  <c r="X357" i="23"/>
  <c r="X358" i="23"/>
  <c r="X360" i="23"/>
  <c r="X361" i="23"/>
  <c r="X362" i="23"/>
  <c r="X363" i="23"/>
  <c r="X364" i="23"/>
  <c r="X365" i="23"/>
  <c r="X366" i="23"/>
  <c r="X367" i="23"/>
  <c r="X368" i="23"/>
  <c r="X369" i="23"/>
  <c r="X370" i="23"/>
  <c r="X389" i="23"/>
  <c r="X390" i="23"/>
  <c r="X407" i="23"/>
  <c r="X408" i="23"/>
  <c r="X410" i="23"/>
  <c r="X411" i="23"/>
  <c r="X412" i="23"/>
  <c r="X413" i="23"/>
  <c r="X414" i="23"/>
  <c r="X415" i="23"/>
  <c r="X416" i="23"/>
  <c r="X417" i="23"/>
  <c r="X418" i="23"/>
  <c r="X419" i="23"/>
  <c r="X420" i="23"/>
  <c r="X421" i="23"/>
  <c r="X422" i="23"/>
  <c r="X423" i="23"/>
  <c r="X424" i="23"/>
  <c r="X428" i="23"/>
  <c r="X429" i="23"/>
  <c r="X430" i="23"/>
  <c r="X437" i="23"/>
  <c r="X438" i="23"/>
  <c r="X440" i="23"/>
  <c r="X441" i="23"/>
  <c r="X442" i="23"/>
  <c r="X444" i="23"/>
  <c r="X445" i="23"/>
  <c r="X446" i="23"/>
  <c r="W11" i="23"/>
  <c r="W12" i="23"/>
  <c r="W13" i="23"/>
  <c r="W14" i="23"/>
  <c r="W15" i="23"/>
  <c r="W16" i="23"/>
  <c r="W17" i="23"/>
  <c r="W19" i="23"/>
  <c r="W20" i="23"/>
  <c r="W21" i="23"/>
  <c r="W22" i="23"/>
  <c r="W23" i="23"/>
  <c r="W332" i="23"/>
  <c r="W24" i="23"/>
  <c r="W25" i="23"/>
  <c r="W27" i="23"/>
  <c r="W28" i="23"/>
  <c r="W29" i="23"/>
  <c r="W30" i="23"/>
  <c r="W31" i="23"/>
  <c r="W32" i="23"/>
  <c r="W33" i="23"/>
  <c r="W35" i="23"/>
  <c r="W36" i="23"/>
  <c r="W37" i="23"/>
  <c r="W38" i="23"/>
  <c r="W39" i="23"/>
  <c r="W40" i="23"/>
  <c r="W41" i="23"/>
  <c r="W61" i="23"/>
  <c r="W62" i="23"/>
  <c r="W67" i="23"/>
  <c r="W68" i="23"/>
  <c r="W69" i="23"/>
  <c r="W70" i="23"/>
  <c r="W72" i="23"/>
  <c r="W76" i="23"/>
  <c r="W77" i="23"/>
  <c r="W78" i="23"/>
  <c r="W80" i="23"/>
  <c r="W84" i="23"/>
  <c r="W85" i="23"/>
  <c r="W86" i="23"/>
  <c r="W88" i="23"/>
  <c r="W89" i="23"/>
  <c r="W90" i="23"/>
  <c r="W92" i="23"/>
  <c r="W93" i="23"/>
  <c r="W94" i="23"/>
  <c r="W96" i="23"/>
  <c r="W97" i="23"/>
  <c r="W98" i="23"/>
  <c r="W101" i="23"/>
  <c r="W102" i="23"/>
  <c r="W104" i="23"/>
  <c r="W105" i="23"/>
  <c r="W106" i="23"/>
  <c r="W117" i="23"/>
  <c r="W118" i="23"/>
  <c r="W120" i="23"/>
  <c r="W121" i="23"/>
  <c r="W122" i="23"/>
  <c r="W125" i="23"/>
  <c r="W126" i="23"/>
  <c r="W129" i="23"/>
  <c r="W130" i="23"/>
  <c r="W133" i="23"/>
  <c r="W134" i="23"/>
  <c r="W136" i="23"/>
  <c r="W140" i="23"/>
  <c r="W141" i="23"/>
  <c r="W142" i="23"/>
  <c r="W149" i="23"/>
  <c r="W150" i="23"/>
  <c r="W153" i="23"/>
  <c r="W154" i="23"/>
  <c r="W157" i="23"/>
  <c r="W158" i="23"/>
  <c r="W161" i="23"/>
  <c r="W162" i="23"/>
  <c r="W165" i="23"/>
  <c r="W166" i="23"/>
  <c r="W169" i="23"/>
  <c r="W170" i="23"/>
  <c r="W173" i="23"/>
  <c r="W174" i="23"/>
  <c r="W177" i="23"/>
  <c r="W178" i="23"/>
  <c r="W181" i="23"/>
  <c r="W182" i="23"/>
  <c r="W185" i="23"/>
  <c r="W186" i="23"/>
  <c r="W189" i="23"/>
  <c r="W190" i="23"/>
  <c r="W193" i="23"/>
  <c r="W194" i="23"/>
  <c r="W197" i="23"/>
  <c r="W198" i="23"/>
  <c r="W201" i="23"/>
  <c r="W202" i="23"/>
  <c r="W205" i="23"/>
  <c r="W206" i="23"/>
  <c r="W209" i="23"/>
  <c r="W210" i="23"/>
  <c r="W213" i="23"/>
  <c r="W214" i="23"/>
  <c r="W216" i="23"/>
  <c r="W217" i="23"/>
  <c r="W218" i="23"/>
  <c r="W220" i="23"/>
  <c r="W221" i="23"/>
  <c r="W222" i="23"/>
  <c r="W224" i="23"/>
  <c r="W225" i="23"/>
  <c r="W226" i="23"/>
  <c r="W238" i="23"/>
  <c r="W240" i="23"/>
  <c r="W241" i="23"/>
  <c r="W242" i="23"/>
  <c r="W243" i="23"/>
  <c r="W244" i="23"/>
  <c r="W245" i="23"/>
  <c r="W246" i="23"/>
  <c r="W247" i="23"/>
  <c r="W248" i="23"/>
  <c r="W249" i="23"/>
  <c r="W250" i="23"/>
  <c r="W255" i="23"/>
  <c r="W256" i="23"/>
  <c r="W257" i="23"/>
  <c r="W258" i="23"/>
  <c r="W275" i="23"/>
  <c r="W276" i="23"/>
  <c r="W279" i="23"/>
  <c r="W280" i="23"/>
  <c r="W317" i="23"/>
  <c r="W318" i="23"/>
  <c r="W319" i="23"/>
  <c r="W333" i="23"/>
  <c r="W334" i="23"/>
  <c r="W337" i="23"/>
  <c r="W338" i="23"/>
  <c r="W340" i="23"/>
  <c r="W341" i="23"/>
  <c r="W342" i="23"/>
  <c r="W344" i="23"/>
  <c r="W345" i="23"/>
  <c r="W346" i="23"/>
  <c r="W348" i="23"/>
  <c r="W349" i="23"/>
  <c r="W350" i="23"/>
  <c r="W352" i="23"/>
  <c r="W353" i="23"/>
  <c r="W354" i="23"/>
  <c r="W356" i="23"/>
  <c r="W357" i="23"/>
  <c r="W358" i="23"/>
  <c r="W360" i="23"/>
  <c r="W361" i="23"/>
  <c r="W362" i="23"/>
  <c r="W363" i="23"/>
  <c r="W364" i="23"/>
  <c r="W365" i="23"/>
  <c r="W366" i="23"/>
  <c r="W367" i="23"/>
  <c r="W368" i="23"/>
  <c r="W369" i="23"/>
  <c r="W370" i="23"/>
  <c r="W389" i="23"/>
  <c r="W390" i="23"/>
  <c r="W407" i="23"/>
  <c r="W408" i="23"/>
  <c r="W410" i="23"/>
  <c r="W411" i="23"/>
  <c r="W412" i="23"/>
  <c r="W413" i="23"/>
  <c r="W414" i="23"/>
  <c r="W415" i="23"/>
  <c r="W416" i="23"/>
  <c r="W417" i="23"/>
  <c r="W418" i="23"/>
  <c r="W419" i="23"/>
  <c r="W420" i="23"/>
  <c r="W421" i="23"/>
  <c r="W422" i="23"/>
  <c r="W423" i="23"/>
  <c r="W424" i="23"/>
  <c r="W428" i="23"/>
  <c r="W429" i="23"/>
  <c r="W430" i="23"/>
  <c r="W437" i="23"/>
  <c r="W438" i="23"/>
  <c r="W440" i="23"/>
  <c r="W441" i="23"/>
  <c r="W442" i="23"/>
  <c r="W444" i="23"/>
  <c r="W445" i="23"/>
  <c r="W446" i="23"/>
  <c r="V11" i="23"/>
  <c r="V12" i="23"/>
  <c r="V13" i="23"/>
  <c r="V14" i="23"/>
  <c r="V15" i="23"/>
  <c r="V16" i="23"/>
  <c r="V17" i="23"/>
  <c r="V19" i="23"/>
  <c r="V20" i="23"/>
  <c r="V21" i="23"/>
  <c r="V22" i="23"/>
  <c r="V23" i="23"/>
  <c r="V332" i="23"/>
  <c r="V24" i="23"/>
  <c r="V25" i="23"/>
  <c r="V27" i="23"/>
  <c r="V28" i="23"/>
  <c r="V29" i="23"/>
  <c r="V30" i="23"/>
  <c r="V31" i="23"/>
  <c r="V32" i="23"/>
  <c r="V33" i="23"/>
  <c r="V35" i="23"/>
  <c r="V36" i="23"/>
  <c r="V37" i="23"/>
  <c r="V38" i="23"/>
  <c r="V39" i="23"/>
  <c r="V40" i="23"/>
  <c r="V41" i="23"/>
  <c r="V61" i="23"/>
  <c r="V62" i="23"/>
  <c r="V67" i="23"/>
  <c r="V68" i="23"/>
  <c r="V69" i="23"/>
  <c r="V70" i="23"/>
  <c r="V72" i="23"/>
  <c r="V76" i="23"/>
  <c r="V77" i="23"/>
  <c r="V78" i="23"/>
  <c r="V80" i="23"/>
  <c r="V84" i="23"/>
  <c r="V85" i="23"/>
  <c r="V86" i="23"/>
  <c r="V88" i="23"/>
  <c r="V89" i="23"/>
  <c r="V90" i="23"/>
  <c r="V92" i="23"/>
  <c r="V93" i="23"/>
  <c r="V94" i="23"/>
  <c r="V96" i="23"/>
  <c r="V97" i="23"/>
  <c r="V98" i="23"/>
  <c r="V101" i="23"/>
  <c r="V102" i="23"/>
  <c r="V104" i="23"/>
  <c r="V105" i="23"/>
  <c r="V106" i="23"/>
  <c r="V117" i="23"/>
  <c r="V118" i="23"/>
  <c r="V120" i="23"/>
  <c r="V121" i="23"/>
  <c r="V122" i="23"/>
  <c r="V125" i="23"/>
  <c r="V126" i="23"/>
  <c r="V129" i="23"/>
  <c r="V130" i="23"/>
  <c r="V133" i="23"/>
  <c r="V134" i="23"/>
  <c r="V136" i="23"/>
  <c r="V140" i="23"/>
  <c r="V141" i="23"/>
  <c r="V142" i="23"/>
  <c r="V149" i="23"/>
  <c r="V150" i="23"/>
  <c r="V153" i="23"/>
  <c r="V154" i="23"/>
  <c r="V157" i="23"/>
  <c r="V158" i="23"/>
  <c r="V161" i="23"/>
  <c r="V162" i="23"/>
  <c r="V165" i="23"/>
  <c r="V166" i="23"/>
  <c r="V169" i="23"/>
  <c r="V170" i="23"/>
  <c r="V173" i="23"/>
  <c r="V174" i="23"/>
  <c r="V177" i="23"/>
  <c r="V178" i="23"/>
  <c r="V181" i="23"/>
  <c r="V182" i="23"/>
  <c r="V185" i="23"/>
  <c r="V186" i="23"/>
  <c r="V189" i="23"/>
  <c r="V190" i="23"/>
  <c r="V193" i="23"/>
  <c r="V194" i="23"/>
  <c r="V197" i="23"/>
  <c r="V198" i="23"/>
  <c r="V201" i="23"/>
  <c r="V202" i="23"/>
  <c r="V205" i="23"/>
  <c r="V206" i="23"/>
  <c r="V209" i="23"/>
  <c r="V210" i="23"/>
  <c r="V213" i="23"/>
  <c r="V214" i="23"/>
  <c r="V216" i="23"/>
  <c r="V217" i="23"/>
  <c r="V218" i="23"/>
  <c r="V220" i="23"/>
  <c r="V221" i="23"/>
  <c r="V222" i="23"/>
  <c r="V224" i="23"/>
  <c r="V225" i="23"/>
  <c r="V226" i="23"/>
  <c r="V238" i="23"/>
  <c r="V240" i="23"/>
  <c r="V241" i="23"/>
  <c r="V242" i="23"/>
  <c r="V243" i="23"/>
  <c r="V244" i="23"/>
  <c r="V245" i="23"/>
  <c r="V246" i="23"/>
  <c r="V247" i="23"/>
  <c r="V248" i="23"/>
  <c r="V249" i="23"/>
  <c r="V250" i="23"/>
  <c r="V255" i="23"/>
  <c r="V256" i="23"/>
  <c r="V257" i="23"/>
  <c r="V258" i="23"/>
  <c r="V275" i="23"/>
  <c r="V276" i="23"/>
  <c r="V279" i="23"/>
  <c r="V280" i="23"/>
  <c r="V317" i="23"/>
  <c r="V318" i="23"/>
  <c r="V319" i="23"/>
  <c r="V333" i="23"/>
  <c r="V334" i="23"/>
  <c r="V337" i="23"/>
  <c r="V338" i="23"/>
  <c r="V340" i="23"/>
  <c r="V341" i="23"/>
  <c r="V342" i="23"/>
  <c r="V344" i="23"/>
  <c r="V345" i="23"/>
  <c r="V346" i="23"/>
  <c r="V348" i="23"/>
  <c r="V349" i="23"/>
  <c r="V350" i="23"/>
  <c r="V352" i="23"/>
  <c r="V353" i="23"/>
  <c r="V354" i="23"/>
  <c r="V356" i="23"/>
  <c r="V357" i="23"/>
  <c r="V358" i="23"/>
  <c r="V360" i="23"/>
  <c r="V361" i="23"/>
  <c r="V362" i="23"/>
  <c r="V363" i="23"/>
  <c r="V364" i="23"/>
  <c r="V365" i="23"/>
  <c r="V366" i="23"/>
  <c r="V367" i="23"/>
  <c r="V368" i="23"/>
  <c r="V369" i="23"/>
  <c r="V370" i="23"/>
  <c r="V389" i="23"/>
  <c r="V390" i="23"/>
  <c r="V407" i="23"/>
  <c r="V408" i="23"/>
  <c r="V410" i="23"/>
  <c r="V411" i="23"/>
  <c r="V412" i="23"/>
  <c r="V413" i="23"/>
  <c r="V414" i="23"/>
  <c r="V415" i="23"/>
  <c r="V416" i="23"/>
  <c r="V417" i="23"/>
  <c r="V418" i="23"/>
  <c r="V419" i="23"/>
  <c r="V420" i="23"/>
  <c r="V421" i="23"/>
  <c r="V422" i="23"/>
  <c r="V423" i="23"/>
  <c r="V424" i="23"/>
  <c r="V428" i="23"/>
  <c r="V429" i="23"/>
  <c r="V430" i="23"/>
  <c r="V437" i="23"/>
  <c r="V438" i="23"/>
  <c r="V440" i="23"/>
  <c r="V441" i="23"/>
  <c r="V442" i="23"/>
  <c r="V444" i="23"/>
  <c r="V445" i="23"/>
  <c r="V446" i="23"/>
  <c r="U101" i="23"/>
  <c r="U102" i="23"/>
  <c r="U149" i="23"/>
  <c r="U150" i="23"/>
  <c r="U153" i="23"/>
  <c r="U154" i="23"/>
  <c r="U157" i="23"/>
  <c r="U158" i="23"/>
  <c r="U161" i="23"/>
  <c r="U162" i="23"/>
  <c r="U165" i="23"/>
  <c r="U166" i="23"/>
  <c r="U169" i="23"/>
  <c r="U170" i="23"/>
  <c r="U173" i="23"/>
  <c r="U174" i="23"/>
  <c r="U177" i="23"/>
  <c r="U178" i="23"/>
  <c r="U181" i="23"/>
  <c r="U182" i="23"/>
  <c r="U185" i="23"/>
  <c r="U186" i="23"/>
  <c r="U189" i="23"/>
  <c r="U190" i="23"/>
  <c r="U193" i="23"/>
  <c r="U194" i="23"/>
  <c r="U197" i="23"/>
  <c r="U198" i="23"/>
  <c r="U201" i="23"/>
  <c r="U202" i="23"/>
  <c r="U205" i="23"/>
  <c r="U206" i="23"/>
  <c r="U209" i="23"/>
  <c r="U210" i="23"/>
  <c r="U213" i="23"/>
  <c r="U214" i="23"/>
  <c r="U216" i="23"/>
  <c r="U217" i="23"/>
  <c r="U218" i="23"/>
  <c r="U220" i="23"/>
  <c r="U221" i="23"/>
  <c r="U222" i="23"/>
  <c r="U238" i="23"/>
  <c r="U240" i="23"/>
  <c r="U241" i="23"/>
  <c r="U242" i="23"/>
  <c r="U243" i="23"/>
  <c r="U244" i="23"/>
  <c r="U245" i="23"/>
  <c r="U246" i="23"/>
  <c r="U247" i="23"/>
  <c r="U248" i="23"/>
  <c r="U249" i="23"/>
  <c r="U275" i="23"/>
  <c r="U276" i="23"/>
  <c r="U279" i="23"/>
  <c r="U280" i="23"/>
  <c r="U317" i="23"/>
  <c r="U318" i="23"/>
  <c r="U319" i="23"/>
  <c r="U333" i="23"/>
  <c r="U334" i="23"/>
  <c r="U337" i="23"/>
  <c r="U338" i="23"/>
  <c r="U352" i="23"/>
  <c r="U353" i="23"/>
  <c r="U354" i="23"/>
  <c r="U356" i="23"/>
  <c r="U357" i="23"/>
  <c r="U358" i="23"/>
  <c r="U360" i="23"/>
  <c r="U361" i="23"/>
  <c r="U362" i="23"/>
  <c r="U363" i="23"/>
  <c r="U364" i="23"/>
  <c r="U365" i="23"/>
  <c r="U366" i="23"/>
  <c r="U367" i="23"/>
  <c r="U368" i="23"/>
  <c r="U369" i="23"/>
  <c r="U370" i="23"/>
  <c r="U389" i="23"/>
  <c r="U390" i="23"/>
  <c r="U407" i="23"/>
  <c r="U408" i="23"/>
  <c r="U410" i="23"/>
  <c r="U411" i="23"/>
  <c r="U412" i="23"/>
  <c r="U413" i="23"/>
  <c r="U414" i="23"/>
  <c r="U415" i="23"/>
  <c r="U416" i="23"/>
  <c r="U417" i="23"/>
  <c r="U418" i="23"/>
  <c r="U419" i="23"/>
  <c r="U420" i="23"/>
  <c r="U421" i="23"/>
  <c r="U422" i="23"/>
  <c r="U423" i="23"/>
  <c r="U424" i="23"/>
  <c r="U437" i="23"/>
  <c r="U438" i="23"/>
  <c r="U440" i="23"/>
  <c r="U441" i="23"/>
  <c r="U442" i="23"/>
  <c r="U444" i="23"/>
  <c r="U445" i="23"/>
  <c r="U446" i="23"/>
  <c r="T101" i="23"/>
  <c r="T102" i="23"/>
  <c r="T149" i="23"/>
  <c r="T150" i="23"/>
  <c r="T153" i="23"/>
  <c r="T154" i="23"/>
  <c r="T157" i="23"/>
  <c r="T158" i="23"/>
  <c r="T161" i="23"/>
  <c r="T162" i="23"/>
  <c r="T165" i="23"/>
  <c r="T166" i="23"/>
  <c r="T169" i="23"/>
  <c r="T170" i="23"/>
  <c r="T173" i="23"/>
  <c r="T174" i="23"/>
  <c r="T177" i="23"/>
  <c r="T178" i="23"/>
  <c r="T181" i="23"/>
  <c r="T182" i="23"/>
  <c r="T185" i="23"/>
  <c r="T186" i="23"/>
  <c r="T189" i="23"/>
  <c r="T190" i="23"/>
  <c r="T193" i="23"/>
  <c r="T194" i="23"/>
  <c r="T197" i="23"/>
  <c r="T198" i="23"/>
  <c r="T201" i="23"/>
  <c r="T202" i="23"/>
  <c r="T205" i="23"/>
  <c r="T206" i="23"/>
  <c r="T209" i="23"/>
  <c r="T210" i="23"/>
  <c r="T213" i="23"/>
  <c r="T214" i="23"/>
  <c r="T216" i="23"/>
  <c r="T217" i="23"/>
  <c r="T218" i="23"/>
  <c r="T220" i="23"/>
  <c r="T221" i="23"/>
  <c r="T222" i="23"/>
  <c r="T238" i="23"/>
  <c r="T240" i="23"/>
  <c r="T241" i="23"/>
  <c r="T242" i="23"/>
  <c r="T243" i="23"/>
  <c r="T244" i="23"/>
  <c r="T245" i="23"/>
  <c r="T246" i="23"/>
  <c r="T247" i="23"/>
  <c r="T248" i="23"/>
  <c r="T249" i="23"/>
  <c r="T275" i="23"/>
  <c r="T276" i="23"/>
  <c r="T279" i="23"/>
  <c r="T280" i="23"/>
  <c r="T317" i="23"/>
  <c r="T318" i="23"/>
  <c r="T319" i="23"/>
  <c r="T333" i="23"/>
  <c r="T334" i="23"/>
  <c r="T337" i="23"/>
  <c r="T338" i="23"/>
  <c r="T352" i="23"/>
  <c r="T353" i="23"/>
  <c r="T354" i="23"/>
  <c r="T356" i="23"/>
  <c r="T357" i="23"/>
  <c r="T358" i="23"/>
  <c r="T360" i="23"/>
  <c r="T361" i="23"/>
  <c r="T362" i="23"/>
  <c r="T363" i="23"/>
  <c r="T364" i="23"/>
  <c r="T365" i="23"/>
  <c r="T366" i="23"/>
  <c r="T367" i="23"/>
  <c r="T368" i="23"/>
  <c r="T369" i="23"/>
  <c r="T370" i="23"/>
  <c r="T389" i="23"/>
  <c r="T390" i="23"/>
  <c r="T407" i="23"/>
  <c r="T408" i="23"/>
  <c r="T410" i="23"/>
  <c r="T411" i="23"/>
  <c r="T412" i="23"/>
  <c r="T413" i="23"/>
  <c r="T414" i="23"/>
  <c r="T415" i="23"/>
  <c r="T416" i="23"/>
  <c r="T417" i="23"/>
  <c r="T418" i="23"/>
  <c r="T419" i="23"/>
  <c r="T420" i="23"/>
  <c r="T421" i="23"/>
  <c r="T422" i="23"/>
  <c r="T423" i="23"/>
  <c r="T424" i="23"/>
  <c r="T437" i="23"/>
  <c r="T438" i="23"/>
  <c r="T440" i="23"/>
  <c r="T441" i="23"/>
  <c r="T442" i="23"/>
  <c r="T444" i="23"/>
  <c r="T445" i="23"/>
  <c r="T446" i="23"/>
  <c r="S101" i="23"/>
  <c r="S102" i="23"/>
  <c r="S149" i="23"/>
  <c r="S150" i="23"/>
  <c r="S153" i="23"/>
  <c r="S154" i="23"/>
  <c r="S157" i="23"/>
  <c r="S158" i="23"/>
  <c r="S161" i="23"/>
  <c r="S162" i="23"/>
  <c r="S165" i="23"/>
  <c r="S166" i="23"/>
  <c r="S169" i="23"/>
  <c r="S170" i="23"/>
  <c r="S173" i="23"/>
  <c r="S174" i="23"/>
  <c r="S177" i="23"/>
  <c r="S178" i="23"/>
  <c r="S181" i="23"/>
  <c r="S182" i="23"/>
  <c r="S185" i="23"/>
  <c r="S186" i="23"/>
  <c r="S189" i="23"/>
  <c r="S190" i="23"/>
  <c r="S193" i="23"/>
  <c r="S194" i="23"/>
  <c r="S197" i="23"/>
  <c r="S198" i="23"/>
  <c r="S201" i="23"/>
  <c r="S202" i="23"/>
  <c r="S205" i="23"/>
  <c r="S206" i="23"/>
  <c r="S209" i="23"/>
  <c r="S210" i="23"/>
  <c r="S213" i="23"/>
  <c r="S214" i="23"/>
  <c r="S216" i="23"/>
  <c r="S217" i="23"/>
  <c r="S218" i="23"/>
  <c r="S220" i="23"/>
  <c r="S221" i="23"/>
  <c r="S222" i="23"/>
  <c r="S238" i="23"/>
  <c r="S240" i="23"/>
  <c r="S241" i="23"/>
  <c r="S242" i="23"/>
  <c r="S243" i="23"/>
  <c r="S244" i="23"/>
  <c r="S245" i="23"/>
  <c r="S246" i="23"/>
  <c r="S247" i="23"/>
  <c r="S248" i="23"/>
  <c r="S249" i="23"/>
  <c r="S250" i="23"/>
  <c r="S275" i="23"/>
  <c r="S276" i="23"/>
  <c r="S279" i="23"/>
  <c r="S280" i="23"/>
  <c r="S317" i="23"/>
  <c r="S318" i="23"/>
  <c r="S319" i="23"/>
  <c r="S333" i="23"/>
  <c r="S334" i="23"/>
  <c r="S337" i="23"/>
  <c r="S338" i="23"/>
  <c r="S352" i="23"/>
  <c r="S353" i="23"/>
  <c r="S354" i="23"/>
  <c r="S356" i="23"/>
  <c r="S357" i="23"/>
  <c r="S358" i="23"/>
  <c r="S360" i="23"/>
  <c r="S361" i="23"/>
  <c r="S362" i="23"/>
  <c r="S363" i="23"/>
  <c r="S364" i="23"/>
  <c r="S365" i="23"/>
  <c r="S366" i="23"/>
  <c r="S367" i="23"/>
  <c r="S368" i="23"/>
  <c r="S369" i="23"/>
  <c r="S370" i="23"/>
  <c r="S389" i="23"/>
  <c r="S390" i="23"/>
  <c r="S407" i="23"/>
  <c r="S408" i="23"/>
  <c r="S410" i="23"/>
  <c r="S411" i="23"/>
  <c r="S412" i="23"/>
  <c r="S413" i="23"/>
  <c r="S414" i="23"/>
  <c r="S415" i="23"/>
  <c r="S416" i="23"/>
  <c r="S417" i="23"/>
  <c r="S418" i="23"/>
  <c r="S419" i="23"/>
  <c r="S420" i="23"/>
  <c r="S421" i="23"/>
  <c r="S422" i="23"/>
  <c r="S423" i="23"/>
  <c r="S424" i="23"/>
  <c r="S437" i="23"/>
  <c r="S438" i="23"/>
  <c r="S440" i="23"/>
  <c r="S441" i="23"/>
  <c r="S442" i="23"/>
  <c r="S444" i="23"/>
  <c r="S445" i="23"/>
  <c r="S446" i="23"/>
  <c r="R101" i="23"/>
  <c r="R102" i="23"/>
  <c r="R149" i="23"/>
  <c r="R150" i="23"/>
  <c r="R153" i="23"/>
  <c r="R154" i="23"/>
  <c r="R157" i="23"/>
  <c r="R158" i="23"/>
  <c r="R161" i="23"/>
  <c r="R162" i="23"/>
  <c r="R165" i="23"/>
  <c r="R166" i="23"/>
  <c r="R169" i="23"/>
  <c r="R170" i="23"/>
  <c r="R173" i="23"/>
  <c r="R174" i="23"/>
  <c r="R177" i="23"/>
  <c r="R178" i="23"/>
  <c r="R181" i="23"/>
  <c r="R182" i="23"/>
  <c r="R185" i="23"/>
  <c r="R186" i="23"/>
  <c r="R189" i="23"/>
  <c r="R190" i="23"/>
  <c r="R193" i="23"/>
  <c r="R194" i="23"/>
  <c r="R197" i="23"/>
  <c r="R198" i="23"/>
  <c r="R201" i="23"/>
  <c r="R202" i="23"/>
  <c r="R205" i="23"/>
  <c r="R206" i="23"/>
  <c r="R209" i="23"/>
  <c r="R210" i="23"/>
  <c r="R213" i="23"/>
  <c r="R214" i="23"/>
  <c r="R216" i="23"/>
  <c r="R217" i="23"/>
  <c r="R218" i="23"/>
  <c r="R220" i="23"/>
  <c r="R221" i="23"/>
  <c r="R222" i="23"/>
  <c r="R238" i="23"/>
  <c r="R240" i="23"/>
  <c r="R241" i="23"/>
  <c r="R242" i="23"/>
  <c r="R243" i="23"/>
  <c r="R244" i="23"/>
  <c r="R245" i="23"/>
  <c r="R246" i="23"/>
  <c r="R247" i="23"/>
  <c r="R248" i="23"/>
  <c r="R249" i="23"/>
  <c r="R250" i="23"/>
  <c r="R275" i="23"/>
  <c r="R276" i="23"/>
  <c r="R279" i="23"/>
  <c r="R280" i="23"/>
  <c r="R317" i="23"/>
  <c r="R318" i="23"/>
  <c r="R319" i="23"/>
  <c r="R333" i="23"/>
  <c r="R334" i="23"/>
  <c r="R337" i="23"/>
  <c r="R338" i="23"/>
  <c r="R352" i="23"/>
  <c r="R353" i="23"/>
  <c r="R354" i="23"/>
  <c r="R356" i="23"/>
  <c r="R357" i="23"/>
  <c r="R358" i="23"/>
  <c r="R360" i="23"/>
  <c r="R361" i="23"/>
  <c r="R362" i="23"/>
  <c r="R363" i="23"/>
  <c r="R364" i="23"/>
  <c r="R365" i="23"/>
  <c r="R366" i="23"/>
  <c r="R367" i="23"/>
  <c r="R368" i="23"/>
  <c r="R369" i="23"/>
  <c r="R370" i="23"/>
  <c r="R389" i="23"/>
  <c r="R390" i="23"/>
  <c r="R407" i="23"/>
  <c r="R408" i="23"/>
  <c r="R410" i="23"/>
  <c r="R411" i="23"/>
  <c r="R412" i="23"/>
  <c r="R413" i="23"/>
  <c r="R414" i="23"/>
  <c r="R415" i="23"/>
  <c r="R416" i="23"/>
  <c r="R417" i="23"/>
  <c r="R418" i="23"/>
  <c r="R419" i="23"/>
  <c r="R420" i="23"/>
  <c r="R421" i="23"/>
  <c r="R422" i="23"/>
  <c r="R423" i="23"/>
  <c r="R424" i="23"/>
  <c r="R437" i="23"/>
  <c r="R438" i="23"/>
  <c r="R440" i="23"/>
  <c r="R441" i="23"/>
  <c r="R442" i="23"/>
  <c r="R444" i="23"/>
  <c r="R445" i="23"/>
  <c r="R446" i="23"/>
  <c r="Q101" i="23"/>
  <c r="Q102" i="23"/>
  <c r="Q149" i="23"/>
  <c r="Q150" i="23"/>
  <c r="Q153" i="23"/>
  <c r="Q154" i="23"/>
  <c r="Q157" i="23"/>
  <c r="Q158" i="23"/>
  <c r="Q161" i="23"/>
  <c r="Q162" i="23"/>
  <c r="Q165" i="23"/>
  <c r="Q166" i="23"/>
  <c r="Q169" i="23"/>
  <c r="Q170" i="23"/>
  <c r="Q173" i="23"/>
  <c r="Q174" i="23"/>
  <c r="Q177" i="23"/>
  <c r="Q178" i="23"/>
  <c r="Q181" i="23"/>
  <c r="Q182" i="23"/>
  <c r="Q185" i="23"/>
  <c r="Q186" i="23"/>
  <c r="Q189" i="23"/>
  <c r="Q190" i="23"/>
  <c r="Q193" i="23"/>
  <c r="Q194" i="23"/>
  <c r="Q197" i="23"/>
  <c r="Q198" i="23"/>
  <c r="Q201" i="23"/>
  <c r="Q202" i="23"/>
  <c r="Q205" i="23"/>
  <c r="Q206" i="23"/>
  <c r="Q209" i="23"/>
  <c r="Q210" i="23"/>
  <c r="Q213" i="23"/>
  <c r="Q214" i="23"/>
  <c r="Q216" i="23"/>
  <c r="Q217" i="23"/>
  <c r="Q218" i="23"/>
  <c r="Q220" i="23"/>
  <c r="Q221" i="23"/>
  <c r="Q222" i="23"/>
  <c r="Q238" i="23"/>
  <c r="Q240" i="23"/>
  <c r="Q241" i="23"/>
  <c r="Q242" i="23"/>
  <c r="Q243" i="23"/>
  <c r="Q244" i="23"/>
  <c r="Q245" i="23"/>
  <c r="Q246" i="23"/>
  <c r="Q247" i="23"/>
  <c r="Q248" i="23"/>
  <c r="Q249" i="23"/>
  <c r="Q250" i="23"/>
  <c r="Q275" i="23"/>
  <c r="Q276" i="23"/>
  <c r="Q279" i="23"/>
  <c r="Q280" i="23"/>
  <c r="Q317" i="23"/>
  <c r="Q318" i="23"/>
  <c r="Q319" i="23"/>
  <c r="Q333" i="23"/>
  <c r="Q334" i="23"/>
  <c r="Q337" i="23"/>
  <c r="Q338" i="23"/>
  <c r="Q352" i="23"/>
  <c r="Q353" i="23"/>
  <c r="Q354" i="23"/>
  <c r="Q356" i="23"/>
  <c r="Q357" i="23"/>
  <c r="Q358" i="23"/>
  <c r="Q360" i="23"/>
  <c r="Q361" i="23"/>
  <c r="Q362" i="23"/>
  <c r="Q363" i="23"/>
  <c r="Q364" i="23"/>
  <c r="Q365" i="23"/>
  <c r="Q366" i="23"/>
  <c r="Q367" i="23"/>
  <c r="Q368" i="23"/>
  <c r="Q369" i="23"/>
  <c r="Q370" i="23"/>
  <c r="Q389" i="23"/>
  <c r="Q390" i="23"/>
  <c r="Q407" i="23"/>
  <c r="Q408" i="23"/>
  <c r="Q410" i="23"/>
  <c r="Q411" i="23"/>
  <c r="Q412" i="23"/>
  <c r="Q413" i="23"/>
  <c r="Q414" i="23"/>
  <c r="Q415" i="23"/>
  <c r="Q416" i="23"/>
  <c r="Q417" i="23"/>
  <c r="Q418" i="23"/>
  <c r="Q419" i="23"/>
  <c r="Q420" i="23"/>
  <c r="Q421" i="23"/>
  <c r="Q422" i="23"/>
  <c r="Q423" i="23"/>
  <c r="Q424" i="23"/>
  <c r="Q437" i="23"/>
  <c r="Q438" i="23"/>
  <c r="Q440" i="23"/>
  <c r="Q441" i="23"/>
  <c r="Q442" i="23"/>
  <c r="Q444" i="23"/>
  <c r="Q445" i="23"/>
  <c r="Q446" i="23"/>
  <c r="P101" i="23"/>
  <c r="P102" i="23"/>
  <c r="P149" i="23"/>
  <c r="P150" i="23"/>
  <c r="P153" i="23"/>
  <c r="P154" i="23"/>
  <c r="P157" i="23"/>
  <c r="P158" i="23"/>
  <c r="P161" i="23"/>
  <c r="P162" i="23"/>
  <c r="P165" i="23"/>
  <c r="P166" i="23"/>
  <c r="P169" i="23"/>
  <c r="P170" i="23"/>
  <c r="P173" i="23"/>
  <c r="P174" i="23"/>
  <c r="P177" i="23"/>
  <c r="P178" i="23"/>
  <c r="P181" i="23"/>
  <c r="P182" i="23"/>
  <c r="P185" i="23"/>
  <c r="P186" i="23"/>
  <c r="P189" i="23"/>
  <c r="P190" i="23"/>
  <c r="P193" i="23"/>
  <c r="P194" i="23"/>
  <c r="P197" i="23"/>
  <c r="P198" i="23"/>
  <c r="P201" i="23"/>
  <c r="P202" i="23"/>
  <c r="P205" i="23"/>
  <c r="P206" i="23"/>
  <c r="P209" i="23"/>
  <c r="P210" i="23"/>
  <c r="P213" i="23"/>
  <c r="P214" i="23"/>
  <c r="P216" i="23"/>
  <c r="P217" i="23"/>
  <c r="P218" i="23"/>
  <c r="P220" i="23"/>
  <c r="P221" i="23"/>
  <c r="P222" i="23"/>
  <c r="P238" i="23"/>
  <c r="P240" i="23"/>
  <c r="P241" i="23"/>
  <c r="P242" i="23"/>
  <c r="P243" i="23"/>
  <c r="P244" i="23"/>
  <c r="P245" i="23"/>
  <c r="P246" i="23"/>
  <c r="P247" i="23"/>
  <c r="P248" i="23"/>
  <c r="P249" i="23"/>
  <c r="P250" i="23"/>
  <c r="P275" i="23"/>
  <c r="P276" i="23"/>
  <c r="P279" i="23"/>
  <c r="P280" i="23"/>
  <c r="P317" i="23"/>
  <c r="P318" i="23"/>
  <c r="P319" i="23"/>
  <c r="P333" i="23"/>
  <c r="P334" i="23"/>
  <c r="P337" i="23"/>
  <c r="P338" i="23"/>
  <c r="P352" i="23"/>
  <c r="P353" i="23"/>
  <c r="P354" i="23"/>
  <c r="P356" i="23"/>
  <c r="P357" i="23"/>
  <c r="P358" i="23"/>
  <c r="P360" i="23"/>
  <c r="P361" i="23"/>
  <c r="P362" i="23"/>
  <c r="P363" i="23"/>
  <c r="P364" i="23"/>
  <c r="P365" i="23"/>
  <c r="P366" i="23"/>
  <c r="P367" i="23"/>
  <c r="P368" i="23"/>
  <c r="P369" i="23"/>
  <c r="P370" i="23"/>
  <c r="P389" i="23"/>
  <c r="P390" i="23"/>
  <c r="P407" i="23"/>
  <c r="P408" i="23"/>
  <c r="P410" i="23"/>
  <c r="P411" i="23"/>
  <c r="P412" i="23"/>
  <c r="P413" i="23"/>
  <c r="P414" i="23"/>
  <c r="P415" i="23"/>
  <c r="P416" i="23"/>
  <c r="P417" i="23"/>
  <c r="P418" i="23"/>
  <c r="P419" i="23"/>
  <c r="P420" i="23"/>
  <c r="P421" i="23"/>
  <c r="P422" i="23"/>
  <c r="P423" i="23"/>
  <c r="P424" i="23"/>
  <c r="P437" i="23"/>
  <c r="P438" i="23"/>
  <c r="P440" i="23"/>
  <c r="P441" i="23"/>
  <c r="P442" i="23"/>
  <c r="P444" i="23"/>
  <c r="P445" i="23"/>
  <c r="P446" i="23"/>
  <c r="O101" i="23"/>
  <c r="O102" i="23"/>
  <c r="O149" i="23"/>
  <c r="O150" i="23"/>
  <c r="O153" i="23"/>
  <c r="O154" i="23"/>
  <c r="O157" i="23"/>
  <c r="O158" i="23"/>
  <c r="O161" i="23"/>
  <c r="O162" i="23"/>
  <c r="O165" i="23"/>
  <c r="O166" i="23"/>
  <c r="O169" i="23"/>
  <c r="O170" i="23"/>
  <c r="O173" i="23"/>
  <c r="O174" i="23"/>
  <c r="O177" i="23"/>
  <c r="O178" i="23"/>
  <c r="O181" i="23"/>
  <c r="O182" i="23"/>
  <c r="O185" i="23"/>
  <c r="O186" i="23"/>
  <c r="O189" i="23"/>
  <c r="O190" i="23"/>
  <c r="O193" i="23"/>
  <c r="O194" i="23"/>
  <c r="O197" i="23"/>
  <c r="O198" i="23"/>
  <c r="O201" i="23"/>
  <c r="O202" i="23"/>
  <c r="O205" i="23"/>
  <c r="O206" i="23"/>
  <c r="O209" i="23"/>
  <c r="O210" i="23"/>
  <c r="O213" i="23"/>
  <c r="O214" i="23"/>
  <c r="O216" i="23"/>
  <c r="O217" i="23"/>
  <c r="O218" i="23"/>
  <c r="O220" i="23"/>
  <c r="O221" i="23"/>
  <c r="O222" i="23"/>
  <c r="O238" i="23"/>
  <c r="O240" i="23"/>
  <c r="O241" i="23"/>
  <c r="O242" i="23"/>
  <c r="O243" i="23"/>
  <c r="O244" i="23"/>
  <c r="O245" i="23"/>
  <c r="O246" i="23"/>
  <c r="O247" i="23"/>
  <c r="O248" i="23"/>
  <c r="O249" i="23"/>
  <c r="O250" i="23"/>
  <c r="O275" i="23"/>
  <c r="O276" i="23"/>
  <c r="O279" i="23"/>
  <c r="O280" i="23"/>
  <c r="O317" i="23"/>
  <c r="O318" i="23"/>
  <c r="O319" i="23"/>
  <c r="O333" i="23"/>
  <c r="O334" i="23"/>
  <c r="O337" i="23"/>
  <c r="O338" i="23"/>
  <c r="O352" i="23"/>
  <c r="O353" i="23"/>
  <c r="O354" i="23"/>
  <c r="O356" i="23"/>
  <c r="O357" i="23"/>
  <c r="O358" i="23"/>
  <c r="O360" i="23"/>
  <c r="O361" i="23"/>
  <c r="O362" i="23"/>
  <c r="O363" i="23"/>
  <c r="O364" i="23"/>
  <c r="O365" i="23"/>
  <c r="O366" i="23"/>
  <c r="O367" i="23"/>
  <c r="O368" i="23"/>
  <c r="O369" i="23"/>
  <c r="O370" i="23"/>
  <c r="O389" i="23"/>
  <c r="O390" i="23"/>
  <c r="O407" i="23"/>
  <c r="O408" i="23"/>
  <c r="O410" i="23"/>
  <c r="O411" i="23"/>
  <c r="O412" i="23"/>
  <c r="O413" i="23"/>
  <c r="O414" i="23"/>
  <c r="O415" i="23"/>
  <c r="O416" i="23"/>
  <c r="O417" i="23"/>
  <c r="O418" i="23"/>
  <c r="O419" i="23"/>
  <c r="O420" i="23"/>
  <c r="O421" i="23"/>
  <c r="O422" i="23"/>
  <c r="O423" i="23"/>
  <c r="O424" i="23"/>
  <c r="O437" i="23"/>
  <c r="O438" i="23"/>
  <c r="O440" i="23"/>
  <c r="O441" i="23"/>
  <c r="O442" i="23"/>
  <c r="O444" i="23"/>
  <c r="O445" i="23"/>
  <c r="O446" i="23"/>
  <c r="N101" i="23"/>
  <c r="N102" i="23"/>
  <c r="N149" i="23"/>
  <c r="N150" i="23"/>
  <c r="N153" i="23"/>
  <c r="N154" i="23"/>
  <c r="N157" i="23"/>
  <c r="N158" i="23"/>
  <c r="N161" i="23"/>
  <c r="N162" i="23"/>
  <c r="N165" i="23"/>
  <c r="N166" i="23"/>
  <c r="N169" i="23"/>
  <c r="N170" i="23"/>
  <c r="N173" i="23"/>
  <c r="N174" i="23"/>
  <c r="N177" i="23"/>
  <c r="N178" i="23"/>
  <c r="N181" i="23"/>
  <c r="N182" i="23"/>
  <c r="N185" i="23"/>
  <c r="N186" i="23"/>
  <c r="N189" i="23"/>
  <c r="N190" i="23"/>
  <c r="N193" i="23"/>
  <c r="N194" i="23"/>
  <c r="N197" i="23"/>
  <c r="N198" i="23"/>
  <c r="N201" i="23"/>
  <c r="N202" i="23"/>
  <c r="N205" i="23"/>
  <c r="N206" i="23"/>
  <c r="N209" i="23"/>
  <c r="N210" i="23"/>
  <c r="N213" i="23"/>
  <c r="N214" i="23"/>
  <c r="N216" i="23"/>
  <c r="N217" i="23"/>
  <c r="N218" i="23"/>
  <c r="N220" i="23"/>
  <c r="N221" i="23"/>
  <c r="N222" i="23"/>
  <c r="N238" i="23"/>
  <c r="N240" i="23"/>
  <c r="N241" i="23"/>
  <c r="N242" i="23"/>
  <c r="N243" i="23"/>
  <c r="N244" i="23"/>
  <c r="N245" i="23"/>
  <c r="N246" i="23"/>
  <c r="N247" i="23"/>
  <c r="N248" i="23"/>
  <c r="N249" i="23"/>
  <c r="N250" i="23"/>
  <c r="N275" i="23"/>
  <c r="N276" i="23"/>
  <c r="N279" i="23"/>
  <c r="N280" i="23"/>
  <c r="N317" i="23"/>
  <c r="N318" i="23"/>
  <c r="N319" i="23"/>
  <c r="N333" i="23"/>
  <c r="N334" i="23"/>
  <c r="N337" i="23"/>
  <c r="N338" i="23"/>
  <c r="N352" i="23"/>
  <c r="N353" i="23"/>
  <c r="N354" i="23"/>
  <c r="N356" i="23"/>
  <c r="N357" i="23"/>
  <c r="N358" i="23"/>
  <c r="N360" i="23"/>
  <c r="N361" i="23"/>
  <c r="N362" i="23"/>
  <c r="N363" i="23"/>
  <c r="N364" i="23"/>
  <c r="N365" i="23"/>
  <c r="N366" i="23"/>
  <c r="N367" i="23"/>
  <c r="N368" i="23"/>
  <c r="N369" i="23"/>
  <c r="N370" i="23"/>
  <c r="N389" i="23"/>
  <c r="N390" i="23"/>
  <c r="N407" i="23"/>
  <c r="N408" i="23"/>
  <c r="N410" i="23"/>
  <c r="N411" i="23"/>
  <c r="N412" i="23"/>
  <c r="N413" i="23"/>
  <c r="N414" i="23"/>
  <c r="N415" i="23"/>
  <c r="N416" i="23"/>
  <c r="N417" i="23"/>
  <c r="N418" i="23"/>
  <c r="N419" i="23"/>
  <c r="N420" i="23"/>
  <c r="N421" i="23"/>
  <c r="N422" i="23"/>
  <c r="N423" i="23"/>
  <c r="N424" i="23"/>
  <c r="N437" i="23"/>
  <c r="N438" i="23"/>
  <c r="N440" i="23"/>
  <c r="N441" i="23"/>
  <c r="N442" i="23"/>
  <c r="N444" i="23"/>
  <c r="N445" i="23"/>
  <c r="N446" i="23"/>
  <c r="M101" i="23"/>
  <c r="M102" i="23"/>
  <c r="M149" i="23"/>
  <c r="M150" i="23"/>
  <c r="M153" i="23"/>
  <c r="M154" i="23"/>
  <c r="M157" i="23"/>
  <c r="M158" i="23"/>
  <c r="M161" i="23"/>
  <c r="M162" i="23"/>
  <c r="M165" i="23"/>
  <c r="M166" i="23"/>
  <c r="M169" i="23"/>
  <c r="M170" i="23"/>
  <c r="M173" i="23"/>
  <c r="M174" i="23"/>
  <c r="M177" i="23"/>
  <c r="M178" i="23"/>
  <c r="M181" i="23"/>
  <c r="M182" i="23"/>
  <c r="M185" i="23"/>
  <c r="M186" i="23"/>
  <c r="M189" i="23"/>
  <c r="M190" i="23"/>
  <c r="M193" i="23"/>
  <c r="M194" i="23"/>
  <c r="M197" i="23"/>
  <c r="M198" i="23"/>
  <c r="M201" i="23"/>
  <c r="M202" i="23"/>
  <c r="M205" i="23"/>
  <c r="M206" i="23"/>
  <c r="M209" i="23"/>
  <c r="M210" i="23"/>
  <c r="M213" i="23"/>
  <c r="M214" i="23"/>
  <c r="M216" i="23"/>
  <c r="M217" i="23"/>
  <c r="M218" i="23"/>
  <c r="M220" i="23"/>
  <c r="M221" i="23"/>
  <c r="M222" i="23"/>
  <c r="M238" i="23"/>
  <c r="M240" i="23"/>
  <c r="M241" i="23"/>
  <c r="M242" i="23"/>
  <c r="M243" i="23"/>
  <c r="M244" i="23"/>
  <c r="M245" i="23"/>
  <c r="M246" i="23"/>
  <c r="M247" i="23"/>
  <c r="M248" i="23"/>
  <c r="M249" i="23"/>
  <c r="M250" i="23"/>
  <c r="M275" i="23"/>
  <c r="M276" i="23"/>
  <c r="M279" i="23"/>
  <c r="M280" i="23"/>
  <c r="M317" i="23"/>
  <c r="M318" i="23"/>
  <c r="M319" i="23"/>
  <c r="M333" i="23"/>
  <c r="M334" i="23"/>
  <c r="M337" i="23"/>
  <c r="M338" i="23"/>
  <c r="M352" i="23"/>
  <c r="M353" i="23"/>
  <c r="M354" i="23"/>
  <c r="M356" i="23"/>
  <c r="M357" i="23"/>
  <c r="M358" i="23"/>
  <c r="M360" i="23"/>
  <c r="M361" i="23"/>
  <c r="M362" i="23"/>
  <c r="M363" i="23"/>
  <c r="M364" i="23"/>
  <c r="M365" i="23"/>
  <c r="M366" i="23"/>
  <c r="M367" i="23"/>
  <c r="M368" i="23"/>
  <c r="M369" i="23"/>
  <c r="M370" i="23"/>
  <c r="M389" i="23"/>
  <c r="M390" i="23"/>
  <c r="M407" i="23"/>
  <c r="M408" i="23"/>
  <c r="M410" i="23"/>
  <c r="M411" i="23"/>
  <c r="M412" i="23"/>
  <c r="M413" i="23"/>
  <c r="M414" i="23"/>
  <c r="M415" i="23"/>
  <c r="M416" i="23"/>
  <c r="M417" i="23"/>
  <c r="M418" i="23"/>
  <c r="M419" i="23"/>
  <c r="M420" i="23"/>
  <c r="M421" i="23"/>
  <c r="M422" i="23"/>
  <c r="M423" i="23"/>
  <c r="M424" i="23"/>
  <c r="M437" i="23"/>
  <c r="M438" i="23"/>
  <c r="M440" i="23"/>
  <c r="M441" i="23"/>
  <c r="M442" i="23"/>
  <c r="M444" i="23"/>
  <c r="M445" i="23"/>
  <c r="M446" i="23"/>
  <c r="L101" i="23"/>
  <c r="L102" i="23"/>
  <c r="L149" i="23"/>
  <c r="L150" i="23"/>
  <c r="L153" i="23"/>
  <c r="L154" i="23"/>
  <c r="L157" i="23"/>
  <c r="L158" i="23"/>
  <c r="L161" i="23"/>
  <c r="L162" i="23"/>
  <c r="L165" i="23"/>
  <c r="L166" i="23"/>
  <c r="L169" i="23"/>
  <c r="L170" i="23"/>
  <c r="L173" i="23"/>
  <c r="L174" i="23"/>
  <c r="L177" i="23"/>
  <c r="L178" i="23"/>
  <c r="L181" i="23"/>
  <c r="L182" i="23"/>
  <c r="L185" i="23"/>
  <c r="L186" i="23"/>
  <c r="L189" i="23"/>
  <c r="L190" i="23"/>
  <c r="L193" i="23"/>
  <c r="L194" i="23"/>
  <c r="L197" i="23"/>
  <c r="L198" i="23"/>
  <c r="L201" i="23"/>
  <c r="L202" i="23"/>
  <c r="L205" i="23"/>
  <c r="L206" i="23"/>
  <c r="L209" i="23"/>
  <c r="L210" i="23"/>
  <c r="L213" i="23"/>
  <c r="L214" i="23"/>
  <c r="L216" i="23"/>
  <c r="L217" i="23"/>
  <c r="L218" i="23"/>
  <c r="L220" i="23"/>
  <c r="L221" i="23"/>
  <c r="L222" i="23"/>
  <c r="L238" i="23"/>
  <c r="L240" i="23"/>
  <c r="L241" i="23"/>
  <c r="L242" i="23"/>
  <c r="L243" i="23"/>
  <c r="L244" i="23"/>
  <c r="L245" i="23"/>
  <c r="L246" i="23"/>
  <c r="L247" i="23"/>
  <c r="L248" i="23"/>
  <c r="L249" i="23"/>
  <c r="L250" i="23"/>
  <c r="L275" i="23"/>
  <c r="L276" i="23"/>
  <c r="L279" i="23"/>
  <c r="L280" i="23"/>
  <c r="L317" i="23"/>
  <c r="L318" i="23"/>
  <c r="L319" i="23"/>
  <c r="L333" i="23"/>
  <c r="L334" i="23"/>
  <c r="L337" i="23"/>
  <c r="L338" i="23"/>
  <c r="L352" i="23"/>
  <c r="L353" i="23"/>
  <c r="L354" i="23"/>
  <c r="L356" i="23"/>
  <c r="L357" i="23"/>
  <c r="L358" i="23"/>
  <c r="L360" i="23"/>
  <c r="L361" i="23"/>
  <c r="L362" i="23"/>
  <c r="L363" i="23"/>
  <c r="L364" i="23"/>
  <c r="L365" i="23"/>
  <c r="L366" i="23"/>
  <c r="L367" i="23"/>
  <c r="L368" i="23"/>
  <c r="L369" i="23"/>
  <c r="L370" i="23"/>
  <c r="L389" i="23"/>
  <c r="L390" i="23"/>
  <c r="L407" i="23"/>
  <c r="L408" i="23"/>
  <c r="L410" i="23"/>
  <c r="L411" i="23"/>
  <c r="L412" i="23"/>
  <c r="L413" i="23"/>
  <c r="L414" i="23"/>
  <c r="L415" i="23"/>
  <c r="L416" i="23"/>
  <c r="L417" i="23"/>
  <c r="L418" i="23"/>
  <c r="L419" i="23"/>
  <c r="L420" i="23"/>
  <c r="L421" i="23"/>
  <c r="L422" i="23"/>
  <c r="L423" i="23"/>
  <c r="L424" i="23"/>
  <c r="L437" i="23"/>
  <c r="L438" i="23"/>
  <c r="L440" i="23"/>
  <c r="L441" i="23"/>
  <c r="L442" i="23"/>
  <c r="L444" i="23"/>
  <c r="L445" i="23"/>
  <c r="L446" i="23"/>
  <c r="K101" i="23"/>
  <c r="K102" i="23"/>
  <c r="K149" i="23"/>
  <c r="K150" i="23"/>
  <c r="K153" i="23"/>
  <c r="K154" i="23"/>
  <c r="K157" i="23"/>
  <c r="K158" i="23"/>
  <c r="K161" i="23"/>
  <c r="K162" i="23"/>
  <c r="K165" i="23"/>
  <c r="K166" i="23"/>
  <c r="K169" i="23"/>
  <c r="K170" i="23"/>
  <c r="K173" i="23"/>
  <c r="K174" i="23"/>
  <c r="K177" i="23"/>
  <c r="K178" i="23"/>
  <c r="K181" i="23"/>
  <c r="K182" i="23"/>
  <c r="K185" i="23"/>
  <c r="K186" i="23"/>
  <c r="K189" i="23"/>
  <c r="K190" i="23"/>
  <c r="K193" i="23"/>
  <c r="K194" i="23"/>
  <c r="K197" i="23"/>
  <c r="K198" i="23"/>
  <c r="K201" i="23"/>
  <c r="K202" i="23"/>
  <c r="K205" i="23"/>
  <c r="K206" i="23"/>
  <c r="K209" i="23"/>
  <c r="K210" i="23"/>
  <c r="K213" i="23"/>
  <c r="K214" i="23"/>
  <c r="K216" i="23"/>
  <c r="K217" i="23"/>
  <c r="K218" i="23"/>
  <c r="K220" i="23"/>
  <c r="K221" i="23"/>
  <c r="K222" i="23"/>
  <c r="K238" i="23"/>
  <c r="K240" i="23"/>
  <c r="K241" i="23"/>
  <c r="K242" i="23"/>
  <c r="K243" i="23"/>
  <c r="K244" i="23"/>
  <c r="K245" i="23"/>
  <c r="K246" i="23"/>
  <c r="K247" i="23"/>
  <c r="K248" i="23"/>
  <c r="K249" i="23"/>
  <c r="K250" i="23"/>
  <c r="K275" i="23"/>
  <c r="K276" i="23"/>
  <c r="K279" i="23"/>
  <c r="K280" i="23"/>
  <c r="K317" i="23"/>
  <c r="K318" i="23"/>
  <c r="K319" i="23"/>
  <c r="K333" i="23"/>
  <c r="K334" i="23"/>
  <c r="K337" i="23"/>
  <c r="K338" i="23"/>
  <c r="K352" i="23"/>
  <c r="K353" i="23"/>
  <c r="K354" i="23"/>
  <c r="K356" i="23"/>
  <c r="K357" i="23"/>
  <c r="K358" i="23"/>
  <c r="K360" i="23"/>
  <c r="K361" i="23"/>
  <c r="K362" i="23"/>
  <c r="K363" i="23"/>
  <c r="K364" i="23"/>
  <c r="K365" i="23"/>
  <c r="K366" i="23"/>
  <c r="K367" i="23"/>
  <c r="K368" i="23"/>
  <c r="K369" i="23"/>
  <c r="K370" i="23"/>
  <c r="K389" i="23"/>
  <c r="K390" i="23"/>
  <c r="K407" i="23"/>
  <c r="K408" i="23"/>
  <c r="K410" i="23"/>
  <c r="K411" i="23"/>
  <c r="K412" i="23"/>
  <c r="K413" i="23"/>
  <c r="K414" i="23"/>
  <c r="K415" i="23"/>
  <c r="K416" i="23"/>
  <c r="K417" i="23"/>
  <c r="K418" i="23"/>
  <c r="K419" i="23"/>
  <c r="K420" i="23"/>
  <c r="K421" i="23"/>
  <c r="K422" i="23"/>
  <c r="K423" i="23"/>
  <c r="K424" i="23"/>
  <c r="K437" i="23"/>
  <c r="K438" i="23"/>
  <c r="K440" i="23"/>
  <c r="K441" i="23"/>
  <c r="K442" i="23"/>
  <c r="K444" i="23"/>
  <c r="K445" i="23"/>
  <c r="K446" i="23"/>
  <c r="J101" i="23"/>
  <c r="J102" i="23"/>
  <c r="J149" i="23"/>
  <c r="J150" i="23"/>
  <c r="J153" i="23"/>
  <c r="J154" i="23"/>
  <c r="J157" i="23"/>
  <c r="J158" i="23"/>
  <c r="J161" i="23"/>
  <c r="J162" i="23"/>
  <c r="J165" i="23"/>
  <c r="J166" i="23"/>
  <c r="J169" i="23"/>
  <c r="J170" i="23"/>
  <c r="J173" i="23"/>
  <c r="J174" i="23"/>
  <c r="J177" i="23"/>
  <c r="J178" i="23"/>
  <c r="J181" i="23"/>
  <c r="J182" i="23"/>
  <c r="J185" i="23"/>
  <c r="J186" i="23"/>
  <c r="J189" i="23"/>
  <c r="J190" i="23"/>
  <c r="J193" i="23"/>
  <c r="J194" i="23"/>
  <c r="J197" i="23"/>
  <c r="J198" i="23"/>
  <c r="J201" i="23"/>
  <c r="J202" i="23"/>
  <c r="J205" i="23"/>
  <c r="J206" i="23"/>
  <c r="J209" i="23"/>
  <c r="J210" i="23"/>
  <c r="J213" i="23"/>
  <c r="J214" i="23"/>
  <c r="J216" i="23"/>
  <c r="J217" i="23"/>
  <c r="J218" i="23"/>
  <c r="J220" i="23"/>
  <c r="J221" i="23"/>
  <c r="J222" i="23"/>
  <c r="J238" i="23"/>
  <c r="J240" i="23"/>
  <c r="J241" i="23"/>
  <c r="J242" i="23"/>
  <c r="J243" i="23"/>
  <c r="J244" i="23"/>
  <c r="J245" i="23"/>
  <c r="J246" i="23"/>
  <c r="J247" i="23"/>
  <c r="J248" i="23"/>
  <c r="J249" i="23"/>
  <c r="J250" i="23"/>
  <c r="J275" i="23"/>
  <c r="J276" i="23"/>
  <c r="J279" i="23"/>
  <c r="J280" i="23"/>
  <c r="J317" i="23"/>
  <c r="J318" i="23"/>
  <c r="J319" i="23"/>
  <c r="J333" i="23"/>
  <c r="J334" i="23"/>
  <c r="J337" i="23"/>
  <c r="J338" i="23"/>
  <c r="J352" i="23"/>
  <c r="J353" i="23"/>
  <c r="J354" i="23"/>
  <c r="J356" i="23"/>
  <c r="J357" i="23"/>
  <c r="J358" i="23"/>
  <c r="J360" i="23"/>
  <c r="J361" i="23"/>
  <c r="J362" i="23"/>
  <c r="J363" i="23"/>
  <c r="J364" i="23"/>
  <c r="J365" i="23"/>
  <c r="J366" i="23"/>
  <c r="J367" i="23"/>
  <c r="J368" i="23"/>
  <c r="J369" i="23"/>
  <c r="J370" i="23"/>
  <c r="J389" i="23"/>
  <c r="J390" i="23"/>
  <c r="J407" i="23"/>
  <c r="J408" i="23"/>
  <c r="J410" i="23"/>
  <c r="J411" i="23"/>
  <c r="J412" i="23"/>
  <c r="J413" i="23"/>
  <c r="J414" i="23"/>
  <c r="J415" i="23"/>
  <c r="J416" i="23"/>
  <c r="J417" i="23"/>
  <c r="J418" i="23"/>
  <c r="J419" i="23"/>
  <c r="J420" i="23"/>
  <c r="J421" i="23"/>
  <c r="J422" i="23"/>
  <c r="J423" i="23"/>
  <c r="J424" i="23"/>
  <c r="J437" i="23"/>
  <c r="J438" i="23"/>
  <c r="J440" i="23"/>
  <c r="J441" i="23"/>
  <c r="J442" i="23"/>
  <c r="J444" i="23"/>
  <c r="J445" i="23"/>
  <c r="J446" i="23"/>
  <c r="I101" i="23"/>
  <c r="I102" i="23"/>
  <c r="I149" i="23"/>
  <c r="I150" i="23"/>
  <c r="I153" i="23"/>
  <c r="I154" i="23"/>
  <c r="I157" i="23"/>
  <c r="I158" i="23"/>
  <c r="I161" i="23"/>
  <c r="I162" i="23"/>
  <c r="I165" i="23"/>
  <c r="I166" i="23"/>
  <c r="I169" i="23"/>
  <c r="I170" i="23"/>
  <c r="I173" i="23"/>
  <c r="I174" i="23"/>
  <c r="I177" i="23"/>
  <c r="I178" i="23"/>
  <c r="I181" i="23"/>
  <c r="I182" i="23"/>
  <c r="I185" i="23"/>
  <c r="I186" i="23"/>
  <c r="I189" i="23"/>
  <c r="I190" i="23"/>
  <c r="I193" i="23"/>
  <c r="I194" i="23"/>
  <c r="I197" i="23"/>
  <c r="I198" i="23"/>
  <c r="I201" i="23"/>
  <c r="I202" i="23"/>
  <c r="I205" i="23"/>
  <c r="I206" i="23"/>
  <c r="I209" i="23"/>
  <c r="I210" i="23"/>
  <c r="I213" i="23"/>
  <c r="I214" i="23"/>
  <c r="I216" i="23"/>
  <c r="I217" i="23"/>
  <c r="I218" i="23"/>
  <c r="I220" i="23"/>
  <c r="I221" i="23"/>
  <c r="I222" i="23"/>
  <c r="I238" i="23"/>
  <c r="I240" i="23"/>
  <c r="I241" i="23"/>
  <c r="I242" i="23"/>
  <c r="I243" i="23"/>
  <c r="I244" i="23"/>
  <c r="I245" i="23"/>
  <c r="I246" i="23"/>
  <c r="I247" i="23"/>
  <c r="I248" i="23"/>
  <c r="I249" i="23"/>
  <c r="I250" i="23"/>
  <c r="I275" i="23"/>
  <c r="I276" i="23"/>
  <c r="I279" i="23"/>
  <c r="I280" i="23"/>
  <c r="I317" i="23"/>
  <c r="I318" i="23"/>
  <c r="I319" i="23"/>
  <c r="I333" i="23"/>
  <c r="I334" i="23"/>
  <c r="I337" i="23"/>
  <c r="I338" i="23"/>
  <c r="I352" i="23"/>
  <c r="I353" i="23"/>
  <c r="I354" i="23"/>
  <c r="I356" i="23"/>
  <c r="I357" i="23"/>
  <c r="I358" i="23"/>
  <c r="I360" i="23"/>
  <c r="I361" i="23"/>
  <c r="I362" i="23"/>
  <c r="I363" i="23"/>
  <c r="I364" i="23"/>
  <c r="I365" i="23"/>
  <c r="I366" i="23"/>
  <c r="I367" i="23"/>
  <c r="I368" i="23"/>
  <c r="I369" i="23"/>
  <c r="I370" i="23"/>
  <c r="I389" i="23"/>
  <c r="I390" i="23"/>
  <c r="I407" i="23"/>
  <c r="I408" i="23"/>
  <c r="I410" i="23"/>
  <c r="I411" i="23"/>
  <c r="I412" i="23"/>
  <c r="I413" i="23"/>
  <c r="I414" i="23"/>
  <c r="I415" i="23"/>
  <c r="I416" i="23"/>
  <c r="I417" i="23"/>
  <c r="I418" i="23"/>
  <c r="I419" i="23"/>
  <c r="I420" i="23"/>
  <c r="I421" i="23"/>
  <c r="I422" i="23"/>
  <c r="I423" i="23"/>
  <c r="I424" i="23"/>
  <c r="I437" i="23"/>
  <c r="I438" i="23"/>
  <c r="I440" i="23"/>
  <c r="I441" i="23"/>
  <c r="I442" i="23"/>
  <c r="I444" i="23"/>
  <c r="I445" i="23"/>
  <c r="I446" i="23"/>
  <c r="H101" i="23"/>
  <c r="H102" i="23"/>
  <c r="H149" i="23"/>
  <c r="H150" i="23"/>
  <c r="H153" i="23"/>
  <c r="H154" i="23"/>
  <c r="H157" i="23"/>
  <c r="H158" i="23"/>
  <c r="H161" i="23"/>
  <c r="H162" i="23"/>
  <c r="H165" i="23"/>
  <c r="H166" i="23"/>
  <c r="H169" i="23"/>
  <c r="H170" i="23"/>
  <c r="H173" i="23"/>
  <c r="H174" i="23"/>
  <c r="H177" i="23"/>
  <c r="H178" i="23"/>
  <c r="H181" i="23"/>
  <c r="H182" i="23"/>
  <c r="H185" i="23"/>
  <c r="H186" i="23"/>
  <c r="H189" i="23"/>
  <c r="H190" i="23"/>
  <c r="H193" i="23"/>
  <c r="H194" i="23"/>
  <c r="H197" i="23"/>
  <c r="H198" i="23"/>
  <c r="H201" i="23"/>
  <c r="H202" i="23"/>
  <c r="H205" i="23"/>
  <c r="H206" i="23"/>
  <c r="H209" i="23"/>
  <c r="H210" i="23"/>
  <c r="H213" i="23"/>
  <c r="H214" i="23"/>
  <c r="H216" i="23"/>
  <c r="H217" i="23"/>
  <c r="H218" i="23"/>
  <c r="H220" i="23"/>
  <c r="H221" i="23"/>
  <c r="H222" i="23"/>
  <c r="H238" i="23"/>
  <c r="H240" i="23"/>
  <c r="H241" i="23"/>
  <c r="H242" i="23"/>
  <c r="H243" i="23"/>
  <c r="H244" i="23"/>
  <c r="H245" i="23"/>
  <c r="H246" i="23"/>
  <c r="H247" i="23"/>
  <c r="H248" i="23"/>
  <c r="H249" i="23"/>
  <c r="H250" i="23"/>
  <c r="H275" i="23"/>
  <c r="H276" i="23"/>
  <c r="H279" i="23"/>
  <c r="H280" i="23"/>
  <c r="H317" i="23"/>
  <c r="H318" i="23"/>
  <c r="H319" i="23"/>
  <c r="H333" i="23"/>
  <c r="H334" i="23"/>
  <c r="H337" i="23"/>
  <c r="H338" i="23"/>
  <c r="H352" i="23"/>
  <c r="H353" i="23"/>
  <c r="H354" i="23"/>
  <c r="H356" i="23"/>
  <c r="H357" i="23"/>
  <c r="H358" i="23"/>
  <c r="H360" i="23"/>
  <c r="H361" i="23"/>
  <c r="H362" i="23"/>
  <c r="H363" i="23"/>
  <c r="H364" i="23"/>
  <c r="H365" i="23"/>
  <c r="H366" i="23"/>
  <c r="H367" i="23"/>
  <c r="H368" i="23"/>
  <c r="H369" i="23"/>
  <c r="H370" i="23"/>
  <c r="H389" i="23"/>
  <c r="H390" i="23"/>
  <c r="H407" i="23"/>
  <c r="H408" i="23"/>
  <c r="H410" i="23"/>
  <c r="H411" i="23"/>
  <c r="H412" i="23"/>
  <c r="H413" i="23"/>
  <c r="H414" i="23"/>
  <c r="H415" i="23"/>
  <c r="H416" i="23"/>
  <c r="H417" i="23"/>
  <c r="H418" i="23"/>
  <c r="H419" i="23"/>
  <c r="H420" i="23"/>
  <c r="H421" i="23"/>
  <c r="H422" i="23"/>
  <c r="H423" i="23"/>
  <c r="H424" i="23"/>
  <c r="H437" i="23"/>
  <c r="H438" i="23"/>
  <c r="H440" i="23"/>
  <c r="H441" i="23"/>
  <c r="H442" i="23"/>
  <c r="H444" i="23"/>
  <c r="H445" i="23"/>
  <c r="H446" i="23"/>
  <c r="G101" i="23"/>
  <c r="G102" i="23"/>
  <c r="G149" i="23"/>
  <c r="G150" i="23"/>
  <c r="G153" i="23"/>
  <c r="G154" i="23"/>
  <c r="G157" i="23"/>
  <c r="G158" i="23"/>
  <c r="G161" i="23"/>
  <c r="G162" i="23"/>
  <c r="G165" i="23"/>
  <c r="G166" i="23"/>
  <c r="G169" i="23"/>
  <c r="G170" i="23"/>
  <c r="G173" i="23"/>
  <c r="G174" i="23"/>
  <c r="G177" i="23"/>
  <c r="G178" i="23"/>
  <c r="G181" i="23"/>
  <c r="G182" i="23"/>
  <c r="G185" i="23"/>
  <c r="G186" i="23"/>
  <c r="G189" i="23"/>
  <c r="G190" i="23"/>
  <c r="G193" i="23"/>
  <c r="G194" i="23"/>
  <c r="G197" i="23"/>
  <c r="G198" i="23"/>
  <c r="G201" i="23"/>
  <c r="G202" i="23"/>
  <c r="G205" i="23"/>
  <c r="G206" i="23"/>
  <c r="G209" i="23"/>
  <c r="G210" i="23"/>
  <c r="G213" i="23"/>
  <c r="G214" i="23"/>
  <c r="G216" i="23"/>
  <c r="G217" i="23"/>
  <c r="G218" i="23"/>
  <c r="G220" i="23"/>
  <c r="G221" i="23"/>
  <c r="G222" i="23"/>
  <c r="G238" i="23"/>
  <c r="G240" i="23"/>
  <c r="G241" i="23"/>
  <c r="G242" i="23"/>
  <c r="G243" i="23"/>
  <c r="G244" i="23"/>
  <c r="G245" i="23"/>
  <c r="G246" i="23"/>
  <c r="G247" i="23"/>
  <c r="G248" i="23"/>
  <c r="G249" i="23"/>
  <c r="G250" i="23"/>
  <c r="G275" i="23"/>
  <c r="G276" i="23"/>
  <c r="G279" i="23"/>
  <c r="G280" i="23"/>
  <c r="G317" i="23"/>
  <c r="G318" i="23"/>
  <c r="G319" i="23"/>
  <c r="G333" i="23"/>
  <c r="G334" i="23"/>
  <c r="G337" i="23"/>
  <c r="G338" i="23"/>
  <c r="G352" i="23"/>
  <c r="G353" i="23"/>
  <c r="G354" i="23"/>
  <c r="G356" i="23"/>
  <c r="G357" i="23"/>
  <c r="G358" i="23"/>
  <c r="G360" i="23"/>
  <c r="G361" i="23"/>
  <c r="G362" i="23"/>
  <c r="G363" i="23"/>
  <c r="G364" i="23"/>
  <c r="G365" i="23"/>
  <c r="G366" i="23"/>
  <c r="G367" i="23"/>
  <c r="G368" i="23"/>
  <c r="G369" i="23"/>
  <c r="G370" i="23"/>
  <c r="G389" i="23"/>
  <c r="G390" i="23"/>
  <c r="G407" i="23"/>
  <c r="G408" i="23"/>
  <c r="G410" i="23"/>
  <c r="G411" i="23"/>
  <c r="G412" i="23"/>
  <c r="G413" i="23"/>
  <c r="G414" i="23"/>
  <c r="G415" i="23"/>
  <c r="G416" i="23"/>
  <c r="G417" i="23"/>
  <c r="G418" i="23"/>
  <c r="G419" i="23"/>
  <c r="G420" i="23"/>
  <c r="G421" i="23"/>
  <c r="G422" i="23"/>
  <c r="G423" i="23"/>
  <c r="G424" i="23"/>
  <c r="G437" i="23"/>
  <c r="G438" i="23"/>
  <c r="G440" i="23"/>
  <c r="G441" i="23"/>
  <c r="G442" i="23"/>
  <c r="G444" i="23"/>
  <c r="G445" i="23"/>
  <c r="G446" i="23"/>
  <c r="Y6" i="23"/>
  <c r="F101" i="23"/>
  <c r="F102" i="23"/>
  <c r="AA102" i="23"/>
  <c r="H34" i="21"/>
  <c r="F149" i="23"/>
  <c r="F150" i="23"/>
  <c r="AA150" i="23"/>
  <c r="H64" i="21"/>
  <c r="F153" i="23"/>
  <c r="F154" i="23"/>
  <c r="AA154" i="23"/>
  <c r="H67" i="21"/>
  <c r="F157" i="23"/>
  <c r="F158" i="23"/>
  <c r="AA158" i="23"/>
  <c r="H70" i="21"/>
  <c r="F161" i="23"/>
  <c r="F162" i="23"/>
  <c r="AA162" i="23"/>
  <c r="H73" i="21"/>
  <c r="F165" i="23"/>
  <c r="F166" i="23"/>
  <c r="AA166" i="23"/>
  <c r="F169" i="23"/>
  <c r="F170" i="23"/>
  <c r="AA170" i="23"/>
  <c r="H79" i="21"/>
  <c r="F173" i="23"/>
  <c r="F174" i="23"/>
  <c r="AA174" i="23"/>
  <c r="H82" i="21"/>
  <c r="F177" i="23"/>
  <c r="F178" i="23"/>
  <c r="AA178" i="23"/>
  <c r="H85" i="21"/>
  <c r="F181" i="23"/>
  <c r="F182" i="23"/>
  <c r="AA182" i="23"/>
  <c r="H88" i="21"/>
  <c r="F185" i="23"/>
  <c r="F186" i="23"/>
  <c r="AA186" i="23"/>
  <c r="H91" i="21"/>
  <c r="F189" i="23"/>
  <c r="F190" i="23"/>
  <c r="AA190" i="23"/>
  <c r="H94" i="21"/>
  <c r="F193" i="23"/>
  <c r="F194" i="23"/>
  <c r="AA194" i="23"/>
  <c r="H97" i="21"/>
  <c r="F197" i="23"/>
  <c r="F198" i="23"/>
  <c r="AA198" i="23"/>
  <c r="H100" i="21"/>
  <c r="F201" i="23"/>
  <c r="F202" i="23"/>
  <c r="AA202" i="23"/>
  <c r="H103" i="21"/>
  <c r="F205" i="23"/>
  <c r="F206" i="23"/>
  <c r="AA206" i="23"/>
  <c r="H106" i="21"/>
  <c r="F209" i="23"/>
  <c r="F210" i="23"/>
  <c r="AA210" i="23"/>
  <c r="H109" i="21"/>
  <c r="F213" i="23"/>
  <c r="F214" i="23"/>
  <c r="AA214" i="23"/>
  <c r="H112" i="21"/>
  <c r="F216" i="23"/>
  <c r="F217" i="23"/>
  <c r="F218" i="23"/>
  <c r="AA218" i="23"/>
  <c r="H115" i="21"/>
  <c r="F220" i="23"/>
  <c r="F221" i="23"/>
  <c r="F222" i="23"/>
  <c r="AA222" i="23"/>
  <c r="H118" i="21"/>
  <c r="F238" i="23"/>
  <c r="F240" i="23"/>
  <c r="F241" i="23"/>
  <c r="F242" i="23"/>
  <c r="F243" i="23"/>
  <c r="F244" i="23"/>
  <c r="F245" i="23"/>
  <c r="F246" i="23"/>
  <c r="F247" i="23"/>
  <c r="F248" i="23"/>
  <c r="F249" i="23"/>
  <c r="F250" i="23"/>
  <c r="F275" i="23"/>
  <c r="F276" i="23"/>
  <c r="AA276" i="23"/>
  <c r="H141" i="21"/>
  <c r="F279" i="23"/>
  <c r="F280" i="23"/>
  <c r="AA280" i="23"/>
  <c r="H144" i="21"/>
  <c r="F317" i="23"/>
  <c r="F318" i="23"/>
  <c r="F319" i="23"/>
  <c r="AA319" i="23"/>
  <c r="F333" i="23"/>
  <c r="F334" i="23"/>
  <c r="AA334" i="23"/>
  <c r="F337" i="23"/>
  <c r="F338" i="23"/>
  <c r="AA338" i="23"/>
  <c r="F352" i="23"/>
  <c r="F353" i="23"/>
  <c r="F354" i="23"/>
  <c r="AA354" i="23"/>
  <c r="F356" i="23"/>
  <c r="F357" i="23"/>
  <c r="F358" i="23"/>
  <c r="AA358" i="23"/>
  <c r="F360" i="23"/>
  <c r="F361" i="23"/>
  <c r="F362" i="23"/>
  <c r="F363" i="23"/>
  <c r="F364" i="23"/>
  <c r="F365" i="23"/>
  <c r="F366" i="23"/>
  <c r="F367" i="23"/>
  <c r="F368" i="23"/>
  <c r="F369" i="23"/>
  <c r="F370" i="23"/>
  <c r="F389" i="23"/>
  <c r="F390" i="23"/>
  <c r="AA390" i="23"/>
  <c r="H216" i="21"/>
  <c r="F407" i="23"/>
  <c r="F408" i="23"/>
  <c r="AA408" i="23"/>
  <c r="H233" i="21"/>
  <c r="F410" i="23"/>
  <c r="F411" i="23"/>
  <c r="F412" i="23"/>
  <c r="F413" i="23"/>
  <c r="F414" i="23"/>
  <c r="F415" i="23"/>
  <c r="F416" i="23"/>
  <c r="F417" i="23"/>
  <c r="F418" i="23"/>
  <c r="F419" i="23"/>
  <c r="F420" i="23"/>
  <c r="F421" i="23"/>
  <c r="F422" i="23"/>
  <c r="F423" i="23"/>
  <c r="F424" i="23"/>
  <c r="F437" i="23"/>
  <c r="F438" i="23"/>
  <c r="AA438" i="23"/>
  <c r="H257" i="21"/>
  <c r="F440" i="23"/>
  <c r="F441" i="23"/>
  <c r="F442" i="23"/>
  <c r="AA442" i="23"/>
  <c r="F444" i="23"/>
  <c r="F445" i="23"/>
  <c r="F446" i="23"/>
  <c r="AA446" i="23"/>
  <c r="C2" i="27"/>
  <c r="C2" i="23"/>
  <c r="O6" i="24"/>
  <c r="X6" i="24"/>
  <c r="Y6" i="24"/>
  <c r="O7" i="24"/>
  <c r="X7" i="24"/>
  <c r="Y7" i="24"/>
  <c r="O4" i="24"/>
  <c r="O5" i="24"/>
  <c r="X5" i="24"/>
  <c r="Y5" i="24"/>
  <c r="F19" i="12"/>
  <c r="G169" i="19"/>
  <c r="D13" i="19"/>
  <c r="D100" i="15"/>
  <c r="D14" i="19"/>
  <c r="BE110" i="19"/>
  <c r="BE109" i="19"/>
  <c r="BE108" i="19"/>
  <c r="BE107" i="19"/>
  <c r="BE106" i="19"/>
  <c r="BE105" i="19"/>
  <c r="BE104" i="19"/>
  <c r="BE103" i="19"/>
  <c r="BE102" i="19"/>
  <c r="BE101" i="19"/>
  <c r="BE100" i="19"/>
  <c r="BE99" i="19"/>
  <c r="BE98" i="19"/>
  <c r="BE97" i="19"/>
  <c r="BE96" i="19"/>
  <c r="BE95" i="19"/>
  <c r="BE94" i="19"/>
  <c r="BE93" i="19"/>
  <c r="BE92" i="19"/>
  <c r="BE91" i="19"/>
  <c r="BE90" i="19"/>
  <c r="BE89" i="19"/>
  <c r="BE88" i="19"/>
  <c r="BE87" i="19"/>
  <c r="BE86" i="19"/>
  <c r="BE111" i="19"/>
  <c r="K6" i="19"/>
  <c r="AP110" i="19"/>
  <c r="AP109" i="19"/>
  <c r="AP108" i="19"/>
  <c r="AP107" i="19"/>
  <c r="AP106" i="19"/>
  <c r="AP105" i="19"/>
  <c r="AP104" i="19"/>
  <c r="AP103" i="19"/>
  <c r="AP102" i="19"/>
  <c r="AP101" i="19"/>
  <c r="AP100" i="19"/>
  <c r="AP99" i="19"/>
  <c r="AP98" i="19"/>
  <c r="AP97" i="19"/>
  <c r="AP96" i="19"/>
  <c r="AP95" i="19"/>
  <c r="AP94" i="19"/>
  <c r="AP93" i="19"/>
  <c r="AP92" i="19"/>
  <c r="AP91" i="19"/>
  <c r="AP90" i="19"/>
  <c r="AP89" i="19"/>
  <c r="AP88" i="19"/>
  <c r="AP87" i="19"/>
  <c r="AP86" i="19"/>
  <c r="AP111" i="19"/>
  <c r="J6" i="19"/>
  <c r="AY81" i="19"/>
  <c r="AY80" i="19"/>
  <c r="AY79" i="19"/>
  <c r="AY78" i="19"/>
  <c r="AY77" i="19"/>
  <c r="AY76" i="19"/>
  <c r="AY75" i="19"/>
  <c r="AY74" i="19"/>
  <c r="AY73" i="19"/>
  <c r="AY72" i="19"/>
  <c r="AY71" i="19"/>
  <c r="AY70" i="19"/>
  <c r="AY69" i="19"/>
  <c r="AY68" i="19"/>
  <c r="AY67" i="19"/>
  <c r="AY66" i="19"/>
  <c r="AY65" i="19"/>
  <c r="AY64" i="19"/>
  <c r="AY63" i="19"/>
  <c r="AY62" i="19"/>
  <c r="AY61" i="19"/>
  <c r="AY60" i="19"/>
  <c r="AY59" i="19"/>
  <c r="AY58" i="19"/>
  <c r="AY57" i="19"/>
  <c r="AX81" i="19"/>
  <c r="AX80" i="19"/>
  <c r="AX79" i="19"/>
  <c r="AX78" i="19"/>
  <c r="AX77" i="19"/>
  <c r="AX76" i="19"/>
  <c r="AX75" i="19"/>
  <c r="AX74" i="19"/>
  <c r="AX73" i="19"/>
  <c r="AX72" i="19"/>
  <c r="AX71" i="19"/>
  <c r="AX70" i="19"/>
  <c r="AX69" i="19"/>
  <c r="AX68" i="19"/>
  <c r="AX67" i="19"/>
  <c r="AX66" i="19"/>
  <c r="AX65" i="19"/>
  <c r="AX64" i="19"/>
  <c r="AX63" i="19"/>
  <c r="AX62" i="19"/>
  <c r="AX61" i="19"/>
  <c r="AX60" i="19"/>
  <c r="AX59" i="19"/>
  <c r="AX58" i="19"/>
  <c r="AX57" i="19"/>
  <c r="AZ81" i="19"/>
  <c r="AZ80" i="19"/>
  <c r="AZ79" i="19"/>
  <c r="AZ78" i="19"/>
  <c r="AZ77" i="19"/>
  <c r="AZ76" i="19"/>
  <c r="AZ75" i="19"/>
  <c r="AZ74" i="19"/>
  <c r="AZ73" i="19"/>
  <c r="AZ72" i="19"/>
  <c r="AZ71" i="19"/>
  <c r="AZ70" i="19"/>
  <c r="AZ69" i="19"/>
  <c r="AZ68" i="19"/>
  <c r="AZ67" i="19"/>
  <c r="AZ66" i="19"/>
  <c r="AZ65" i="19"/>
  <c r="AZ64" i="19"/>
  <c r="AZ63" i="19"/>
  <c r="AZ62" i="19"/>
  <c r="AZ61" i="19"/>
  <c r="AZ60" i="19"/>
  <c r="AZ59" i="19"/>
  <c r="AZ58" i="19"/>
  <c r="AZ57" i="19"/>
  <c r="AY82" i="19"/>
  <c r="AX82" i="19"/>
  <c r="AZ82" i="19"/>
  <c r="K5" i="19"/>
  <c r="L6" i="19"/>
  <c r="AI81" i="19"/>
  <c r="AI80" i="19"/>
  <c r="AI79" i="19"/>
  <c r="AI78" i="19"/>
  <c r="AI77" i="19"/>
  <c r="AI76" i="19"/>
  <c r="AI75" i="19"/>
  <c r="AI74" i="19"/>
  <c r="AI73" i="19"/>
  <c r="AI72" i="19"/>
  <c r="AI71" i="19"/>
  <c r="AI70" i="19"/>
  <c r="AI69" i="19"/>
  <c r="AI68" i="19"/>
  <c r="AI67" i="19"/>
  <c r="AI66" i="19"/>
  <c r="AI65" i="19"/>
  <c r="AI64" i="19"/>
  <c r="AI63" i="19"/>
  <c r="AI62" i="19"/>
  <c r="AI61" i="19"/>
  <c r="AI60" i="19"/>
  <c r="AI59" i="19"/>
  <c r="AI58" i="19"/>
  <c r="AI57" i="19"/>
  <c r="AH57" i="19"/>
  <c r="AH81" i="19"/>
  <c r="AH80" i="19"/>
  <c r="AH79" i="19"/>
  <c r="AH78" i="19"/>
  <c r="AH77" i="19"/>
  <c r="AH76" i="19"/>
  <c r="AH75" i="19"/>
  <c r="AH74" i="19"/>
  <c r="AH73" i="19"/>
  <c r="AH72" i="19"/>
  <c r="AH71" i="19"/>
  <c r="AH70" i="19"/>
  <c r="AH69" i="19"/>
  <c r="AH68" i="19"/>
  <c r="AH67" i="19"/>
  <c r="AH66" i="19"/>
  <c r="AH65" i="19"/>
  <c r="AH64" i="19"/>
  <c r="AH63" i="19"/>
  <c r="AH62" i="19"/>
  <c r="AH61" i="19"/>
  <c r="AH60" i="19"/>
  <c r="AH59" i="19"/>
  <c r="AH58" i="19"/>
  <c r="H29" i="12"/>
  <c r="B1" i="17"/>
  <c r="B1" i="19"/>
  <c r="B1" i="15"/>
  <c r="K12" i="19"/>
  <c r="F169" i="19"/>
  <c r="BB150" i="19"/>
  <c r="BB149" i="19"/>
  <c r="BB148" i="19"/>
  <c r="BB147" i="19"/>
  <c r="BB146" i="19"/>
  <c r="BB145" i="19"/>
  <c r="V169" i="19"/>
  <c r="AI168" i="19"/>
  <c r="AI167" i="19"/>
  <c r="AI166" i="19"/>
  <c r="AI165" i="19"/>
  <c r="AI164" i="19"/>
  <c r="AI163" i="19"/>
  <c r="AI162" i="19"/>
  <c r="AI161" i="19"/>
  <c r="AI160" i="19"/>
  <c r="AI159" i="19"/>
  <c r="AI158" i="19"/>
  <c r="AI157" i="19"/>
  <c r="AI156" i="19"/>
  <c r="AI155" i="19"/>
  <c r="AI154" i="19"/>
  <c r="AI153" i="19"/>
  <c r="AI152" i="19"/>
  <c r="AI151" i="19"/>
  <c r="AI150" i="19"/>
  <c r="AI149" i="19"/>
  <c r="AI148" i="19"/>
  <c r="AI147" i="19"/>
  <c r="AI146" i="19"/>
  <c r="AI145" i="19"/>
  <c r="AI169" i="19" s="1"/>
  <c r="AH168" i="19"/>
  <c r="AH167" i="19"/>
  <c r="AH166" i="19"/>
  <c r="AH165" i="19"/>
  <c r="AH164" i="19"/>
  <c r="AH163" i="19"/>
  <c r="AH162" i="19"/>
  <c r="AH161" i="19"/>
  <c r="AH160" i="19"/>
  <c r="AH159" i="19"/>
  <c r="AH158" i="19"/>
  <c r="AH157" i="19"/>
  <c r="AH156" i="19"/>
  <c r="AH155" i="19"/>
  <c r="AH154" i="19"/>
  <c r="AH153" i="19"/>
  <c r="AH152" i="19"/>
  <c r="AH151" i="19"/>
  <c r="AH150" i="19"/>
  <c r="AH148" i="19"/>
  <c r="AH147" i="19"/>
  <c r="AH146" i="19"/>
  <c r="AH145" i="19"/>
  <c r="AH144" i="19"/>
  <c r="W169" i="19"/>
  <c r="BD150" i="19"/>
  <c r="BD149" i="19"/>
  <c r="BD148" i="19"/>
  <c r="BD147" i="19"/>
  <c r="BD146" i="19"/>
  <c r="BD145" i="19"/>
  <c r="AB169" i="19"/>
  <c r="T168" i="19"/>
  <c r="T167" i="19"/>
  <c r="T166" i="19"/>
  <c r="T165" i="19"/>
  <c r="T164" i="19"/>
  <c r="T163" i="19"/>
  <c r="T162" i="19"/>
  <c r="T161" i="19"/>
  <c r="T160" i="19"/>
  <c r="T159" i="19"/>
  <c r="T158" i="19"/>
  <c r="T157" i="19"/>
  <c r="T156" i="19"/>
  <c r="T155" i="19"/>
  <c r="T154" i="19"/>
  <c r="T153" i="19"/>
  <c r="T152" i="19"/>
  <c r="T151" i="19"/>
  <c r="T150" i="19"/>
  <c r="T149" i="19"/>
  <c r="T148" i="19"/>
  <c r="T147" i="19"/>
  <c r="T146" i="19"/>
  <c r="T145" i="19"/>
  <c r="T144" i="19"/>
  <c r="N19" i="12"/>
  <c r="M6" i="20"/>
  <c r="N6" i="20"/>
  <c r="N10" i="20"/>
  <c r="N9" i="20"/>
  <c r="N8" i="20"/>
  <c r="N7" i="20"/>
  <c r="N5" i="20"/>
  <c r="M4" i="20"/>
  <c r="N4" i="20"/>
  <c r="K93" i="20"/>
  <c r="K95" i="20"/>
  <c r="K81" i="20"/>
  <c r="K69" i="20"/>
  <c r="K58" i="20"/>
  <c r="K47" i="20"/>
  <c r="K38" i="20"/>
  <c r="K31" i="20"/>
  <c r="K30" i="20"/>
  <c r="M10" i="20"/>
  <c r="M9" i="20"/>
  <c r="M8" i="20"/>
  <c r="M7" i="20"/>
  <c r="N11" i="20"/>
  <c r="M5" i="20"/>
  <c r="M11" i="20"/>
  <c r="K169" i="19"/>
  <c r="D169" i="19"/>
  <c r="D8" i="19"/>
  <c r="J168" i="19"/>
  <c r="AD168" i="19"/>
  <c r="J167" i="19"/>
  <c r="AD167" i="19"/>
  <c r="J166" i="19"/>
  <c r="AD166" i="19"/>
  <c r="J165" i="19"/>
  <c r="AD165" i="19"/>
  <c r="J164" i="19"/>
  <c r="AD164" i="19"/>
  <c r="J163" i="19"/>
  <c r="AD163" i="19"/>
  <c r="J162" i="19"/>
  <c r="AD162" i="19"/>
  <c r="J161" i="19"/>
  <c r="AD161" i="19"/>
  <c r="J160" i="19"/>
  <c r="AD160" i="19"/>
  <c r="J159" i="19"/>
  <c r="AD159" i="19"/>
  <c r="J158" i="19"/>
  <c r="AD158" i="19"/>
  <c r="J157" i="19"/>
  <c r="AD157" i="19"/>
  <c r="J156" i="19"/>
  <c r="AD156" i="19"/>
  <c r="J155" i="19"/>
  <c r="AD155" i="19"/>
  <c r="J154" i="19"/>
  <c r="AD154" i="19"/>
  <c r="J153" i="19"/>
  <c r="AD153" i="19"/>
  <c r="J152" i="19"/>
  <c r="AD152" i="19"/>
  <c r="J151" i="19"/>
  <c r="AD151" i="19"/>
  <c r="BI150" i="19"/>
  <c r="AH149" i="19"/>
  <c r="J150" i="19"/>
  <c r="AD150" i="19"/>
  <c r="BF149" i="19"/>
  <c r="J149" i="19"/>
  <c r="AD149" i="19"/>
  <c r="J148" i="19"/>
  <c r="AD148" i="19"/>
  <c r="BF147" i="19"/>
  <c r="J147" i="19"/>
  <c r="AD147" i="19"/>
  <c r="J146" i="19"/>
  <c r="AD146" i="19"/>
  <c r="BF145" i="19"/>
  <c r="J145" i="19"/>
  <c r="AD145" i="19"/>
  <c r="B145" i="19"/>
  <c r="B146" i="19"/>
  <c r="B147" i="19"/>
  <c r="B148" i="19"/>
  <c r="B149" i="19"/>
  <c r="B150" i="19"/>
  <c r="B151" i="19"/>
  <c r="B152" i="19"/>
  <c r="B153" i="19"/>
  <c r="B154" i="19"/>
  <c r="B155" i="19"/>
  <c r="B156" i="19"/>
  <c r="B157" i="19"/>
  <c r="B158" i="19"/>
  <c r="B159" i="19"/>
  <c r="B160" i="19"/>
  <c r="B161" i="19"/>
  <c r="B162" i="19"/>
  <c r="B163" i="19"/>
  <c r="B164" i="19"/>
  <c r="B165" i="19"/>
  <c r="B166" i="19"/>
  <c r="B167" i="19"/>
  <c r="B168" i="19"/>
  <c r="AA169" i="19"/>
  <c r="J144" i="19"/>
  <c r="AT110" i="19"/>
  <c r="AT109" i="19"/>
  <c r="AT108" i="19"/>
  <c r="AT107" i="19"/>
  <c r="AT106" i="19"/>
  <c r="AT105" i="19"/>
  <c r="AT104" i="19"/>
  <c r="AT103" i="19"/>
  <c r="AT102" i="19"/>
  <c r="AT101" i="19"/>
  <c r="AT100" i="19"/>
  <c r="AT99" i="19"/>
  <c r="AT98" i="19"/>
  <c r="AT97" i="19"/>
  <c r="AT96" i="19"/>
  <c r="AT95" i="19"/>
  <c r="AT94" i="19"/>
  <c r="AT93" i="19"/>
  <c r="AT92" i="19"/>
  <c r="AT91" i="19"/>
  <c r="AT90" i="19"/>
  <c r="AT89" i="19"/>
  <c r="AT88" i="19"/>
  <c r="AT87" i="19"/>
  <c r="AT86" i="19"/>
  <c r="CM92" i="19"/>
  <c r="CO92" i="19"/>
  <c r="CM91" i="19"/>
  <c r="CO91" i="19"/>
  <c r="CM90" i="19"/>
  <c r="CO90" i="19"/>
  <c r="CM89" i="19"/>
  <c r="CO89" i="19"/>
  <c r="CM88" i="19"/>
  <c r="CO88" i="19"/>
  <c r="CM87" i="19"/>
  <c r="CO87" i="19"/>
  <c r="AC110" i="19"/>
  <c r="AC109" i="19"/>
  <c r="AC108" i="19"/>
  <c r="AC107" i="19"/>
  <c r="AC106" i="19"/>
  <c r="AC105" i="19"/>
  <c r="AC104" i="19"/>
  <c r="AC103" i="19"/>
  <c r="AC102" i="19"/>
  <c r="AC101" i="19"/>
  <c r="AC100" i="19"/>
  <c r="AC99" i="19"/>
  <c r="AC98" i="19"/>
  <c r="AC97" i="19"/>
  <c r="AC96" i="19"/>
  <c r="AC95" i="19"/>
  <c r="AC94" i="19"/>
  <c r="AC93" i="19"/>
  <c r="AC92" i="19"/>
  <c r="AB110" i="19"/>
  <c r="AB109" i="19"/>
  <c r="AB108" i="19"/>
  <c r="AB107" i="19"/>
  <c r="AB106" i="19"/>
  <c r="AB105" i="19"/>
  <c r="AB104" i="19"/>
  <c r="AB103" i="19"/>
  <c r="AB102" i="19"/>
  <c r="AB101" i="19"/>
  <c r="AB100" i="19"/>
  <c r="AB99" i="19"/>
  <c r="AB98" i="19"/>
  <c r="AB97" i="19"/>
  <c r="AB96" i="19"/>
  <c r="AB95" i="19"/>
  <c r="AB94" i="19"/>
  <c r="AB93" i="19"/>
  <c r="AB92" i="19"/>
  <c r="AB91" i="19"/>
  <c r="AB90" i="19"/>
  <c r="AB89" i="19"/>
  <c r="AB88" i="19"/>
  <c r="AB87" i="19"/>
  <c r="AB86" i="19"/>
  <c r="AA110" i="19"/>
  <c r="AA109" i="19"/>
  <c r="AA108" i="19"/>
  <c r="AA107" i="19"/>
  <c r="AA106" i="19"/>
  <c r="AA105" i="19"/>
  <c r="AA104" i="19"/>
  <c r="AA103" i="19"/>
  <c r="AA102" i="19"/>
  <c r="AA101" i="19"/>
  <c r="AA100" i="19"/>
  <c r="AA99" i="19"/>
  <c r="AA98" i="19"/>
  <c r="AA97" i="19"/>
  <c r="AA96" i="19"/>
  <c r="AA95" i="19"/>
  <c r="AA94" i="19"/>
  <c r="AA93" i="19"/>
  <c r="AA92" i="19"/>
  <c r="Z110" i="19"/>
  <c r="Y110" i="19"/>
  <c r="Z109" i="19"/>
  <c r="Y109" i="19"/>
  <c r="Z108" i="19"/>
  <c r="Y108" i="19"/>
  <c r="Z107" i="19"/>
  <c r="Y107" i="19"/>
  <c r="Z106" i="19"/>
  <c r="Y106" i="19"/>
  <c r="Z105" i="19"/>
  <c r="Y105" i="19"/>
  <c r="Z104" i="19"/>
  <c r="Y104" i="19"/>
  <c r="Z103" i="19"/>
  <c r="Y103" i="19"/>
  <c r="Z102" i="19"/>
  <c r="Y102" i="19"/>
  <c r="Z101" i="19"/>
  <c r="Y101" i="19"/>
  <c r="Z100" i="19"/>
  <c r="Y100" i="19"/>
  <c r="Z99" i="19"/>
  <c r="Y99" i="19"/>
  <c r="Z98" i="19"/>
  <c r="Y98" i="19"/>
  <c r="Z97" i="19"/>
  <c r="Y97" i="19"/>
  <c r="Z96" i="19"/>
  <c r="Y96" i="19"/>
  <c r="Z95" i="19"/>
  <c r="Y95" i="19"/>
  <c r="Z94" i="19"/>
  <c r="Y94" i="19"/>
  <c r="Z93" i="19"/>
  <c r="Y93" i="19"/>
  <c r="Z92" i="19"/>
  <c r="Y92" i="19"/>
  <c r="Z91" i="19"/>
  <c r="Y91" i="19"/>
  <c r="Z90" i="19"/>
  <c r="Y90" i="19"/>
  <c r="Z89" i="19"/>
  <c r="Y89" i="19"/>
  <c r="Z88" i="19"/>
  <c r="Y88" i="19"/>
  <c r="Z87" i="19"/>
  <c r="Y87" i="19"/>
  <c r="Z86" i="19"/>
  <c r="Y86" i="19"/>
  <c r="X4" i="24"/>
  <c r="O227" i="24"/>
  <c r="AC358" i="23"/>
  <c r="H186" i="21"/>
  <c r="AC354" i="23"/>
  <c r="H183" i="21"/>
  <c r="AC334" i="23"/>
  <c r="H169" i="21"/>
  <c r="AC319" i="23"/>
  <c r="H157" i="21"/>
  <c r="F252" i="23"/>
  <c r="AC166" i="23"/>
  <c r="H76" i="21"/>
  <c r="G252" i="23"/>
  <c r="H252" i="23"/>
  <c r="I252" i="23"/>
  <c r="J252" i="23"/>
  <c r="K252" i="23"/>
  <c r="L252" i="23"/>
  <c r="M252" i="23"/>
  <c r="N252" i="23"/>
  <c r="O252" i="23"/>
  <c r="P252" i="23"/>
  <c r="Q252" i="23"/>
  <c r="R252" i="23"/>
  <c r="S252" i="23"/>
  <c r="T252" i="23"/>
  <c r="U252" i="23"/>
  <c r="V252" i="23"/>
  <c r="V137" i="23"/>
  <c r="V138" i="23"/>
  <c r="V144" i="23"/>
  <c r="V145" i="23"/>
  <c r="V146" i="23"/>
  <c r="V57" i="23"/>
  <c r="V56" i="23"/>
  <c r="V55" i="23"/>
  <c r="V54" i="23"/>
  <c r="V53" i="23"/>
  <c r="V52" i="23"/>
  <c r="V51" i="23"/>
  <c r="V49" i="23"/>
  <c r="V48" i="23"/>
  <c r="V47" i="23"/>
  <c r="V46" i="23"/>
  <c r="V45" i="23"/>
  <c r="V44" i="23"/>
  <c r="V43" i="23"/>
  <c r="V108" i="23"/>
  <c r="V109" i="23"/>
  <c r="V112" i="23"/>
  <c r="V113" i="23"/>
  <c r="V114" i="23"/>
  <c r="W252" i="23"/>
  <c r="W137" i="23"/>
  <c r="W138" i="23"/>
  <c r="W144" i="23"/>
  <c r="W145" i="23"/>
  <c r="W146" i="23"/>
  <c r="W57" i="23"/>
  <c r="W56" i="23"/>
  <c r="W55" i="23"/>
  <c r="W54" i="23"/>
  <c r="W53" i="23"/>
  <c r="W52" i="23"/>
  <c r="W51" i="23"/>
  <c r="W49" i="23"/>
  <c r="W48" i="23"/>
  <c r="W47" i="23"/>
  <c r="W46" i="23"/>
  <c r="W45" i="23"/>
  <c r="W44" i="23"/>
  <c r="W43" i="23"/>
  <c r="W108" i="23"/>
  <c r="W109" i="23"/>
  <c r="W112" i="23"/>
  <c r="W113" i="23"/>
  <c r="W114" i="23"/>
  <c r="X252" i="23"/>
  <c r="X137" i="23"/>
  <c r="X138" i="23"/>
  <c r="X144" i="23"/>
  <c r="X145" i="23"/>
  <c r="X146" i="23"/>
  <c r="X57" i="23"/>
  <c r="X56" i="23"/>
  <c r="X55" i="23"/>
  <c r="X54" i="23"/>
  <c r="X53" i="23"/>
  <c r="X52" i="23"/>
  <c r="X51" i="23"/>
  <c r="X49" i="23"/>
  <c r="X48" i="23"/>
  <c r="X47" i="23"/>
  <c r="X46" i="23"/>
  <c r="X45" i="23"/>
  <c r="X44" i="23"/>
  <c r="X43" i="23"/>
  <c r="X108" i="23"/>
  <c r="X109" i="23"/>
  <c r="X112" i="23"/>
  <c r="X113" i="23"/>
  <c r="X114" i="23"/>
  <c r="K32" i="20"/>
  <c r="K33" i="20"/>
  <c r="L5" i="20"/>
  <c r="L11" i="20"/>
  <c r="J169" i="19"/>
  <c r="AD144" i="19"/>
  <c r="T169" i="19"/>
  <c r="R169" i="19"/>
  <c r="U169" i="19"/>
  <c r="S169" i="19"/>
  <c r="Z169" i="19"/>
  <c r="X110" i="23"/>
  <c r="X453" i="23"/>
  <c r="X452" i="23"/>
  <c r="X253" i="23"/>
  <c r="X254" i="23"/>
  <c r="W110" i="23"/>
  <c r="W453" i="23"/>
  <c r="W452" i="23"/>
  <c r="W253" i="23"/>
  <c r="W254" i="23"/>
  <c r="V110" i="23"/>
  <c r="V453" i="23"/>
  <c r="V452" i="23"/>
  <c r="V253" i="23"/>
  <c r="V254" i="23"/>
  <c r="U253" i="23"/>
  <c r="U255" i="23"/>
  <c r="U256" i="23"/>
  <c r="U254" i="23"/>
  <c r="U257" i="23"/>
  <c r="U258" i="23"/>
  <c r="U340" i="23"/>
  <c r="U341" i="23"/>
  <c r="U342" i="23"/>
  <c r="U348" i="23"/>
  <c r="U349" i="23"/>
  <c r="U350" i="23"/>
  <c r="U428" i="23"/>
  <c r="U429" i="23"/>
  <c r="T253" i="23"/>
  <c r="T255" i="23"/>
  <c r="T256" i="23"/>
  <c r="T254" i="23"/>
  <c r="T257" i="23"/>
  <c r="T258" i="23"/>
  <c r="T340" i="23"/>
  <c r="T341" i="23"/>
  <c r="T342" i="23"/>
  <c r="T348" i="23"/>
  <c r="T349" i="23"/>
  <c r="T350" i="23"/>
  <c r="T428" i="23"/>
  <c r="T429" i="23"/>
  <c r="S253" i="23"/>
  <c r="S255" i="23"/>
  <c r="S256" i="23"/>
  <c r="S254" i="23"/>
  <c r="S257" i="23"/>
  <c r="S258" i="23"/>
  <c r="S340" i="23"/>
  <c r="S341" i="23"/>
  <c r="S342" i="23"/>
  <c r="S348" i="23"/>
  <c r="S349" i="23"/>
  <c r="S350" i="23"/>
  <c r="S428" i="23"/>
  <c r="S429" i="23"/>
  <c r="R253" i="23"/>
  <c r="R255" i="23"/>
  <c r="R256" i="23"/>
  <c r="R254" i="23"/>
  <c r="R257" i="23"/>
  <c r="R258" i="23"/>
  <c r="R340" i="23"/>
  <c r="R341" i="23"/>
  <c r="R342" i="23"/>
  <c r="R348" i="23"/>
  <c r="R349" i="23"/>
  <c r="R350" i="23"/>
  <c r="R428" i="23"/>
  <c r="R429" i="23"/>
  <c r="Q253" i="23"/>
  <c r="Q255" i="23"/>
  <c r="Q256" i="23"/>
  <c r="Q254" i="23"/>
  <c r="Q257" i="23"/>
  <c r="Q258" i="23"/>
  <c r="Q340" i="23"/>
  <c r="Q341" i="23"/>
  <c r="Q342" i="23"/>
  <c r="Q348" i="23"/>
  <c r="Q349" i="23"/>
  <c r="Q350" i="23"/>
  <c r="Q428" i="23"/>
  <c r="Q429" i="23"/>
  <c r="P253" i="23"/>
  <c r="P255" i="23"/>
  <c r="P256" i="23"/>
  <c r="P254" i="23"/>
  <c r="P257" i="23"/>
  <c r="P258" i="23"/>
  <c r="P340" i="23"/>
  <c r="P341" i="23"/>
  <c r="P342" i="23"/>
  <c r="P348" i="23"/>
  <c r="P349" i="23"/>
  <c r="P350" i="23"/>
  <c r="P428" i="23"/>
  <c r="P429" i="23"/>
  <c r="O253" i="23"/>
  <c r="O255" i="23"/>
  <c r="O256" i="23"/>
  <c r="O254" i="23"/>
  <c r="O257" i="23"/>
  <c r="O258" i="23"/>
  <c r="O340" i="23"/>
  <c r="O341" i="23"/>
  <c r="O342" i="23"/>
  <c r="O348" i="23"/>
  <c r="O349" i="23"/>
  <c r="O350" i="23"/>
  <c r="O428" i="23"/>
  <c r="O429" i="23"/>
  <c r="N253" i="23"/>
  <c r="N255" i="23"/>
  <c r="N256" i="23"/>
  <c r="N254" i="23"/>
  <c r="N257" i="23"/>
  <c r="N258" i="23"/>
  <c r="N340" i="23"/>
  <c r="N341" i="23"/>
  <c r="N342" i="23"/>
  <c r="N348" i="23"/>
  <c r="N349" i="23"/>
  <c r="N350" i="23"/>
  <c r="N428" i="23"/>
  <c r="N429" i="23"/>
  <c r="M253" i="23"/>
  <c r="M255" i="23"/>
  <c r="M256" i="23"/>
  <c r="M254" i="23"/>
  <c r="M257" i="23"/>
  <c r="M258" i="23"/>
  <c r="M340" i="23"/>
  <c r="M341" i="23"/>
  <c r="M342" i="23"/>
  <c r="M348" i="23"/>
  <c r="M349" i="23"/>
  <c r="M350" i="23"/>
  <c r="M428" i="23"/>
  <c r="M429" i="23"/>
  <c r="L253" i="23"/>
  <c r="L255" i="23"/>
  <c r="L256" i="23"/>
  <c r="L254" i="23"/>
  <c r="L257" i="23"/>
  <c r="L258" i="23"/>
  <c r="L340" i="23"/>
  <c r="L341" i="23"/>
  <c r="L342" i="23"/>
  <c r="L348" i="23"/>
  <c r="L349" i="23"/>
  <c r="L350" i="23"/>
  <c r="L428" i="23"/>
  <c r="L429" i="23"/>
  <c r="K253" i="23"/>
  <c r="K255" i="23"/>
  <c r="K256" i="23"/>
  <c r="K254" i="23"/>
  <c r="K257" i="23"/>
  <c r="K258" i="23"/>
  <c r="K340" i="23"/>
  <c r="K341" i="23"/>
  <c r="K342" i="23"/>
  <c r="K348" i="23"/>
  <c r="K349" i="23"/>
  <c r="K350" i="23"/>
  <c r="K428" i="23"/>
  <c r="K429" i="23"/>
  <c r="J253" i="23"/>
  <c r="J255" i="23"/>
  <c r="J256" i="23"/>
  <c r="J254" i="23"/>
  <c r="J257" i="23"/>
  <c r="J258" i="23"/>
  <c r="J340" i="23"/>
  <c r="J341" i="23"/>
  <c r="J342" i="23"/>
  <c r="J348" i="23"/>
  <c r="J349" i="23"/>
  <c r="J350" i="23"/>
  <c r="J428" i="23"/>
  <c r="J429" i="23"/>
  <c r="I253" i="23"/>
  <c r="I255" i="23"/>
  <c r="I256" i="23"/>
  <c r="I254" i="23"/>
  <c r="I257" i="23"/>
  <c r="I258" i="23"/>
  <c r="I340" i="23"/>
  <c r="I341" i="23"/>
  <c r="I342" i="23"/>
  <c r="I348" i="23"/>
  <c r="I349" i="23"/>
  <c r="I350" i="23"/>
  <c r="I428" i="23"/>
  <c r="I429" i="23"/>
  <c r="H253" i="23"/>
  <c r="H255" i="23"/>
  <c r="H256" i="23"/>
  <c r="H254" i="23"/>
  <c r="H257" i="23"/>
  <c r="H258" i="23"/>
  <c r="H340" i="23"/>
  <c r="H341" i="23"/>
  <c r="H342" i="23"/>
  <c r="H348" i="23"/>
  <c r="H349" i="23"/>
  <c r="H350" i="23"/>
  <c r="H428" i="23"/>
  <c r="H429" i="23"/>
  <c r="G253" i="23"/>
  <c r="G255" i="23"/>
  <c r="G256" i="23"/>
  <c r="G254" i="23"/>
  <c r="G257" i="23"/>
  <c r="G258" i="23"/>
  <c r="G340" i="23"/>
  <c r="G341" i="23"/>
  <c r="G342" i="23"/>
  <c r="G348" i="23"/>
  <c r="G349" i="23"/>
  <c r="G350" i="23"/>
  <c r="G428" i="23"/>
  <c r="G429" i="23"/>
  <c r="F253" i="23"/>
  <c r="F255" i="23"/>
  <c r="F256" i="23"/>
  <c r="AA256" i="23"/>
  <c r="H123" i="21"/>
  <c r="F254" i="23"/>
  <c r="F257" i="23"/>
  <c r="F258" i="23"/>
  <c r="AA258" i="23"/>
  <c r="H124" i="21"/>
  <c r="F340" i="23"/>
  <c r="F341" i="23"/>
  <c r="F342" i="23"/>
  <c r="AA342" i="23"/>
  <c r="F348" i="23"/>
  <c r="F349" i="23"/>
  <c r="F350" i="23"/>
  <c r="AA350" i="23"/>
  <c r="F428" i="23"/>
  <c r="F429" i="23"/>
  <c r="Y4" i="24"/>
  <c r="Y227" i="24"/>
  <c r="X227" i="24"/>
  <c r="AC169" i="19"/>
  <c r="AD169" i="19"/>
  <c r="F430" i="23"/>
  <c r="AC350" i="23"/>
  <c r="H180" i="21"/>
  <c r="AC342" i="23"/>
  <c r="H174" i="21"/>
  <c r="G430" i="23"/>
  <c r="H430" i="23"/>
  <c r="I430" i="23"/>
  <c r="J430" i="23"/>
  <c r="K430" i="23"/>
  <c r="L430" i="23"/>
  <c r="M430" i="23"/>
  <c r="N430" i="23"/>
  <c r="O430" i="23"/>
  <c r="P430" i="23"/>
  <c r="Q430" i="23"/>
  <c r="R430" i="23"/>
  <c r="S430" i="23"/>
  <c r="T430" i="23"/>
  <c r="U430" i="23"/>
  <c r="AA430" i="23"/>
  <c r="Z111" i="19"/>
  <c r="Y111" i="19"/>
  <c r="F10" i="20"/>
  <c r="F9" i="20"/>
  <c r="F8" i="20"/>
  <c r="F7" i="20"/>
  <c r="F6" i="20"/>
  <c r="F5" i="20"/>
  <c r="F11" i="20"/>
  <c r="C47" i="20"/>
  <c r="E6" i="20"/>
  <c r="C69" i="20"/>
  <c r="E8" i="20"/>
  <c r="C93" i="20"/>
  <c r="C95" i="20"/>
  <c r="E10" i="20"/>
  <c r="C81" i="20"/>
  <c r="E9" i="20"/>
  <c r="C58" i="20"/>
  <c r="E7" i="20"/>
  <c r="C38" i="20"/>
  <c r="E5" i="20"/>
  <c r="E11" i="20"/>
  <c r="C31" i="20"/>
  <c r="C30" i="20"/>
  <c r="I29" i="15"/>
  <c r="I30" i="15"/>
  <c r="L78" i="15"/>
  <c r="L77" i="15"/>
  <c r="L76" i="15"/>
  <c r="L75" i="15"/>
  <c r="L74" i="15"/>
  <c r="L73" i="15"/>
  <c r="K78" i="15"/>
  <c r="K77" i="15"/>
  <c r="K76" i="15"/>
  <c r="K75" i="15"/>
  <c r="K73" i="15"/>
  <c r="K74" i="15"/>
  <c r="H29" i="15"/>
  <c r="H30" i="15"/>
  <c r="D29" i="15"/>
  <c r="G78" i="15"/>
  <c r="G77" i="15"/>
  <c r="G76" i="15"/>
  <c r="G75" i="15"/>
  <c r="AY121" i="19"/>
  <c r="AZ121" i="19"/>
  <c r="AY120" i="19"/>
  <c r="AZ120" i="19"/>
  <c r="AY119" i="19"/>
  <c r="AZ119" i="19"/>
  <c r="AY118" i="19"/>
  <c r="AZ118" i="19"/>
  <c r="AY117" i="19"/>
  <c r="AZ117" i="19"/>
  <c r="AY116" i="19"/>
  <c r="AZ116" i="19"/>
  <c r="AU121" i="19"/>
  <c r="AW121" i="19"/>
  <c r="AU120" i="19"/>
  <c r="AW120" i="19"/>
  <c r="AU119" i="19"/>
  <c r="AW119" i="19"/>
  <c r="AU118" i="19"/>
  <c r="AW118" i="19"/>
  <c r="AU117" i="19"/>
  <c r="AW117" i="19"/>
  <c r="AU116" i="19"/>
  <c r="AW116" i="19"/>
  <c r="AK139" i="19"/>
  <c r="AK138" i="19"/>
  <c r="AK137" i="19"/>
  <c r="AK136" i="19"/>
  <c r="AK135" i="19"/>
  <c r="AK134" i="19"/>
  <c r="AK133" i="19"/>
  <c r="AK132" i="19"/>
  <c r="AK131" i="19"/>
  <c r="AK130" i="19"/>
  <c r="AK129" i="19"/>
  <c r="AK128" i="19"/>
  <c r="AK127" i="19"/>
  <c r="AK126" i="19"/>
  <c r="AK125" i="19"/>
  <c r="AK124" i="19"/>
  <c r="AK123" i="19"/>
  <c r="AK122" i="19"/>
  <c r="AK121" i="19"/>
  <c r="AK120" i="19"/>
  <c r="AK119" i="19"/>
  <c r="AK118" i="19"/>
  <c r="AK117" i="19"/>
  <c r="AK116" i="19"/>
  <c r="AK115" i="19"/>
  <c r="AJ139" i="19"/>
  <c r="AJ138" i="19"/>
  <c r="AJ137" i="19"/>
  <c r="AJ136" i="19"/>
  <c r="AJ135" i="19"/>
  <c r="AJ134" i="19"/>
  <c r="AJ133" i="19"/>
  <c r="AJ132" i="19"/>
  <c r="AJ131" i="19"/>
  <c r="AJ130" i="19"/>
  <c r="AJ129" i="19"/>
  <c r="AJ128" i="19"/>
  <c r="AJ127" i="19"/>
  <c r="AJ126" i="19"/>
  <c r="AJ125" i="19"/>
  <c r="AJ124" i="19"/>
  <c r="AJ123" i="19"/>
  <c r="AJ122" i="19"/>
  <c r="AJ121" i="19"/>
  <c r="AJ120" i="19"/>
  <c r="AJ119" i="19"/>
  <c r="AJ118" i="19"/>
  <c r="AJ117" i="19"/>
  <c r="AJ116" i="19"/>
  <c r="AJ115" i="19"/>
  <c r="AI139" i="19"/>
  <c r="AI138" i="19"/>
  <c r="AI137" i="19"/>
  <c r="AI136" i="19"/>
  <c r="AI135" i="19"/>
  <c r="AI134" i="19"/>
  <c r="AI133" i="19"/>
  <c r="AI132" i="19"/>
  <c r="AI131" i="19"/>
  <c r="AI130" i="19"/>
  <c r="AI129" i="19"/>
  <c r="AI128" i="19"/>
  <c r="AI127" i="19"/>
  <c r="AI126" i="19"/>
  <c r="AI125" i="19"/>
  <c r="AI124" i="19"/>
  <c r="AI123" i="19"/>
  <c r="AI122" i="19"/>
  <c r="AI121" i="19"/>
  <c r="AI120" i="19"/>
  <c r="AI119" i="19"/>
  <c r="AI118" i="19"/>
  <c r="AI117" i="19"/>
  <c r="AI116" i="19"/>
  <c r="AI115" i="19"/>
  <c r="AH139" i="19"/>
  <c r="AH138" i="19"/>
  <c r="AH137" i="19"/>
  <c r="AH136" i="19"/>
  <c r="AH135" i="19"/>
  <c r="AH134" i="19"/>
  <c r="AH133" i="19"/>
  <c r="AH132" i="19"/>
  <c r="AH131" i="19"/>
  <c r="AH130" i="19"/>
  <c r="AH129" i="19"/>
  <c r="AH128" i="19"/>
  <c r="AH127" i="19"/>
  <c r="AH126" i="19"/>
  <c r="AH125" i="19"/>
  <c r="AH124" i="19"/>
  <c r="AH123" i="19"/>
  <c r="AH122" i="19"/>
  <c r="AH121" i="19"/>
  <c r="AH120" i="19"/>
  <c r="AH119" i="19"/>
  <c r="AH118" i="19"/>
  <c r="AH117" i="19"/>
  <c r="AH116" i="19"/>
  <c r="AH115" i="19"/>
  <c r="AG139" i="19"/>
  <c r="AG138" i="19"/>
  <c r="AG137" i="19"/>
  <c r="AG136" i="19"/>
  <c r="AG135" i="19"/>
  <c r="AG134" i="19"/>
  <c r="AG133" i="19"/>
  <c r="AG132" i="19"/>
  <c r="AG131" i="19"/>
  <c r="AG130" i="19"/>
  <c r="AG129" i="19"/>
  <c r="AG128" i="19"/>
  <c r="AG127" i="19"/>
  <c r="AG126" i="19"/>
  <c r="AG125" i="19"/>
  <c r="AG124" i="19"/>
  <c r="AG123" i="19"/>
  <c r="AG122" i="19"/>
  <c r="AG121" i="19"/>
  <c r="AG120" i="19"/>
  <c r="AG119" i="19"/>
  <c r="AG118" i="19"/>
  <c r="AG117" i="19"/>
  <c r="AG116" i="19"/>
  <c r="AG115" i="19"/>
  <c r="AF139" i="19"/>
  <c r="AF138" i="19"/>
  <c r="AF137" i="19"/>
  <c r="AF136" i="19"/>
  <c r="AF135" i="19"/>
  <c r="AF134" i="19"/>
  <c r="AF133" i="19"/>
  <c r="AF132" i="19"/>
  <c r="AF131" i="19"/>
  <c r="AF130" i="19"/>
  <c r="AF129" i="19"/>
  <c r="AF128" i="19"/>
  <c r="AF127" i="19"/>
  <c r="AF126" i="19"/>
  <c r="AF125" i="19"/>
  <c r="AF124" i="19"/>
  <c r="AF123" i="19"/>
  <c r="AF122" i="19"/>
  <c r="AF121" i="19"/>
  <c r="AF120" i="19"/>
  <c r="AF119" i="19"/>
  <c r="AF118" i="19"/>
  <c r="AF117" i="19"/>
  <c r="AF116" i="19"/>
  <c r="AF115" i="19"/>
  <c r="AE139" i="19"/>
  <c r="AE138" i="19"/>
  <c r="AE137" i="19"/>
  <c r="AE136" i="19"/>
  <c r="AE135" i="19"/>
  <c r="AE134" i="19"/>
  <c r="AE133" i="19"/>
  <c r="AE132" i="19"/>
  <c r="AE131" i="19"/>
  <c r="AE130" i="19"/>
  <c r="AE129" i="19"/>
  <c r="AE128" i="19"/>
  <c r="AE127" i="19"/>
  <c r="AE126" i="19"/>
  <c r="AE125" i="19"/>
  <c r="AE124" i="19"/>
  <c r="AE123" i="19"/>
  <c r="AE122" i="19"/>
  <c r="AE121" i="19"/>
  <c r="AE120" i="19"/>
  <c r="AE119" i="19"/>
  <c r="AE118" i="19"/>
  <c r="AE117" i="19"/>
  <c r="AE116" i="19"/>
  <c r="AE115" i="19"/>
  <c r="AD139" i="19"/>
  <c r="AD138" i="19"/>
  <c r="AD137" i="19"/>
  <c r="AD136" i="19"/>
  <c r="AD135" i="19"/>
  <c r="AD134" i="19"/>
  <c r="AD133" i="19"/>
  <c r="AD132" i="19"/>
  <c r="AD131" i="19"/>
  <c r="AD130" i="19"/>
  <c r="AD129" i="19"/>
  <c r="AD128" i="19"/>
  <c r="AD127" i="19"/>
  <c r="AD126" i="19"/>
  <c r="AD125" i="19"/>
  <c r="AD124" i="19"/>
  <c r="AD123" i="19"/>
  <c r="AD122" i="19"/>
  <c r="AD121" i="19"/>
  <c r="AD120" i="19"/>
  <c r="AD119" i="19"/>
  <c r="AD118" i="19"/>
  <c r="AD117" i="19"/>
  <c r="AD116" i="19"/>
  <c r="AD115" i="19"/>
  <c r="AC139" i="19"/>
  <c r="AC138" i="19"/>
  <c r="AC137" i="19"/>
  <c r="AC136" i="19"/>
  <c r="AC135" i="19"/>
  <c r="AC134" i="19"/>
  <c r="AC133" i="19"/>
  <c r="AC132" i="19"/>
  <c r="AC131" i="19"/>
  <c r="AC130" i="19"/>
  <c r="AC129" i="19"/>
  <c r="AC128" i="19"/>
  <c r="AC127" i="19"/>
  <c r="AC126" i="19"/>
  <c r="AC125" i="19"/>
  <c r="AC124" i="19"/>
  <c r="AC123" i="19"/>
  <c r="AC122" i="19"/>
  <c r="AC121" i="19"/>
  <c r="AC119" i="19"/>
  <c r="AC118" i="19"/>
  <c r="AC117" i="19"/>
  <c r="AC116" i="19"/>
  <c r="AC115" i="19"/>
  <c r="X139" i="19"/>
  <c r="X138" i="19"/>
  <c r="X137" i="19"/>
  <c r="X136" i="19"/>
  <c r="X135" i="19"/>
  <c r="X134" i="19"/>
  <c r="X133" i="19"/>
  <c r="X132" i="19"/>
  <c r="X131" i="19"/>
  <c r="X130" i="19"/>
  <c r="X129" i="19"/>
  <c r="X128" i="19"/>
  <c r="X127" i="19"/>
  <c r="X126" i="19"/>
  <c r="X125" i="19"/>
  <c r="X124" i="19"/>
  <c r="X123" i="19"/>
  <c r="X122" i="19"/>
  <c r="X121" i="19"/>
  <c r="W139" i="19"/>
  <c r="W138" i="19"/>
  <c r="W137" i="19"/>
  <c r="W136" i="19"/>
  <c r="W135" i="19"/>
  <c r="W134" i="19"/>
  <c r="W133" i="19"/>
  <c r="W132" i="19"/>
  <c r="W131" i="19"/>
  <c r="W130" i="19"/>
  <c r="W129" i="19"/>
  <c r="W128" i="19"/>
  <c r="W127" i="19"/>
  <c r="W126" i="19"/>
  <c r="W125" i="19"/>
  <c r="W124" i="19"/>
  <c r="W123" i="19"/>
  <c r="W122" i="19"/>
  <c r="W121" i="19"/>
  <c r="W120" i="19"/>
  <c r="W119" i="19"/>
  <c r="W118" i="19"/>
  <c r="W117" i="19"/>
  <c r="W116" i="19"/>
  <c r="W115" i="19"/>
  <c r="V139" i="19"/>
  <c r="V138" i="19"/>
  <c r="V137" i="19"/>
  <c r="V136" i="19"/>
  <c r="V135" i="19"/>
  <c r="V134" i="19"/>
  <c r="V133" i="19"/>
  <c r="V132" i="19"/>
  <c r="V131" i="19"/>
  <c r="V130" i="19"/>
  <c r="V129" i="19"/>
  <c r="V128" i="19"/>
  <c r="V127" i="19"/>
  <c r="V126" i="19"/>
  <c r="V125" i="19"/>
  <c r="V124" i="19"/>
  <c r="V123" i="19"/>
  <c r="V122" i="19"/>
  <c r="V121" i="19"/>
  <c r="V120" i="19"/>
  <c r="V119" i="19"/>
  <c r="V118" i="19"/>
  <c r="V117" i="19"/>
  <c r="V116" i="19"/>
  <c r="V115" i="19"/>
  <c r="U139" i="19"/>
  <c r="U138" i="19"/>
  <c r="U137" i="19"/>
  <c r="U136" i="19"/>
  <c r="U135" i="19"/>
  <c r="U134" i="19"/>
  <c r="U133" i="19"/>
  <c r="U132" i="19"/>
  <c r="U131" i="19"/>
  <c r="U130" i="19"/>
  <c r="U129" i="19"/>
  <c r="U128" i="19"/>
  <c r="U127" i="19"/>
  <c r="U126" i="19"/>
  <c r="U125" i="19"/>
  <c r="U124" i="19"/>
  <c r="U123" i="19"/>
  <c r="U122" i="19"/>
  <c r="U121" i="19"/>
  <c r="T139" i="19"/>
  <c r="T138" i="19"/>
  <c r="T137" i="19"/>
  <c r="T136" i="19"/>
  <c r="T135" i="19"/>
  <c r="T134" i="19"/>
  <c r="T133" i="19"/>
  <c r="T132" i="19"/>
  <c r="T131" i="19"/>
  <c r="T130" i="19"/>
  <c r="T129" i="19"/>
  <c r="T128" i="19"/>
  <c r="T127" i="19"/>
  <c r="T126" i="19"/>
  <c r="T125" i="19"/>
  <c r="T124" i="19"/>
  <c r="T123" i="19"/>
  <c r="T122" i="19"/>
  <c r="T121" i="19"/>
  <c r="T120" i="19"/>
  <c r="T119" i="19"/>
  <c r="T118" i="19"/>
  <c r="T117" i="19"/>
  <c r="T116" i="19"/>
  <c r="T115" i="19"/>
  <c r="S139" i="19"/>
  <c r="S138" i="19"/>
  <c r="S137" i="19"/>
  <c r="S136" i="19"/>
  <c r="S135" i="19"/>
  <c r="S134" i="19"/>
  <c r="S133" i="19"/>
  <c r="S132" i="19"/>
  <c r="S131" i="19"/>
  <c r="S130" i="19"/>
  <c r="S129" i="19"/>
  <c r="S128" i="19"/>
  <c r="S127" i="19"/>
  <c r="S126" i="19"/>
  <c r="S125" i="19"/>
  <c r="S124" i="19"/>
  <c r="S123" i="19"/>
  <c r="S122" i="19"/>
  <c r="S121" i="19"/>
  <c r="S120" i="19"/>
  <c r="S119" i="19"/>
  <c r="S118" i="19"/>
  <c r="S117" i="19"/>
  <c r="S116" i="19"/>
  <c r="S115" i="19"/>
  <c r="R139" i="19"/>
  <c r="R138" i="19"/>
  <c r="R137" i="19"/>
  <c r="R136" i="19"/>
  <c r="R135" i="19"/>
  <c r="R134" i="19"/>
  <c r="R133" i="19"/>
  <c r="R132" i="19"/>
  <c r="R131" i="19"/>
  <c r="R130" i="19"/>
  <c r="R129" i="19"/>
  <c r="R128" i="19"/>
  <c r="R127" i="19"/>
  <c r="R126" i="19"/>
  <c r="R125" i="19"/>
  <c r="R124" i="19"/>
  <c r="R123" i="19"/>
  <c r="R122" i="19"/>
  <c r="R121" i="19"/>
  <c r="R120" i="19"/>
  <c r="R119" i="19"/>
  <c r="R118" i="19"/>
  <c r="R117" i="19"/>
  <c r="R116" i="19"/>
  <c r="R115" i="19"/>
  <c r="Q139" i="19"/>
  <c r="Q138" i="19"/>
  <c r="Q137" i="19"/>
  <c r="Q136" i="19"/>
  <c r="Q135" i="19"/>
  <c r="Q134" i="19"/>
  <c r="Q133" i="19"/>
  <c r="Q132" i="19"/>
  <c r="Q131" i="19"/>
  <c r="Q130" i="19"/>
  <c r="Q129" i="19"/>
  <c r="Q128" i="19"/>
  <c r="Q127" i="19"/>
  <c r="Q126" i="19"/>
  <c r="Q125" i="19"/>
  <c r="Q124" i="19"/>
  <c r="Q123" i="19"/>
  <c r="Q122" i="19"/>
  <c r="Q121" i="19"/>
  <c r="Q120" i="19"/>
  <c r="Q119" i="19"/>
  <c r="Q118" i="19"/>
  <c r="Q117" i="19"/>
  <c r="Q116" i="19"/>
  <c r="Q115" i="19"/>
  <c r="P139" i="19"/>
  <c r="P138" i="19"/>
  <c r="P137" i="19"/>
  <c r="P136" i="19"/>
  <c r="P135" i="19"/>
  <c r="P134" i="19"/>
  <c r="P133" i="19"/>
  <c r="P132" i="19"/>
  <c r="P131" i="19"/>
  <c r="P130" i="19"/>
  <c r="P129" i="19"/>
  <c r="P128" i="19"/>
  <c r="P127" i="19"/>
  <c r="P126" i="19"/>
  <c r="P125" i="19"/>
  <c r="P124" i="19"/>
  <c r="P123" i="19"/>
  <c r="P122" i="19"/>
  <c r="P121" i="19"/>
  <c r="P120" i="19"/>
  <c r="P119" i="19"/>
  <c r="P118" i="19"/>
  <c r="P117" i="19"/>
  <c r="P116" i="19"/>
  <c r="P115" i="19"/>
  <c r="AV110" i="19"/>
  <c r="AV109" i="19"/>
  <c r="AV108" i="19"/>
  <c r="AV107" i="19"/>
  <c r="AV106" i="19"/>
  <c r="AV105" i="19"/>
  <c r="AV104" i="19"/>
  <c r="AV103" i="19"/>
  <c r="AV102" i="19"/>
  <c r="AV101" i="19"/>
  <c r="AV100" i="19"/>
  <c r="AV99" i="19"/>
  <c r="AV98" i="19"/>
  <c r="AV97" i="19"/>
  <c r="AV96" i="19"/>
  <c r="AV95" i="19"/>
  <c r="AV94" i="19"/>
  <c r="AV93" i="19"/>
  <c r="AV92" i="19"/>
  <c r="AV91" i="19"/>
  <c r="AV90" i="19"/>
  <c r="AV89" i="19"/>
  <c r="AV88" i="19"/>
  <c r="AV87" i="19"/>
  <c r="AV86" i="19"/>
  <c r="AV111" i="19"/>
  <c r="L4" i="19"/>
  <c r="H140" i="19"/>
  <c r="D140" i="19"/>
  <c r="D7" i="19" s="1"/>
  <c r="AL139" i="19"/>
  <c r="Z139" i="19"/>
  <c r="G139" i="19"/>
  <c r="Y139" i="19"/>
  <c r="AA139" i="19" s="1"/>
  <c r="AL138" i="19"/>
  <c r="Z138" i="19"/>
  <c r="G138" i="19"/>
  <c r="Y138" i="19"/>
  <c r="AA138" i="19" s="1"/>
  <c r="AL137" i="19"/>
  <c r="Z137" i="19"/>
  <c r="G137" i="19"/>
  <c r="Y137" i="19"/>
  <c r="AA137" i="19" s="1"/>
  <c r="AL136" i="19"/>
  <c r="Z136" i="19"/>
  <c r="G136" i="19"/>
  <c r="Y136" i="19"/>
  <c r="AA136" i="19" s="1"/>
  <c r="AL135" i="19"/>
  <c r="Z135" i="19"/>
  <c r="G135" i="19"/>
  <c r="Y135" i="19"/>
  <c r="AA135" i="19" s="1"/>
  <c r="AL134" i="19"/>
  <c r="Z134" i="19"/>
  <c r="G134" i="19"/>
  <c r="Y134" i="19"/>
  <c r="AA134" i="19" s="1"/>
  <c r="AL133" i="19"/>
  <c r="Z133" i="19"/>
  <c r="G133" i="19"/>
  <c r="Y133" i="19"/>
  <c r="AA133" i="19" s="1"/>
  <c r="AL132" i="19"/>
  <c r="Z132" i="19"/>
  <c r="G132" i="19"/>
  <c r="Y132" i="19"/>
  <c r="AA132" i="19" s="1"/>
  <c r="AL131" i="19"/>
  <c r="Z131" i="19"/>
  <c r="G131" i="19"/>
  <c r="Y131" i="19"/>
  <c r="AA131" i="19" s="1"/>
  <c r="AL130" i="19"/>
  <c r="Z130" i="19"/>
  <c r="G130" i="19"/>
  <c r="Y130" i="19"/>
  <c r="AA130" i="19" s="1"/>
  <c r="AL129" i="19"/>
  <c r="Z129" i="19"/>
  <c r="G129" i="19"/>
  <c r="Y129" i="19"/>
  <c r="AA129" i="19" s="1"/>
  <c r="AL128" i="19"/>
  <c r="Z128" i="19"/>
  <c r="G128" i="19"/>
  <c r="Y128" i="19"/>
  <c r="AA128" i="19" s="1"/>
  <c r="AL127" i="19"/>
  <c r="Z127" i="19"/>
  <c r="G127" i="19"/>
  <c r="Y127" i="19"/>
  <c r="AA127" i="19" s="1"/>
  <c r="AL126" i="19"/>
  <c r="Z126" i="19"/>
  <c r="G126" i="19"/>
  <c r="Y126" i="19"/>
  <c r="AA126" i="19" s="1"/>
  <c r="AL125" i="19"/>
  <c r="Z125" i="19"/>
  <c r="G125" i="19"/>
  <c r="Y125" i="19"/>
  <c r="AA125" i="19" s="1"/>
  <c r="AL124" i="19"/>
  <c r="Z124" i="19"/>
  <c r="G124" i="19"/>
  <c r="Y124" i="19"/>
  <c r="AA124" i="19" s="1"/>
  <c r="AL123" i="19"/>
  <c r="Z123" i="19"/>
  <c r="G123" i="19"/>
  <c r="Y123" i="19"/>
  <c r="AA123" i="19" s="1"/>
  <c r="AL122" i="19"/>
  <c r="Z122" i="19"/>
  <c r="G122" i="19"/>
  <c r="Y122" i="19"/>
  <c r="AA122" i="19" s="1"/>
  <c r="BE121" i="19"/>
  <c r="AC120" i="19"/>
  <c r="AL121" i="19"/>
  <c r="Z121" i="19"/>
  <c r="G121" i="19"/>
  <c r="Y121" i="19"/>
  <c r="AA121" i="19" s="1"/>
  <c r="BB120" i="19"/>
  <c r="G120" i="19"/>
  <c r="Y120" i="19"/>
  <c r="AL119" i="19"/>
  <c r="G119" i="19"/>
  <c r="Y119" i="19"/>
  <c r="BB118" i="19"/>
  <c r="AL118" i="19"/>
  <c r="G118" i="19"/>
  <c r="Y118" i="19"/>
  <c r="AL117" i="19"/>
  <c r="G117" i="19"/>
  <c r="Y117" i="19"/>
  <c r="BB116" i="19"/>
  <c r="AL116" i="19"/>
  <c r="G116" i="19"/>
  <c r="Y116" i="19"/>
  <c r="B116" i="19"/>
  <c r="B117" i="19"/>
  <c r="B118" i="19"/>
  <c r="B119" i="19"/>
  <c r="B120" i="19"/>
  <c r="B121" i="19"/>
  <c r="B122" i="19"/>
  <c r="B123" i="19"/>
  <c r="B124" i="19"/>
  <c r="B125" i="19"/>
  <c r="B126" i="19"/>
  <c r="B127" i="19"/>
  <c r="B128" i="19"/>
  <c r="B129" i="19"/>
  <c r="B130" i="19"/>
  <c r="B131" i="19"/>
  <c r="B132" i="19"/>
  <c r="B133" i="19"/>
  <c r="B134" i="19"/>
  <c r="B135" i="19"/>
  <c r="B136" i="19"/>
  <c r="B137" i="19"/>
  <c r="B138" i="19"/>
  <c r="B139" i="19"/>
  <c r="AK140" i="19"/>
  <c r="AJ140" i="19"/>
  <c r="AI140" i="19"/>
  <c r="AH140" i="19"/>
  <c r="AG140" i="19"/>
  <c r="AF140" i="19"/>
  <c r="AE140" i="19"/>
  <c r="AD140" i="19"/>
  <c r="V140" i="19"/>
  <c r="T140" i="19"/>
  <c r="S140" i="19"/>
  <c r="R140" i="19"/>
  <c r="G115" i="19"/>
  <c r="W19" i="19"/>
  <c r="N24" i="19"/>
  <c r="N23" i="19"/>
  <c r="N22" i="19"/>
  <c r="N21" i="19"/>
  <c r="N20" i="19"/>
  <c r="N19" i="19"/>
  <c r="L24" i="19"/>
  <c r="L23" i="19"/>
  <c r="L22" i="19"/>
  <c r="L21" i="19"/>
  <c r="L20" i="19"/>
  <c r="L19" i="19"/>
  <c r="G42" i="19"/>
  <c r="G41" i="19"/>
  <c r="G40" i="19"/>
  <c r="G39" i="19"/>
  <c r="G38" i="19"/>
  <c r="G37" i="19"/>
  <c r="G36" i="19"/>
  <c r="G35" i="19"/>
  <c r="G34" i="19"/>
  <c r="G33" i="19"/>
  <c r="G32" i="19"/>
  <c r="G31" i="19"/>
  <c r="G30" i="19"/>
  <c r="G29" i="19"/>
  <c r="G28" i="19"/>
  <c r="G27" i="19"/>
  <c r="G26" i="19"/>
  <c r="G25" i="19"/>
  <c r="G24" i="19"/>
  <c r="G23" i="19"/>
  <c r="G22" i="19"/>
  <c r="G21" i="19"/>
  <c r="G20" i="19"/>
  <c r="G19" i="19"/>
  <c r="G18" i="19"/>
  <c r="F42" i="19"/>
  <c r="F41" i="19"/>
  <c r="F40" i="19"/>
  <c r="F39" i="19"/>
  <c r="F38" i="19"/>
  <c r="F37" i="19"/>
  <c r="F36" i="19"/>
  <c r="F35" i="19"/>
  <c r="F34" i="19"/>
  <c r="F33" i="19"/>
  <c r="F32" i="19"/>
  <c r="F31" i="19"/>
  <c r="F30" i="19"/>
  <c r="F29" i="19"/>
  <c r="F28" i="19"/>
  <c r="F27" i="19"/>
  <c r="F26" i="19"/>
  <c r="F25" i="19"/>
  <c r="F24" i="19"/>
  <c r="F23" i="19"/>
  <c r="F22" i="19"/>
  <c r="F21" i="19"/>
  <c r="F20" i="19"/>
  <c r="F19" i="19"/>
  <c r="F18" i="19"/>
  <c r="G43" i="19"/>
  <c r="H4" i="19"/>
  <c r="F43" i="19"/>
  <c r="F4" i="19"/>
  <c r="D43" i="19"/>
  <c r="D4" i="19"/>
  <c r="B19" i="19"/>
  <c r="B20" i="19"/>
  <c r="B21" i="19"/>
  <c r="B22" i="19"/>
  <c r="B23" i="19"/>
  <c r="B24" i="19"/>
  <c r="B25" i="19"/>
  <c r="B26" i="19"/>
  <c r="B27" i="19"/>
  <c r="B28" i="19"/>
  <c r="B29" i="19"/>
  <c r="B30" i="19"/>
  <c r="B31" i="19"/>
  <c r="B32" i="19"/>
  <c r="B33" i="19"/>
  <c r="B34" i="19"/>
  <c r="B35" i="19"/>
  <c r="B36" i="19"/>
  <c r="B37" i="19"/>
  <c r="B38" i="19"/>
  <c r="B39" i="19"/>
  <c r="B40" i="19"/>
  <c r="B41" i="19"/>
  <c r="B42" i="19"/>
  <c r="AC81" i="19"/>
  <c r="AC80" i="19"/>
  <c r="AC79" i="19"/>
  <c r="AC78" i="19"/>
  <c r="AC77" i="19"/>
  <c r="AC76" i="19"/>
  <c r="AC75" i="19"/>
  <c r="AC74" i="19"/>
  <c r="AC73" i="19"/>
  <c r="AC72" i="19"/>
  <c r="AC71" i="19"/>
  <c r="AC70" i="19"/>
  <c r="AC69" i="19"/>
  <c r="AC68" i="19"/>
  <c r="AC67" i="19"/>
  <c r="AC66" i="19"/>
  <c r="AC65" i="19"/>
  <c r="AC64" i="19"/>
  <c r="AC63" i="19"/>
  <c r="X120" i="19"/>
  <c r="X119" i="19"/>
  <c r="X118" i="19"/>
  <c r="X117" i="19"/>
  <c r="X116" i="19"/>
  <c r="X115" i="19"/>
  <c r="U120" i="19"/>
  <c r="Z120" i="19"/>
  <c r="U119" i="19"/>
  <c r="Z119" i="19"/>
  <c r="U118" i="19"/>
  <c r="Z118" i="19"/>
  <c r="U117" i="19"/>
  <c r="Z117" i="19"/>
  <c r="U116" i="19"/>
  <c r="Z116" i="19"/>
  <c r="U115" i="19"/>
  <c r="U140" i="19"/>
  <c r="C32" i="20"/>
  <c r="C33" i="20"/>
  <c r="D5" i="20"/>
  <c r="D11" i="20"/>
  <c r="G140" i="19"/>
  <c r="Y115" i="19"/>
  <c r="P140" i="19"/>
  <c r="Q140" i="19"/>
  <c r="W140" i="19"/>
  <c r="AL115" i="19"/>
  <c r="AB121" i="19"/>
  <c r="AB122" i="19"/>
  <c r="AB123" i="19"/>
  <c r="AB124" i="19"/>
  <c r="AB125" i="19"/>
  <c r="AB126" i="19"/>
  <c r="AB127" i="19"/>
  <c r="AB128" i="19"/>
  <c r="AB129" i="19"/>
  <c r="AB130" i="19"/>
  <c r="AB131" i="19"/>
  <c r="AB132" i="19"/>
  <c r="AB133" i="19"/>
  <c r="AB134" i="19"/>
  <c r="AB135" i="19"/>
  <c r="AB136" i="19"/>
  <c r="AB137" i="19"/>
  <c r="AB138" i="19"/>
  <c r="AB139" i="19"/>
  <c r="BC110" i="19"/>
  <c r="BC109" i="19"/>
  <c r="BC108" i="19"/>
  <c r="BC107" i="19"/>
  <c r="BC106" i="19"/>
  <c r="BC105" i="19"/>
  <c r="BC104" i="19"/>
  <c r="BC103" i="19"/>
  <c r="BC102" i="19"/>
  <c r="BC101" i="19"/>
  <c r="BC100" i="19"/>
  <c r="BC99" i="19"/>
  <c r="BC98" i="19"/>
  <c r="BC97" i="19"/>
  <c r="BC96" i="19"/>
  <c r="BC95" i="19"/>
  <c r="BC94" i="19"/>
  <c r="BC93" i="19"/>
  <c r="BC92" i="19"/>
  <c r="BC91" i="19"/>
  <c r="BC90" i="19"/>
  <c r="BC89" i="19"/>
  <c r="BC88" i="19"/>
  <c r="BC87" i="19"/>
  <c r="BC86" i="19"/>
  <c r="BC111" i="19"/>
  <c r="BB110" i="19"/>
  <c r="BB109" i="19"/>
  <c r="BB108" i="19"/>
  <c r="BB107" i="19"/>
  <c r="BB106" i="19"/>
  <c r="BB105" i="19"/>
  <c r="BB104" i="19"/>
  <c r="BB103" i="19"/>
  <c r="BB102" i="19"/>
  <c r="BB101" i="19"/>
  <c r="BB100" i="19"/>
  <c r="BB99" i="19"/>
  <c r="BB98" i="19"/>
  <c r="BB97" i="19"/>
  <c r="BB96" i="19"/>
  <c r="BB95" i="19"/>
  <c r="BB94" i="19"/>
  <c r="BB93" i="19"/>
  <c r="BB92" i="19"/>
  <c r="BB91" i="19"/>
  <c r="BB90" i="19"/>
  <c r="BB89" i="19"/>
  <c r="BB88" i="19"/>
  <c r="BB87" i="19"/>
  <c r="BB86" i="19"/>
  <c r="BB111" i="19"/>
  <c r="BA110" i="19"/>
  <c r="BA109" i="19"/>
  <c r="BA108" i="19"/>
  <c r="BA107" i="19"/>
  <c r="BA106" i="19"/>
  <c r="BA105" i="19"/>
  <c r="BA104" i="19"/>
  <c r="BA103" i="19"/>
  <c r="BA102" i="19"/>
  <c r="BA101" i="19"/>
  <c r="BA100" i="19"/>
  <c r="BA99" i="19"/>
  <c r="BA98" i="19"/>
  <c r="BA97" i="19"/>
  <c r="BA96" i="19"/>
  <c r="BA95" i="19"/>
  <c r="BA94" i="19"/>
  <c r="BA93" i="19"/>
  <c r="BA92" i="19"/>
  <c r="BA91" i="19"/>
  <c r="BA90" i="19"/>
  <c r="BA89" i="19"/>
  <c r="BA88" i="19"/>
  <c r="BA87" i="19"/>
  <c r="BA86" i="19"/>
  <c r="BA111" i="19"/>
  <c r="AZ110" i="19"/>
  <c r="AZ109" i="19"/>
  <c r="AZ108" i="19"/>
  <c r="AZ107" i="19"/>
  <c r="AZ106" i="19"/>
  <c r="AZ105" i="19"/>
  <c r="AZ104" i="19"/>
  <c r="AZ103" i="19"/>
  <c r="AZ102" i="19"/>
  <c r="AZ101" i="19"/>
  <c r="AZ100" i="19"/>
  <c r="AZ99" i="19"/>
  <c r="AZ98" i="19"/>
  <c r="AZ97" i="19"/>
  <c r="AZ96" i="19"/>
  <c r="AZ95" i="19"/>
  <c r="AZ94" i="19"/>
  <c r="AZ93" i="19"/>
  <c r="AZ92" i="19"/>
  <c r="AZ91" i="19"/>
  <c r="AZ90" i="19"/>
  <c r="AZ89" i="19"/>
  <c r="AZ88" i="19"/>
  <c r="AZ87" i="19"/>
  <c r="AZ86" i="19"/>
  <c r="AZ111" i="19"/>
  <c r="AY110" i="19"/>
  <c r="AY109" i="19"/>
  <c r="AY108" i="19"/>
  <c r="AY107" i="19"/>
  <c r="AY106" i="19"/>
  <c r="AY105" i="19"/>
  <c r="AY104" i="19"/>
  <c r="AY103" i="19"/>
  <c r="AY102" i="19"/>
  <c r="AY101" i="19"/>
  <c r="AY100" i="19"/>
  <c r="AY99" i="19"/>
  <c r="AY98" i="19"/>
  <c r="AY97" i="19"/>
  <c r="AY96" i="19"/>
  <c r="AY95" i="19"/>
  <c r="AY94" i="19"/>
  <c r="AY93" i="19"/>
  <c r="AY92" i="19"/>
  <c r="AY91" i="19"/>
  <c r="AY90" i="19"/>
  <c r="AY89" i="19"/>
  <c r="AY88" i="19"/>
  <c r="AY87" i="19"/>
  <c r="AY86" i="19"/>
  <c r="AY111" i="19"/>
  <c r="AX110" i="19"/>
  <c r="AX109" i="19"/>
  <c r="AX108" i="19"/>
  <c r="AX107" i="19"/>
  <c r="AX106" i="19"/>
  <c r="AX105" i="19"/>
  <c r="AX104" i="19"/>
  <c r="AX103" i="19"/>
  <c r="AX102" i="19"/>
  <c r="AX101" i="19"/>
  <c r="AX100" i="19"/>
  <c r="AX99" i="19"/>
  <c r="AX98" i="19"/>
  <c r="AX97" i="19"/>
  <c r="AX96" i="19"/>
  <c r="AX95" i="19"/>
  <c r="AX94" i="19"/>
  <c r="AX93" i="19"/>
  <c r="AX92" i="19"/>
  <c r="AX91" i="19"/>
  <c r="AX90" i="19"/>
  <c r="AX89" i="19"/>
  <c r="AX88" i="19"/>
  <c r="AX87" i="19"/>
  <c r="AX86" i="19"/>
  <c r="AX111" i="19"/>
  <c r="AW110" i="19"/>
  <c r="AW109" i="19"/>
  <c r="AW108" i="19"/>
  <c r="AW107" i="19"/>
  <c r="AW106" i="19"/>
  <c r="AW105" i="19"/>
  <c r="AW104" i="19"/>
  <c r="AW103" i="19"/>
  <c r="AW102" i="19"/>
  <c r="AW101" i="19"/>
  <c r="AW100" i="19"/>
  <c r="AW99" i="19"/>
  <c r="AW98" i="19"/>
  <c r="AW97" i="19"/>
  <c r="AW96" i="19"/>
  <c r="AW95" i="19"/>
  <c r="AW94" i="19"/>
  <c r="AW93" i="19"/>
  <c r="AW92" i="19"/>
  <c r="AW91" i="19"/>
  <c r="AW90" i="19"/>
  <c r="AW89" i="19"/>
  <c r="AW88" i="19"/>
  <c r="AW87" i="19"/>
  <c r="AW86" i="19"/>
  <c r="AW111" i="19"/>
  <c r="AU110" i="19"/>
  <c r="AU109" i="19"/>
  <c r="AU108" i="19"/>
  <c r="AU107" i="19"/>
  <c r="AU106" i="19"/>
  <c r="AU105" i="19"/>
  <c r="AU104" i="19"/>
  <c r="AU103" i="19"/>
  <c r="AU102" i="19"/>
  <c r="AU101" i="19"/>
  <c r="AU100" i="19"/>
  <c r="AU99" i="19"/>
  <c r="AU98" i="19"/>
  <c r="AU97" i="19"/>
  <c r="AU96" i="19"/>
  <c r="AU95" i="19"/>
  <c r="AU94" i="19"/>
  <c r="AU93" i="19"/>
  <c r="AU92" i="19"/>
  <c r="AU91" i="19"/>
  <c r="AU90" i="19"/>
  <c r="AU89" i="19"/>
  <c r="AU88" i="19"/>
  <c r="AU87" i="19"/>
  <c r="AU86" i="19"/>
  <c r="AU111" i="19"/>
  <c r="AT111" i="19"/>
  <c r="AQ110" i="19"/>
  <c r="AQ109" i="19"/>
  <c r="AQ108" i="19"/>
  <c r="AQ107" i="19"/>
  <c r="AQ106" i="19"/>
  <c r="AQ105" i="19"/>
  <c r="AQ104" i="19"/>
  <c r="AQ103" i="19"/>
  <c r="AQ102" i="19"/>
  <c r="AQ101" i="19"/>
  <c r="AQ100" i="19"/>
  <c r="AQ99" i="19"/>
  <c r="AQ98" i="19"/>
  <c r="AQ97" i="19"/>
  <c r="AQ96" i="19"/>
  <c r="AQ95" i="19"/>
  <c r="AQ94" i="19"/>
  <c r="AQ93" i="19"/>
  <c r="AQ92" i="19"/>
  <c r="AQ90" i="19"/>
  <c r="AQ89" i="19"/>
  <c r="AQ88" i="19"/>
  <c r="AQ87" i="19"/>
  <c r="AQ86" i="19"/>
  <c r="AR110" i="19"/>
  <c r="AR109" i="19"/>
  <c r="AR108" i="19"/>
  <c r="AR107" i="19"/>
  <c r="AR106" i="19"/>
  <c r="AR105" i="19"/>
  <c r="AR104" i="19"/>
  <c r="AR103" i="19"/>
  <c r="AR102" i="19"/>
  <c r="AR101" i="19"/>
  <c r="AR100" i="19"/>
  <c r="AR99" i="19"/>
  <c r="AR98" i="19"/>
  <c r="AR97" i="19"/>
  <c r="AR96" i="19"/>
  <c r="AR95" i="19"/>
  <c r="AR94" i="19"/>
  <c r="AR93" i="19"/>
  <c r="AR92" i="19"/>
  <c r="AR91" i="19"/>
  <c r="AR90" i="19"/>
  <c r="AR89" i="19"/>
  <c r="AR88" i="19"/>
  <c r="AR87" i="19"/>
  <c r="AR86" i="19"/>
  <c r="AR111" i="19"/>
  <c r="AS110" i="19"/>
  <c r="AS109" i="19"/>
  <c r="AS108" i="19"/>
  <c r="AS107" i="19"/>
  <c r="AS106" i="19"/>
  <c r="AS105" i="19"/>
  <c r="AS104" i="19"/>
  <c r="AS103" i="19"/>
  <c r="AS102" i="19"/>
  <c r="AS101" i="19"/>
  <c r="AS100" i="19"/>
  <c r="AS99" i="19"/>
  <c r="AS98" i="19"/>
  <c r="AS97" i="19"/>
  <c r="AS96" i="19"/>
  <c r="AS95" i="19"/>
  <c r="AS94" i="19"/>
  <c r="AS93" i="19"/>
  <c r="AS92" i="19"/>
  <c r="AS91" i="19"/>
  <c r="AS90" i="19"/>
  <c r="AS89" i="19"/>
  <c r="AS88" i="19"/>
  <c r="AS87" i="19"/>
  <c r="AS86" i="19"/>
  <c r="AS111" i="19"/>
  <c r="AK110" i="19"/>
  <c r="AK109" i="19"/>
  <c r="AK108" i="19"/>
  <c r="AK107" i="19"/>
  <c r="AK106" i="19"/>
  <c r="AK105" i="19"/>
  <c r="AK104" i="19"/>
  <c r="AK103" i="19"/>
  <c r="AK102" i="19"/>
  <c r="AK101" i="19"/>
  <c r="AK100" i="19"/>
  <c r="AK99" i="19"/>
  <c r="AK98" i="19"/>
  <c r="AK97" i="19"/>
  <c r="AK96" i="19"/>
  <c r="AK95" i="19"/>
  <c r="AK94" i="19"/>
  <c r="AK93" i="19"/>
  <c r="AK92" i="19"/>
  <c r="AJ110" i="19"/>
  <c r="AJ109" i="19"/>
  <c r="AJ108" i="19"/>
  <c r="AJ107" i="19"/>
  <c r="AJ106" i="19"/>
  <c r="AJ105" i="19"/>
  <c r="AJ104" i="19"/>
  <c r="AJ103" i="19"/>
  <c r="AJ102" i="19"/>
  <c r="AJ101" i="19"/>
  <c r="AJ100" i="19"/>
  <c r="AJ99" i="19"/>
  <c r="AJ98" i="19"/>
  <c r="AJ97" i="19"/>
  <c r="AJ96" i="19"/>
  <c r="AJ95" i="19"/>
  <c r="AJ94" i="19"/>
  <c r="AJ93" i="19"/>
  <c r="AJ92" i="19"/>
  <c r="AJ91" i="19"/>
  <c r="AJ90" i="19"/>
  <c r="AJ89" i="19"/>
  <c r="AJ88" i="19"/>
  <c r="AJ87" i="19"/>
  <c r="AJ86" i="19"/>
  <c r="AJ111" i="19"/>
  <c r="AI110" i="19"/>
  <c r="AI109" i="19"/>
  <c r="AI108" i="19"/>
  <c r="AI107" i="19"/>
  <c r="AI106" i="19"/>
  <c r="AI105" i="19"/>
  <c r="AI104" i="19"/>
  <c r="AI103" i="19"/>
  <c r="AI102" i="19"/>
  <c r="AI101" i="19"/>
  <c r="AI100" i="19"/>
  <c r="AI99" i="19"/>
  <c r="AI98" i="19"/>
  <c r="AI97" i="19"/>
  <c r="AI96" i="19"/>
  <c r="AI95" i="19"/>
  <c r="AI94" i="19"/>
  <c r="AI93" i="19"/>
  <c r="AI92" i="19"/>
  <c r="AI91" i="19"/>
  <c r="AI90" i="19"/>
  <c r="AI89" i="19"/>
  <c r="AI88" i="19"/>
  <c r="AI87" i="19"/>
  <c r="AI86" i="19"/>
  <c r="AI111" i="19"/>
  <c r="AH110" i="19"/>
  <c r="AH109" i="19"/>
  <c r="AH108" i="19"/>
  <c r="AH107" i="19"/>
  <c r="AH106" i="19"/>
  <c r="AH105" i="19"/>
  <c r="AH104" i="19"/>
  <c r="AH103" i="19"/>
  <c r="AH102" i="19"/>
  <c r="AH101" i="19"/>
  <c r="AH100" i="19"/>
  <c r="AH99" i="19"/>
  <c r="AH98" i="19"/>
  <c r="AH97" i="19"/>
  <c r="AH96" i="19"/>
  <c r="AH95" i="19"/>
  <c r="AH94" i="19"/>
  <c r="AH93" i="19"/>
  <c r="AH92" i="19"/>
  <c r="AH91" i="19"/>
  <c r="AH90" i="19"/>
  <c r="AH89" i="19"/>
  <c r="AH88" i="19"/>
  <c r="AH87" i="19"/>
  <c r="AH86" i="19"/>
  <c r="AE110" i="19"/>
  <c r="AE109" i="19"/>
  <c r="AE108" i="19"/>
  <c r="AE107" i="19"/>
  <c r="AE106" i="19"/>
  <c r="AE105" i="19"/>
  <c r="AE104" i="19"/>
  <c r="AE103" i="19"/>
  <c r="AE102" i="19"/>
  <c r="AE101" i="19"/>
  <c r="AE100" i="19"/>
  <c r="AE99" i="19"/>
  <c r="AE98" i="19"/>
  <c r="AE97" i="19"/>
  <c r="AE96" i="19"/>
  <c r="AE95" i="19"/>
  <c r="AE94" i="19"/>
  <c r="AE93" i="19"/>
  <c r="AE92" i="19"/>
  <c r="AE91" i="19"/>
  <c r="AE90" i="19"/>
  <c r="AE89" i="19"/>
  <c r="AE88" i="19"/>
  <c r="AE87" i="19"/>
  <c r="AE86" i="19"/>
  <c r="AE111" i="19"/>
  <c r="AD110" i="19"/>
  <c r="AD109" i="19"/>
  <c r="AD108" i="19"/>
  <c r="AD107" i="19"/>
  <c r="AD106" i="19"/>
  <c r="AD105" i="19"/>
  <c r="AD104" i="19"/>
  <c r="AD103" i="19"/>
  <c r="AD102" i="19"/>
  <c r="AD101" i="19"/>
  <c r="AD100" i="19"/>
  <c r="AD99" i="19"/>
  <c r="AD98" i="19"/>
  <c r="AD97" i="19"/>
  <c r="AD96" i="19"/>
  <c r="AD95" i="19"/>
  <c r="AD94" i="19"/>
  <c r="AD93" i="19"/>
  <c r="AD92" i="19"/>
  <c r="AD91" i="19"/>
  <c r="AD90" i="19"/>
  <c r="AD89" i="19"/>
  <c r="AD88" i="19"/>
  <c r="AD87" i="19"/>
  <c r="AD86" i="19"/>
  <c r="AD111" i="19"/>
  <c r="AG110" i="19"/>
  <c r="AG109" i="19"/>
  <c r="AG108" i="19"/>
  <c r="AG107" i="19"/>
  <c r="AG106" i="19"/>
  <c r="AG105" i="19"/>
  <c r="AG104" i="19"/>
  <c r="AG103" i="19"/>
  <c r="AG102" i="19"/>
  <c r="AG101" i="19"/>
  <c r="AG100" i="19"/>
  <c r="AG99" i="19"/>
  <c r="AG98" i="19"/>
  <c r="AG97" i="19"/>
  <c r="AG96" i="19"/>
  <c r="AG95" i="19"/>
  <c r="AG94" i="19"/>
  <c r="AG93" i="19"/>
  <c r="AG92" i="19"/>
  <c r="AG91" i="19"/>
  <c r="AG90" i="19"/>
  <c r="AG89" i="19"/>
  <c r="AG88" i="19"/>
  <c r="AG87" i="19"/>
  <c r="AG86" i="19"/>
  <c r="AG111" i="19"/>
  <c r="CA91" i="19"/>
  <c r="CA89" i="19"/>
  <c r="AF86" i="19"/>
  <c r="AF110" i="19"/>
  <c r="AF109" i="19"/>
  <c r="AF108" i="19"/>
  <c r="AF107" i="19"/>
  <c r="AF106" i="19"/>
  <c r="AF105" i="19"/>
  <c r="AF104" i="19"/>
  <c r="AF103" i="19"/>
  <c r="AF102" i="19"/>
  <c r="AF101" i="19"/>
  <c r="AF100" i="19"/>
  <c r="AF99" i="19"/>
  <c r="AF98" i="19"/>
  <c r="AF97" i="19"/>
  <c r="AF96" i="19"/>
  <c r="AF95" i="19"/>
  <c r="AF94" i="19"/>
  <c r="AF93" i="19"/>
  <c r="AF92" i="19"/>
  <c r="AF91" i="19"/>
  <c r="AF90" i="19"/>
  <c r="AF89" i="19"/>
  <c r="AF88" i="19"/>
  <c r="AF87" i="19"/>
  <c r="BW92" i="19"/>
  <c r="BW91" i="19"/>
  <c r="BW90" i="19"/>
  <c r="BW89" i="19"/>
  <c r="BW88" i="19"/>
  <c r="BW87" i="19"/>
  <c r="BV92" i="19"/>
  <c r="AC91" i="19"/>
  <c r="BV91" i="19"/>
  <c r="AC90" i="19"/>
  <c r="BV90" i="19"/>
  <c r="AC89" i="19"/>
  <c r="BV89" i="19"/>
  <c r="AC88" i="19"/>
  <c r="BV88" i="19"/>
  <c r="AC87" i="19"/>
  <c r="BV87" i="19"/>
  <c r="AC86" i="19"/>
  <c r="BT92" i="19"/>
  <c r="BT91" i="19"/>
  <c r="BT90" i="19"/>
  <c r="BT89" i="19"/>
  <c r="BT88" i="19"/>
  <c r="BT87" i="19"/>
  <c r="AB111" i="19"/>
  <c r="BR89" i="19"/>
  <c r="BR90" i="19"/>
  <c r="BR91" i="19"/>
  <c r="BR92" i="19"/>
  <c r="BR87" i="19"/>
  <c r="BR88" i="19"/>
  <c r="X110" i="19"/>
  <c r="X109" i="19"/>
  <c r="X108" i="19"/>
  <c r="X107" i="19"/>
  <c r="X106" i="19"/>
  <c r="X105" i="19"/>
  <c r="X104" i="19"/>
  <c r="X103" i="19"/>
  <c r="X102" i="19"/>
  <c r="X101" i="19"/>
  <c r="X100" i="19"/>
  <c r="X99" i="19"/>
  <c r="X98" i="19"/>
  <c r="X97" i="19"/>
  <c r="X96" i="19"/>
  <c r="X95" i="19"/>
  <c r="X94" i="19"/>
  <c r="X93" i="19"/>
  <c r="X92" i="19"/>
  <c r="X91" i="19"/>
  <c r="X90" i="19"/>
  <c r="X89" i="19"/>
  <c r="X88" i="19"/>
  <c r="X87" i="19"/>
  <c r="X86" i="19"/>
  <c r="X111" i="19"/>
  <c r="W110" i="19"/>
  <c r="W109" i="19"/>
  <c r="W108" i="19"/>
  <c r="W107" i="19"/>
  <c r="W106" i="19"/>
  <c r="W105" i="19"/>
  <c r="W104" i="19"/>
  <c r="W103" i="19"/>
  <c r="W102" i="19"/>
  <c r="W101" i="19"/>
  <c r="W100" i="19"/>
  <c r="W99" i="19"/>
  <c r="W98" i="19"/>
  <c r="W97" i="19"/>
  <c r="W96" i="19"/>
  <c r="W95" i="19"/>
  <c r="W94" i="19"/>
  <c r="W93" i="19"/>
  <c r="W92" i="19"/>
  <c r="W91" i="19"/>
  <c r="W90" i="19"/>
  <c r="W89" i="19"/>
  <c r="W88" i="19"/>
  <c r="W87" i="19"/>
  <c r="W86" i="19"/>
  <c r="W111" i="19"/>
  <c r="CA87" i="19"/>
  <c r="H111" i="19"/>
  <c r="D111" i="19"/>
  <c r="BD110" i="19"/>
  <c r="AM110" i="19"/>
  <c r="G110" i="19"/>
  <c r="AL110" i="19"/>
  <c r="AN110" i="19" s="1"/>
  <c r="BD109" i="19"/>
  <c r="AM109" i="19"/>
  <c r="G109" i="19"/>
  <c r="AL109" i="19"/>
  <c r="AN109" i="19" s="1"/>
  <c r="BD108" i="19"/>
  <c r="AM108" i="19"/>
  <c r="G108" i="19"/>
  <c r="AL108" i="19"/>
  <c r="AN108" i="19" s="1"/>
  <c r="BD107" i="19"/>
  <c r="AM107" i="19"/>
  <c r="G107" i="19"/>
  <c r="AL107" i="19"/>
  <c r="AN107" i="19" s="1"/>
  <c r="BD106" i="19"/>
  <c r="AM106" i="19"/>
  <c r="G106" i="19"/>
  <c r="AL106" i="19"/>
  <c r="AN106" i="19" s="1"/>
  <c r="BD105" i="19"/>
  <c r="AM105" i="19"/>
  <c r="G105" i="19"/>
  <c r="AL105" i="19"/>
  <c r="AN105" i="19" s="1"/>
  <c r="BD104" i="19"/>
  <c r="AM104" i="19"/>
  <c r="G104" i="19"/>
  <c r="AL104" i="19"/>
  <c r="AN104" i="19" s="1"/>
  <c r="BD103" i="19"/>
  <c r="AM103" i="19"/>
  <c r="G103" i="19"/>
  <c r="AL103" i="19"/>
  <c r="AN103" i="19" s="1"/>
  <c r="BD102" i="19"/>
  <c r="AM102" i="19"/>
  <c r="G102" i="19"/>
  <c r="AL102" i="19"/>
  <c r="AN102" i="19" s="1"/>
  <c r="BD101" i="19"/>
  <c r="AM101" i="19"/>
  <c r="G101" i="19"/>
  <c r="AL101" i="19"/>
  <c r="AN101" i="19" s="1"/>
  <c r="BD100" i="19"/>
  <c r="AM100" i="19"/>
  <c r="G100" i="19"/>
  <c r="AL100" i="19"/>
  <c r="AN100" i="19" s="1"/>
  <c r="BD99" i="19"/>
  <c r="AM99" i="19"/>
  <c r="G99" i="19"/>
  <c r="AL99" i="19"/>
  <c r="AN99" i="19" s="1"/>
  <c r="BD98" i="19"/>
  <c r="AM98" i="19"/>
  <c r="G98" i="19"/>
  <c r="AL98" i="19"/>
  <c r="AN98" i="19" s="1"/>
  <c r="BD97" i="19"/>
  <c r="AM97" i="19"/>
  <c r="G97" i="19"/>
  <c r="AL97" i="19"/>
  <c r="AN97" i="19" s="1"/>
  <c r="BD96" i="19"/>
  <c r="AM96" i="19"/>
  <c r="G96" i="19"/>
  <c r="AL96" i="19"/>
  <c r="AN96" i="19" s="1"/>
  <c r="BD95" i="19"/>
  <c r="AM95" i="19"/>
  <c r="G95" i="19"/>
  <c r="AL95" i="19"/>
  <c r="AN95" i="19" s="1"/>
  <c r="BD94" i="19"/>
  <c r="AM94" i="19"/>
  <c r="G94" i="19"/>
  <c r="AL94" i="19"/>
  <c r="AN94" i="19" s="1"/>
  <c r="BD93" i="19"/>
  <c r="AM93" i="19"/>
  <c r="G93" i="19"/>
  <c r="AL93" i="19"/>
  <c r="AN93" i="19" s="1"/>
  <c r="BD92" i="19"/>
  <c r="AM92" i="19"/>
  <c r="G92" i="19"/>
  <c r="AL92" i="19"/>
  <c r="AN92" i="19" s="1"/>
  <c r="G91" i="19"/>
  <c r="AL91" i="19"/>
  <c r="BD90" i="19"/>
  <c r="G90" i="19"/>
  <c r="AL90" i="19"/>
  <c r="BD89" i="19"/>
  <c r="G89" i="19"/>
  <c r="AL89" i="19"/>
  <c r="BD88" i="19"/>
  <c r="G88" i="19"/>
  <c r="AL88" i="19"/>
  <c r="BD87" i="19"/>
  <c r="G87" i="19"/>
  <c r="AL87"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G86" i="19"/>
  <c r="AL86" i="19"/>
  <c r="AL111" i="19"/>
  <c r="AU81" i="19"/>
  <c r="AU80" i="19"/>
  <c r="AU79" i="19"/>
  <c r="AU78" i="19"/>
  <c r="AU77" i="19"/>
  <c r="AU76" i="19"/>
  <c r="AU75" i="19"/>
  <c r="AU74" i="19"/>
  <c r="AU73" i="19"/>
  <c r="AU72" i="19"/>
  <c r="AU71" i="19"/>
  <c r="AU70" i="19"/>
  <c r="AU69" i="19"/>
  <c r="AU68" i="19"/>
  <c r="AU67" i="19"/>
  <c r="AU66" i="19"/>
  <c r="AU65" i="19"/>
  <c r="AU64" i="19"/>
  <c r="AU63" i="19"/>
  <c r="AU62" i="19"/>
  <c r="AU61" i="19"/>
  <c r="AU60" i="19"/>
  <c r="AU59" i="19"/>
  <c r="AU58" i="19"/>
  <c r="AU57" i="19"/>
  <c r="AS81" i="19"/>
  <c r="AS80" i="19"/>
  <c r="AS79" i="19"/>
  <c r="AS78" i="19"/>
  <c r="AS77" i="19"/>
  <c r="AS76" i="19"/>
  <c r="AS75" i="19"/>
  <c r="AS74" i="19"/>
  <c r="AS73" i="19"/>
  <c r="AS72" i="19"/>
  <c r="AS71" i="19"/>
  <c r="AS70" i="19"/>
  <c r="AS69" i="19"/>
  <c r="AS68" i="19"/>
  <c r="AS67" i="19"/>
  <c r="AS66" i="19"/>
  <c r="AS65" i="19"/>
  <c r="AS64" i="19"/>
  <c r="AS63" i="19"/>
  <c r="AS62" i="19"/>
  <c r="AS61" i="19"/>
  <c r="AS60" i="19"/>
  <c r="AS59" i="19"/>
  <c r="AS58" i="19"/>
  <c r="AS57" i="19"/>
  <c r="AR81" i="19"/>
  <c r="AR80" i="19"/>
  <c r="AR79" i="19"/>
  <c r="AR78" i="19"/>
  <c r="AR77" i="19"/>
  <c r="AR76" i="19"/>
  <c r="AR75" i="19"/>
  <c r="AR74" i="19"/>
  <c r="AR73" i="19"/>
  <c r="AR72" i="19"/>
  <c r="AR71" i="19"/>
  <c r="AR70" i="19"/>
  <c r="AR69" i="19"/>
  <c r="AR68" i="19"/>
  <c r="AR67" i="19"/>
  <c r="AR66" i="19"/>
  <c r="AR65" i="19"/>
  <c r="AR64" i="19"/>
  <c r="AR63" i="19"/>
  <c r="AR62" i="19"/>
  <c r="AR61" i="19"/>
  <c r="AR60" i="19"/>
  <c r="AR59" i="19"/>
  <c r="AR58" i="19"/>
  <c r="AR57" i="19"/>
  <c r="AQ81" i="19"/>
  <c r="AQ80" i="19"/>
  <c r="AQ79" i="19"/>
  <c r="AQ78" i="19"/>
  <c r="AQ77" i="19"/>
  <c r="AQ76" i="19"/>
  <c r="AQ75" i="19"/>
  <c r="AQ74" i="19"/>
  <c r="AQ73" i="19"/>
  <c r="AQ72" i="19"/>
  <c r="AQ71" i="19"/>
  <c r="AQ70" i="19"/>
  <c r="AQ69" i="19"/>
  <c r="AQ68" i="19"/>
  <c r="AQ67" i="19"/>
  <c r="AQ66" i="19"/>
  <c r="AQ65" i="19"/>
  <c r="AQ64" i="19"/>
  <c r="AQ63" i="19"/>
  <c r="AQ62" i="19"/>
  <c r="AQ61" i="19"/>
  <c r="AQ60" i="19"/>
  <c r="AQ59" i="19"/>
  <c r="AQ58" i="19"/>
  <c r="AQ57" i="19"/>
  <c r="AP81" i="19"/>
  <c r="AP80" i="19"/>
  <c r="AP79" i="19"/>
  <c r="AP78" i="19"/>
  <c r="AP77" i="19"/>
  <c r="AP76" i="19"/>
  <c r="AP75" i="19"/>
  <c r="AP74" i="19"/>
  <c r="AP73" i="19"/>
  <c r="AP72" i="19"/>
  <c r="AP71" i="19"/>
  <c r="AP70" i="19"/>
  <c r="AP69" i="19"/>
  <c r="AP68" i="19"/>
  <c r="AP67" i="19"/>
  <c r="AP66" i="19"/>
  <c r="AP65" i="19"/>
  <c r="AP64" i="19"/>
  <c r="AP63" i="19"/>
  <c r="AP62" i="19"/>
  <c r="AP61" i="19"/>
  <c r="AP60" i="19"/>
  <c r="AP59" i="19"/>
  <c r="AP58" i="19"/>
  <c r="AP57" i="19"/>
  <c r="AO81" i="19"/>
  <c r="AO80" i="19"/>
  <c r="AO79" i="19"/>
  <c r="AO78" i="19"/>
  <c r="AO77" i="19"/>
  <c r="AO76" i="19"/>
  <c r="AO75" i="19"/>
  <c r="AO74" i="19"/>
  <c r="AO73" i="19"/>
  <c r="AO72" i="19"/>
  <c r="AO71" i="19"/>
  <c r="AO70" i="19"/>
  <c r="AO69" i="19"/>
  <c r="AO68" i="19"/>
  <c r="AO67" i="19"/>
  <c r="AO66" i="19"/>
  <c r="AO65" i="19"/>
  <c r="AO64" i="19"/>
  <c r="AO63" i="19"/>
  <c r="AO62" i="19"/>
  <c r="AO61" i="19"/>
  <c r="AO60" i="19"/>
  <c r="AO59" i="19"/>
  <c r="AO58" i="19"/>
  <c r="AO57" i="19"/>
  <c r="AN81" i="19"/>
  <c r="AN80" i="19"/>
  <c r="AN79" i="19"/>
  <c r="AN78" i="19"/>
  <c r="AN77" i="19"/>
  <c r="AN76" i="19"/>
  <c r="AN75" i="19"/>
  <c r="AN74" i="19"/>
  <c r="AN73" i="19"/>
  <c r="AN72" i="19"/>
  <c r="AN71" i="19"/>
  <c r="AN70" i="19"/>
  <c r="AN69" i="19"/>
  <c r="AN68" i="19"/>
  <c r="AN67" i="19"/>
  <c r="AN66" i="19"/>
  <c r="AN65" i="19"/>
  <c r="AN64" i="19"/>
  <c r="AN63" i="19"/>
  <c r="AN62" i="19"/>
  <c r="AN61" i="19"/>
  <c r="AN60" i="19"/>
  <c r="AN59" i="19"/>
  <c r="AN58" i="19"/>
  <c r="AN57" i="19"/>
  <c r="AM81" i="19"/>
  <c r="AM80" i="19"/>
  <c r="AM79" i="19"/>
  <c r="AM78" i="19"/>
  <c r="AM77" i="19"/>
  <c r="AM76" i="19"/>
  <c r="AM75" i="19"/>
  <c r="AM74" i="19"/>
  <c r="AM73" i="19"/>
  <c r="AM72" i="19"/>
  <c r="AM71" i="19"/>
  <c r="AM70" i="19"/>
  <c r="AM69" i="19"/>
  <c r="AM68" i="19"/>
  <c r="AM67" i="19"/>
  <c r="AM66" i="19"/>
  <c r="AM65" i="19"/>
  <c r="AM64" i="19"/>
  <c r="AM63" i="19"/>
  <c r="AM62" i="19"/>
  <c r="AM61" i="19"/>
  <c r="AM60" i="19"/>
  <c r="AM59" i="19"/>
  <c r="AM58" i="19"/>
  <c r="AM57" i="19"/>
  <c r="AL81" i="19"/>
  <c r="AL80" i="19"/>
  <c r="AL79" i="19"/>
  <c r="AL78" i="19"/>
  <c r="AL77" i="19"/>
  <c r="AL76" i="19"/>
  <c r="AL75" i="19"/>
  <c r="AL74" i="19"/>
  <c r="AL73" i="19"/>
  <c r="AL72" i="19"/>
  <c r="AL71" i="19"/>
  <c r="AL70" i="19"/>
  <c r="AL69" i="19"/>
  <c r="AL68" i="19"/>
  <c r="AL67" i="19"/>
  <c r="AL66" i="19"/>
  <c r="AL65" i="19"/>
  <c r="AL64" i="19"/>
  <c r="AL63" i="19"/>
  <c r="AL62" i="19"/>
  <c r="AL61" i="19"/>
  <c r="AL60" i="19"/>
  <c r="AL59" i="19"/>
  <c r="AL58" i="19"/>
  <c r="AL57" i="19"/>
  <c r="T57" i="19"/>
  <c r="AV81" i="19"/>
  <c r="AV80" i="19"/>
  <c r="AV79" i="19"/>
  <c r="AV78" i="19"/>
  <c r="AV77" i="19"/>
  <c r="AV76" i="19"/>
  <c r="AV75" i="19"/>
  <c r="AV74" i="19"/>
  <c r="AV73" i="19"/>
  <c r="AV72" i="19"/>
  <c r="AV71" i="19"/>
  <c r="AV70" i="19"/>
  <c r="AV69" i="19"/>
  <c r="AV68" i="19"/>
  <c r="AV67" i="19"/>
  <c r="AV66" i="19"/>
  <c r="AV65" i="19"/>
  <c r="AV64" i="19"/>
  <c r="AV63" i="19"/>
  <c r="AV62" i="19"/>
  <c r="AV61" i="19"/>
  <c r="AV60" i="19"/>
  <c r="AV59" i="19"/>
  <c r="AV58" i="19"/>
  <c r="AV57" i="19"/>
  <c r="AT81" i="19"/>
  <c r="AT80" i="19"/>
  <c r="AT79" i="19"/>
  <c r="AT78" i="19"/>
  <c r="AT77" i="19"/>
  <c r="AT76" i="19"/>
  <c r="AT75" i="19"/>
  <c r="AT74" i="19"/>
  <c r="AT73" i="19"/>
  <c r="AT72" i="19"/>
  <c r="AT71" i="19"/>
  <c r="AT70" i="19"/>
  <c r="AT69" i="19"/>
  <c r="AT68" i="19"/>
  <c r="AT67" i="19"/>
  <c r="AT66" i="19"/>
  <c r="AT65" i="19"/>
  <c r="AT64" i="19"/>
  <c r="AT63" i="19"/>
  <c r="AT62" i="19"/>
  <c r="AT61" i="19"/>
  <c r="AT60" i="19"/>
  <c r="AT59" i="19"/>
  <c r="AT58" i="19"/>
  <c r="AT57" i="19"/>
  <c r="AA81" i="19"/>
  <c r="AA80" i="19"/>
  <c r="AA79" i="19"/>
  <c r="AA78" i="19"/>
  <c r="AA77" i="19"/>
  <c r="AA76" i="19"/>
  <c r="AA75" i="19"/>
  <c r="AA74" i="19"/>
  <c r="AA73" i="19"/>
  <c r="AA72" i="19"/>
  <c r="AA71" i="19"/>
  <c r="AA70" i="19"/>
  <c r="AA69" i="19"/>
  <c r="AA68" i="19"/>
  <c r="AA67" i="19"/>
  <c r="AA66" i="19"/>
  <c r="AA65" i="19"/>
  <c r="AA64" i="19"/>
  <c r="AA63" i="19"/>
  <c r="AA62" i="19"/>
  <c r="AA61" i="19"/>
  <c r="AA60" i="19"/>
  <c r="AA59" i="19"/>
  <c r="AA58" i="19"/>
  <c r="AA57" i="19"/>
  <c r="AB81" i="19"/>
  <c r="AB80" i="19"/>
  <c r="AB79" i="19"/>
  <c r="AB78" i="19"/>
  <c r="AB77" i="19"/>
  <c r="AB76" i="19"/>
  <c r="AB75" i="19"/>
  <c r="AB74" i="19"/>
  <c r="AB73" i="19"/>
  <c r="AB72" i="19"/>
  <c r="AB71" i="19"/>
  <c r="AB70" i="19"/>
  <c r="AB69" i="19"/>
  <c r="AB68" i="19"/>
  <c r="AB67" i="19"/>
  <c r="AB66" i="19"/>
  <c r="AB65" i="19"/>
  <c r="AB64" i="19"/>
  <c r="AB63" i="19"/>
  <c r="AB62" i="19"/>
  <c r="AB61" i="19"/>
  <c r="AB60" i="19"/>
  <c r="AB59" i="19"/>
  <c r="AB58" i="19"/>
  <c r="AB57" i="19"/>
  <c r="AK81" i="19"/>
  <c r="AK80" i="19"/>
  <c r="AK79" i="19"/>
  <c r="AK78" i="19"/>
  <c r="AK77" i="19"/>
  <c r="AK76" i="19"/>
  <c r="AK75" i="19"/>
  <c r="AK74" i="19"/>
  <c r="AK73" i="19"/>
  <c r="AK72" i="19"/>
  <c r="AK71" i="19"/>
  <c r="AK70" i="19"/>
  <c r="AK69" i="19"/>
  <c r="AK68" i="19"/>
  <c r="AK67" i="19"/>
  <c r="AK66" i="19"/>
  <c r="AK65" i="19"/>
  <c r="AK64" i="19"/>
  <c r="AK63" i="19"/>
  <c r="AK62" i="19"/>
  <c r="AK61" i="19"/>
  <c r="AK60" i="19"/>
  <c r="AK59" i="19"/>
  <c r="AK58" i="19"/>
  <c r="AK57" i="19"/>
  <c r="AW81" i="19"/>
  <c r="AW80" i="19"/>
  <c r="AW79" i="19"/>
  <c r="AW78" i="19"/>
  <c r="AW77" i="19"/>
  <c r="AW76" i="19"/>
  <c r="AW75" i="19"/>
  <c r="AW74" i="19"/>
  <c r="AW73" i="19"/>
  <c r="AW72" i="19"/>
  <c r="AW71" i="19"/>
  <c r="AW70" i="19"/>
  <c r="AW69" i="19"/>
  <c r="AW68" i="19"/>
  <c r="AW67" i="19"/>
  <c r="AW66" i="19"/>
  <c r="AW65" i="19"/>
  <c r="AW64" i="19"/>
  <c r="AW63" i="19"/>
  <c r="AW62" i="19"/>
  <c r="AW61" i="19"/>
  <c r="AW60" i="19"/>
  <c r="AW59" i="19"/>
  <c r="AW58" i="19"/>
  <c r="AW57" i="19"/>
  <c r="AW82" i="19"/>
  <c r="H5" i="19"/>
  <c r="AV82" i="19"/>
  <c r="AT82" i="19"/>
  <c r="AS82" i="19"/>
  <c r="AQ82" i="19"/>
  <c r="AP82" i="19"/>
  <c r="AN82" i="19"/>
  <c r="AM82" i="19"/>
  <c r="AO82" i="19"/>
  <c r="AL82" i="19"/>
  <c r="AK82" i="19"/>
  <c r="G4" i="19"/>
  <c r="I4" i="19"/>
  <c r="Y81" i="19"/>
  <c r="Y80" i="19"/>
  <c r="Y79" i="19"/>
  <c r="Y78" i="19"/>
  <c r="Y77" i="19"/>
  <c r="Y76" i="19"/>
  <c r="Y75" i="19"/>
  <c r="Y74" i="19"/>
  <c r="Y73" i="19"/>
  <c r="Y72" i="19"/>
  <c r="Y71" i="19"/>
  <c r="Y70" i="19"/>
  <c r="Y69" i="19"/>
  <c r="Y68" i="19"/>
  <c r="Y67" i="19"/>
  <c r="Y66" i="19"/>
  <c r="Y65" i="19"/>
  <c r="Y64" i="19"/>
  <c r="Y63" i="19"/>
  <c r="Y62" i="19"/>
  <c r="Y61" i="19"/>
  <c r="Y60" i="19"/>
  <c r="Y59" i="19"/>
  <c r="Y58" i="19"/>
  <c r="X81" i="19"/>
  <c r="X80" i="19"/>
  <c r="X79" i="19"/>
  <c r="X78" i="19"/>
  <c r="X77" i="19"/>
  <c r="X76" i="19"/>
  <c r="X75" i="19"/>
  <c r="X74" i="19"/>
  <c r="X73" i="19"/>
  <c r="X72" i="19"/>
  <c r="X71" i="19"/>
  <c r="X70" i="19"/>
  <c r="X69" i="19"/>
  <c r="X68" i="19"/>
  <c r="X67" i="19"/>
  <c r="X66" i="19"/>
  <c r="X65" i="19"/>
  <c r="X64" i="19"/>
  <c r="X63" i="19"/>
  <c r="BM62" i="19"/>
  <c r="Y57" i="19"/>
  <c r="BM60" i="19"/>
  <c r="G9" i="19"/>
  <c r="I9" i="19"/>
  <c r="G10" i="19"/>
  <c r="I10" i="19"/>
  <c r="G11" i="19"/>
  <c r="I11" i="19"/>
  <c r="H82" i="19"/>
  <c r="D82" i="19"/>
  <c r="D5" i="19"/>
  <c r="AB82" i="19"/>
  <c r="BM58" i="19"/>
  <c r="AA82" i="19"/>
  <c r="Z58" i="19"/>
  <c r="Z59" i="19"/>
  <c r="Z60" i="19"/>
  <c r="Z61" i="19"/>
  <c r="Z62" i="19"/>
  <c r="Z63" i="19"/>
  <c r="Z64" i="19"/>
  <c r="Z65" i="19"/>
  <c r="Z66" i="19"/>
  <c r="Z67" i="19"/>
  <c r="Z68" i="19"/>
  <c r="Z69" i="19"/>
  <c r="Z70" i="19"/>
  <c r="Z71" i="19"/>
  <c r="Z72" i="19"/>
  <c r="Z73" i="19"/>
  <c r="Z74" i="19"/>
  <c r="Z75" i="19"/>
  <c r="Z76" i="19"/>
  <c r="Z77" i="19"/>
  <c r="Z78" i="19"/>
  <c r="Z79" i="19"/>
  <c r="Z80" i="19"/>
  <c r="Z81" i="19"/>
  <c r="Z57" i="19"/>
  <c r="W58" i="19"/>
  <c r="W59" i="19"/>
  <c r="W60" i="19"/>
  <c r="W61" i="19"/>
  <c r="W62" i="19"/>
  <c r="W63" i="19"/>
  <c r="W64" i="19"/>
  <c r="W65" i="19"/>
  <c r="W66" i="19"/>
  <c r="W67" i="19"/>
  <c r="W68" i="19"/>
  <c r="W69" i="19"/>
  <c r="W70" i="19"/>
  <c r="W71" i="19"/>
  <c r="W72" i="19"/>
  <c r="W73" i="19"/>
  <c r="W74" i="19"/>
  <c r="W75" i="19"/>
  <c r="W76" i="19"/>
  <c r="W77" i="19"/>
  <c r="W78" i="19"/>
  <c r="W79" i="19"/>
  <c r="W80" i="19"/>
  <c r="W81" i="19"/>
  <c r="W57" i="19"/>
  <c r="W82" i="19"/>
  <c r="V58" i="19"/>
  <c r="V59" i="19"/>
  <c r="V60" i="19"/>
  <c r="V61" i="19"/>
  <c r="V62" i="19"/>
  <c r="V63" i="19"/>
  <c r="V64" i="19"/>
  <c r="V65" i="19"/>
  <c r="V66" i="19"/>
  <c r="V67" i="19"/>
  <c r="V68" i="19"/>
  <c r="V69" i="19"/>
  <c r="V70" i="19"/>
  <c r="V71" i="19"/>
  <c r="V72" i="19"/>
  <c r="V73" i="19"/>
  <c r="V74" i="19"/>
  <c r="V75" i="19"/>
  <c r="V76" i="19"/>
  <c r="V77" i="19"/>
  <c r="V78" i="19"/>
  <c r="V79" i="19"/>
  <c r="V80" i="19"/>
  <c r="V81" i="19"/>
  <c r="V57" i="19"/>
  <c r="V82" i="19"/>
  <c r="U58" i="19"/>
  <c r="U59" i="19"/>
  <c r="U60" i="19"/>
  <c r="U61" i="19"/>
  <c r="U62" i="19"/>
  <c r="U63" i="19"/>
  <c r="U64" i="19"/>
  <c r="U65" i="19"/>
  <c r="U66" i="19"/>
  <c r="U67" i="19"/>
  <c r="U68" i="19"/>
  <c r="U69" i="19"/>
  <c r="U70" i="19"/>
  <c r="U71" i="19"/>
  <c r="U72" i="19"/>
  <c r="U73" i="19"/>
  <c r="U74" i="19"/>
  <c r="U75" i="19"/>
  <c r="U76" i="19"/>
  <c r="U77" i="19"/>
  <c r="U78" i="19"/>
  <c r="U79" i="19"/>
  <c r="U80" i="19"/>
  <c r="U81" i="19"/>
  <c r="U57" i="19"/>
  <c r="U82" i="19"/>
  <c r="T58" i="19"/>
  <c r="T59" i="19"/>
  <c r="T60" i="19"/>
  <c r="T61" i="19"/>
  <c r="T62" i="19"/>
  <c r="T63" i="19"/>
  <c r="AE63" i="19"/>
  <c r="T64" i="19"/>
  <c r="AE64" i="19"/>
  <c r="T65" i="19"/>
  <c r="AE65" i="19"/>
  <c r="T66" i="19"/>
  <c r="AE66" i="19"/>
  <c r="T67" i="19"/>
  <c r="AE67" i="19"/>
  <c r="T68" i="19"/>
  <c r="AE68" i="19"/>
  <c r="T69" i="19"/>
  <c r="AE69" i="19"/>
  <c r="T70" i="19"/>
  <c r="AE70" i="19"/>
  <c r="T71" i="19"/>
  <c r="AE71" i="19"/>
  <c r="T72" i="19"/>
  <c r="AE72" i="19"/>
  <c r="T73" i="19"/>
  <c r="AE73" i="19"/>
  <c r="T74" i="19"/>
  <c r="AE74" i="19"/>
  <c r="T75" i="19"/>
  <c r="AE75" i="19"/>
  <c r="T76" i="19"/>
  <c r="AE76" i="19"/>
  <c r="T77" i="19"/>
  <c r="AE77" i="19"/>
  <c r="T78" i="19"/>
  <c r="AE78" i="19"/>
  <c r="T79" i="19"/>
  <c r="AE79" i="19"/>
  <c r="T80" i="19"/>
  <c r="AE80" i="19"/>
  <c r="T81" i="19"/>
  <c r="AE81" i="19"/>
  <c r="G58" i="19"/>
  <c r="AD58" i="19"/>
  <c r="G59" i="19"/>
  <c r="AD59" i="19"/>
  <c r="G60" i="19"/>
  <c r="AD60" i="19"/>
  <c r="G61" i="19"/>
  <c r="AD61" i="19"/>
  <c r="G62" i="19"/>
  <c r="AD62" i="19"/>
  <c r="G63" i="19"/>
  <c r="AD63" i="19"/>
  <c r="AF63" i="19" s="1"/>
  <c r="G64" i="19"/>
  <c r="AD64" i="19"/>
  <c r="AF64" i="19" s="1"/>
  <c r="G65" i="19"/>
  <c r="AD65" i="19"/>
  <c r="AF65" i="19" s="1"/>
  <c r="G66" i="19"/>
  <c r="AD66" i="19"/>
  <c r="AF66" i="19" s="1"/>
  <c r="G67" i="19"/>
  <c r="AD67" i="19"/>
  <c r="AF67" i="19" s="1"/>
  <c r="G68" i="19"/>
  <c r="AD68" i="19"/>
  <c r="AF68" i="19" s="1"/>
  <c r="G69" i="19"/>
  <c r="AD69" i="19"/>
  <c r="AF69" i="19" s="1"/>
  <c r="G70" i="19"/>
  <c r="AD70" i="19"/>
  <c r="AF70" i="19" s="1"/>
  <c r="G71" i="19"/>
  <c r="AD71" i="19"/>
  <c r="AF71" i="19" s="1"/>
  <c r="G72" i="19"/>
  <c r="AD72" i="19"/>
  <c r="AF72" i="19" s="1"/>
  <c r="G73" i="19"/>
  <c r="AD73" i="19"/>
  <c r="AF73" i="19" s="1"/>
  <c r="G74" i="19"/>
  <c r="AD74" i="19"/>
  <c r="AF74" i="19" s="1"/>
  <c r="G75" i="19"/>
  <c r="AD75" i="19"/>
  <c r="AF75" i="19" s="1"/>
  <c r="G76" i="19"/>
  <c r="AD76" i="19"/>
  <c r="AF76" i="19" s="1"/>
  <c r="G77" i="19"/>
  <c r="AD77" i="19"/>
  <c r="AF77" i="19" s="1"/>
  <c r="G78" i="19"/>
  <c r="AD78" i="19"/>
  <c r="AF78" i="19" s="1"/>
  <c r="G79" i="19"/>
  <c r="AD79" i="19"/>
  <c r="AF79" i="19" s="1"/>
  <c r="G80" i="19"/>
  <c r="AD80" i="19"/>
  <c r="AF80" i="19" s="1"/>
  <c r="G81" i="19"/>
  <c r="AD81" i="19"/>
  <c r="AF81" i="19" s="1"/>
  <c r="G57" i="19"/>
  <c r="B58" i="19"/>
  <c r="B59" i="19"/>
  <c r="B60" i="19"/>
  <c r="B61" i="19"/>
  <c r="B62" i="19"/>
  <c r="B63" i="19"/>
  <c r="B64" i="19"/>
  <c r="B65" i="19"/>
  <c r="B66" i="19"/>
  <c r="B67" i="19"/>
  <c r="B68" i="19"/>
  <c r="B69" i="19"/>
  <c r="B70" i="19"/>
  <c r="B71" i="19"/>
  <c r="B72" i="19"/>
  <c r="B73" i="19"/>
  <c r="B74" i="19"/>
  <c r="B75" i="19"/>
  <c r="B76" i="19"/>
  <c r="B77" i="19"/>
  <c r="B78" i="19"/>
  <c r="B79" i="19"/>
  <c r="B80" i="19"/>
  <c r="B81" i="19"/>
  <c r="D61" i="15"/>
  <c r="N35" i="12"/>
  <c r="N38" i="12"/>
  <c r="D6" i="19"/>
  <c r="AA87" i="19"/>
  <c r="BN88" i="19"/>
  <c r="BP88" i="19"/>
  <c r="AA86" i="19"/>
  <c r="BN87" i="19"/>
  <c r="BP87" i="19"/>
  <c r="AA91" i="19"/>
  <c r="BN92" i="19"/>
  <c r="BP92" i="19"/>
  <c r="AA90" i="19"/>
  <c r="BN91" i="19"/>
  <c r="BP91" i="19"/>
  <c r="AA89" i="19"/>
  <c r="BN90" i="19"/>
  <c r="BP90" i="19"/>
  <c r="AA88" i="19"/>
  <c r="BN89" i="19"/>
  <c r="BP89" i="19"/>
  <c r="AC111" i="19"/>
  <c r="AH169" i="19"/>
  <c r="AQ91" i="19"/>
  <c r="BD91" i="19"/>
  <c r="X140" i="19"/>
  <c r="Z115" i="19"/>
  <c r="Y140" i="19"/>
  <c r="AC62" i="19"/>
  <c r="AC61" i="19"/>
  <c r="AC60" i="19"/>
  <c r="AC59" i="19"/>
  <c r="AC58" i="19"/>
  <c r="AC57" i="19"/>
  <c r="X57" i="19"/>
  <c r="X62" i="19"/>
  <c r="AE62" i="19"/>
  <c r="X61" i="19"/>
  <c r="AE61" i="19"/>
  <c r="X60" i="19"/>
  <c r="AE60" i="19"/>
  <c r="X59" i="19"/>
  <c r="AE59" i="19"/>
  <c r="X58" i="19"/>
  <c r="AE58" i="19"/>
  <c r="AF111" i="19"/>
  <c r="AK86" i="19"/>
  <c r="AH111" i="19"/>
  <c r="AK87" i="19"/>
  <c r="AK88" i="19"/>
  <c r="AK89" i="19"/>
  <c r="AK90" i="19"/>
  <c r="AK91" i="19"/>
  <c r="AQ111" i="19"/>
  <c r="AM87" i="19"/>
  <c r="AM88" i="19"/>
  <c r="AM89" i="19"/>
  <c r="AM90" i="19"/>
  <c r="AM91" i="19"/>
  <c r="G111" i="19"/>
  <c r="BD86" i="19"/>
  <c r="BD111" i="19"/>
  <c r="H6" i="19"/>
  <c r="AO93" i="19"/>
  <c r="AO94" i="19"/>
  <c r="AO95" i="19"/>
  <c r="AO96" i="19"/>
  <c r="AO97" i="19"/>
  <c r="AO98" i="19"/>
  <c r="AO99" i="19"/>
  <c r="AO100" i="19"/>
  <c r="AO101" i="19"/>
  <c r="AO102" i="19"/>
  <c r="AO103" i="19"/>
  <c r="AO104" i="19"/>
  <c r="AO105" i="19"/>
  <c r="AO106" i="19"/>
  <c r="AO107" i="19"/>
  <c r="AO108" i="19"/>
  <c r="AO109" i="19"/>
  <c r="AO110" i="19"/>
  <c r="Y82" i="19"/>
  <c r="AR82" i="19"/>
  <c r="AU82" i="19"/>
  <c r="AD57" i="19"/>
  <c r="AD82" i="19"/>
  <c r="G82" i="19"/>
  <c r="T82" i="19"/>
  <c r="Z82" i="19"/>
  <c r="AG81" i="19"/>
  <c r="AG80" i="19"/>
  <c r="AG79" i="19"/>
  <c r="AG78" i="19"/>
  <c r="AG77" i="19"/>
  <c r="AG76" i="19"/>
  <c r="AG75" i="19"/>
  <c r="AG74" i="19"/>
  <c r="AG73" i="19"/>
  <c r="AG72" i="19"/>
  <c r="AG71" i="19"/>
  <c r="AG70" i="19"/>
  <c r="AG69" i="19"/>
  <c r="AG68" i="19"/>
  <c r="AG67" i="19"/>
  <c r="AG66" i="19"/>
  <c r="AG65" i="19"/>
  <c r="AG64" i="19"/>
  <c r="AG63" i="19"/>
  <c r="D99" i="15"/>
  <c r="D101" i="15"/>
  <c r="D103" i="15"/>
  <c r="D104" i="15"/>
  <c r="D10" i="15"/>
  <c r="D12" i="19"/>
  <c r="N9" i="12" s="1"/>
  <c r="AJ63" i="19"/>
  <c r="AJ64" i="19"/>
  <c r="AJ65" i="19"/>
  <c r="AJ66" i="19"/>
  <c r="AJ67" i="19"/>
  <c r="AJ68" i="19"/>
  <c r="AJ69" i="19"/>
  <c r="AJ70" i="19"/>
  <c r="AJ71" i="19"/>
  <c r="AJ72" i="19"/>
  <c r="AJ73" i="19"/>
  <c r="AJ74" i="19"/>
  <c r="AJ75" i="19"/>
  <c r="AJ76" i="19"/>
  <c r="AJ77" i="19"/>
  <c r="AJ78" i="19"/>
  <c r="AJ79" i="19"/>
  <c r="AJ80" i="19"/>
  <c r="AJ81" i="19"/>
  <c r="AA111" i="19"/>
  <c r="AL120" i="19"/>
  <c r="AL140" i="19"/>
  <c r="H7" i="19"/>
  <c r="AC140" i="19"/>
  <c r="Z140" i="19"/>
  <c r="E7" i="19"/>
  <c r="AK111" i="19"/>
  <c r="X82" i="19"/>
  <c r="AO92" i="19"/>
  <c r="AM86" i="19"/>
  <c r="AC82" i="19"/>
  <c r="AE57" i="19"/>
  <c r="G5" i="8"/>
  <c r="F5" i="8"/>
  <c r="N8" i="18"/>
  <c r="D62" i="15"/>
  <c r="D64" i="15"/>
  <c r="C44" i="15"/>
  <c r="C42" i="15"/>
  <c r="C43" i="15"/>
  <c r="C41" i="15"/>
  <c r="J729" i="4"/>
  <c r="X729" i="4" s="1"/>
  <c r="N729" i="4"/>
  <c r="O729" i="4"/>
  <c r="J730" i="4"/>
  <c r="X730" i="4" s="1"/>
  <c r="N730" i="4"/>
  <c r="O730" i="4"/>
  <c r="J731" i="4"/>
  <c r="X731" i="4" s="1"/>
  <c r="N731" i="4"/>
  <c r="O731" i="4"/>
  <c r="J732" i="4"/>
  <c r="X732" i="4" s="1"/>
  <c r="N732" i="4"/>
  <c r="O732" i="4"/>
  <c r="J733" i="4"/>
  <c r="X733" i="4" s="1"/>
  <c r="N733" i="4"/>
  <c r="O733" i="4"/>
  <c r="J734" i="4"/>
  <c r="X734" i="4" s="1"/>
  <c r="N734" i="4"/>
  <c r="O734" i="4"/>
  <c r="J735" i="4"/>
  <c r="X735" i="4" s="1"/>
  <c r="N735" i="4"/>
  <c r="O735" i="4"/>
  <c r="J736" i="4"/>
  <c r="X736" i="4" s="1"/>
  <c r="N736" i="4"/>
  <c r="O736" i="4"/>
  <c r="J737" i="4"/>
  <c r="X737" i="4" s="1"/>
  <c r="N737" i="4"/>
  <c r="O737" i="4"/>
  <c r="J738" i="4"/>
  <c r="X738" i="4" s="1"/>
  <c r="N738" i="4"/>
  <c r="O738" i="4"/>
  <c r="J739" i="4"/>
  <c r="X739" i="4" s="1"/>
  <c r="N739" i="4"/>
  <c r="O739" i="4"/>
  <c r="J740" i="4"/>
  <c r="X740" i="4" s="1"/>
  <c r="N740" i="4"/>
  <c r="O740" i="4"/>
  <c r="J741" i="4"/>
  <c r="X741" i="4" s="1"/>
  <c r="N741" i="4"/>
  <c r="O741" i="4"/>
  <c r="J742" i="4"/>
  <c r="X742" i="4" s="1"/>
  <c r="N742" i="4"/>
  <c r="O742" i="4"/>
  <c r="J743" i="4"/>
  <c r="X743" i="4" s="1"/>
  <c r="N743" i="4"/>
  <c r="O743" i="4"/>
  <c r="J744" i="4"/>
  <c r="X744" i="4" s="1"/>
  <c r="N744" i="4"/>
  <c r="O744" i="4"/>
  <c r="J745" i="4"/>
  <c r="X745" i="4" s="1"/>
  <c r="N745" i="4"/>
  <c r="O745" i="4"/>
  <c r="J746" i="4"/>
  <c r="X746" i="4" s="1"/>
  <c r="N746" i="4"/>
  <c r="O746" i="4"/>
  <c r="J747" i="4"/>
  <c r="X747" i="4" s="1"/>
  <c r="N747" i="4"/>
  <c r="O747" i="4"/>
  <c r="J748" i="4"/>
  <c r="X748" i="4" s="1"/>
  <c r="N748" i="4"/>
  <c r="O748" i="4"/>
  <c r="J749" i="4"/>
  <c r="X749" i="4" s="1"/>
  <c r="N749" i="4"/>
  <c r="O749" i="4"/>
  <c r="J750" i="4"/>
  <c r="X750" i="4" s="1"/>
  <c r="N750" i="4"/>
  <c r="O750" i="4"/>
  <c r="J751" i="4"/>
  <c r="X751" i="4" s="1"/>
  <c r="N751" i="4"/>
  <c r="O751" i="4"/>
  <c r="J752" i="4"/>
  <c r="X752" i="4" s="1"/>
  <c r="N752" i="4"/>
  <c r="O752" i="4"/>
  <c r="J753" i="4"/>
  <c r="X753" i="4" s="1"/>
  <c r="N753" i="4"/>
  <c r="O753" i="4"/>
  <c r="J16" i="4"/>
  <c r="X16" i="4" s="1"/>
  <c r="N16" i="4"/>
  <c r="O16" i="4"/>
  <c r="J17" i="4"/>
  <c r="X17" i="4" s="1"/>
  <c r="N17" i="4"/>
  <c r="O17" i="4"/>
  <c r="J18" i="4"/>
  <c r="X18" i="4" s="1"/>
  <c r="N18" i="4"/>
  <c r="O18" i="4"/>
  <c r="J19" i="4"/>
  <c r="X19" i="4" s="1"/>
  <c r="N19" i="4"/>
  <c r="O19" i="4"/>
  <c r="J20" i="4"/>
  <c r="X20" i="4" s="1"/>
  <c r="N20" i="4"/>
  <c r="O20" i="4"/>
  <c r="J21" i="4"/>
  <c r="X21" i="4" s="1"/>
  <c r="N21" i="4"/>
  <c r="O21" i="4"/>
  <c r="J22" i="4"/>
  <c r="X22" i="4" s="1"/>
  <c r="N22" i="4"/>
  <c r="O22" i="4"/>
  <c r="J23" i="4"/>
  <c r="X23" i="4" s="1"/>
  <c r="N23" i="4"/>
  <c r="O23" i="4"/>
  <c r="J24" i="4"/>
  <c r="X24" i="4" s="1"/>
  <c r="N24" i="4"/>
  <c r="O24" i="4"/>
  <c r="J25" i="4"/>
  <c r="X25" i="4" s="1"/>
  <c r="N25" i="4"/>
  <c r="O25" i="4"/>
  <c r="J26" i="4"/>
  <c r="X26" i="4" s="1"/>
  <c r="N26" i="4"/>
  <c r="O26" i="4"/>
  <c r="J27" i="4"/>
  <c r="X27" i="4" s="1"/>
  <c r="N27" i="4"/>
  <c r="O27" i="4"/>
  <c r="J28" i="4"/>
  <c r="X28" i="4" s="1"/>
  <c r="N28" i="4"/>
  <c r="O28" i="4"/>
  <c r="J29" i="4"/>
  <c r="X29" i="4" s="1"/>
  <c r="N29" i="4"/>
  <c r="O29" i="4"/>
  <c r="J30" i="4"/>
  <c r="X30" i="4" s="1"/>
  <c r="N30" i="4"/>
  <c r="O30" i="4"/>
  <c r="J31" i="4"/>
  <c r="X31" i="4" s="1"/>
  <c r="N31" i="4"/>
  <c r="O31" i="4"/>
  <c r="J32" i="4"/>
  <c r="X32" i="4" s="1"/>
  <c r="N32" i="4"/>
  <c r="O32" i="4"/>
  <c r="J33" i="4"/>
  <c r="X33" i="4" s="1"/>
  <c r="N33" i="4"/>
  <c r="O33" i="4"/>
  <c r="J34" i="4"/>
  <c r="X34" i="4" s="1"/>
  <c r="N34" i="4"/>
  <c r="O34" i="4"/>
  <c r="J35" i="4"/>
  <c r="X35" i="4" s="1"/>
  <c r="N35" i="4"/>
  <c r="O35" i="4"/>
  <c r="J36" i="4"/>
  <c r="X36" i="4" s="1"/>
  <c r="N36" i="4"/>
  <c r="O36" i="4"/>
  <c r="J37" i="4"/>
  <c r="X37" i="4" s="1"/>
  <c r="N37" i="4"/>
  <c r="O37" i="4"/>
  <c r="J38" i="4"/>
  <c r="X38" i="4" s="1"/>
  <c r="N38" i="4"/>
  <c r="O38" i="4"/>
  <c r="J39" i="4"/>
  <c r="X39" i="4" s="1"/>
  <c r="N39" i="4"/>
  <c r="O39" i="4"/>
  <c r="J40" i="4"/>
  <c r="X40" i="4" s="1"/>
  <c r="N40" i="4"/>
  <c r="O40" i="4"/>
  <c r="J41" i="4"/>
  <c r="X41" i="4" s="1"/>
  <c r="N41" i="4"/>
  <c r="O41" i="4"/>
  <c r="J42" i="4"/>
  <c r="X42" i="4" s="1"/>
  <c r="N42" i="4"/>
  <c r="O42" i="4"/>
  <c r="J43" i="4"/>
  <c r="X43" i="4" s="1"/>
  <c r="N43" i="4"/>
  <c r="O43" i="4"/>
  <c r="J44" i="4"/>
  <c r="X44" i="4" s="1"/>
  <c r="N44" i="4"/>
  <c r="O44" i="4"/>
  <c r="J45" i="4"/>
  <c r="X45" i="4" s="1"/>
  <c r="N45" i="4"/>
  <c r="O45" i="4"/>
  <c r="J46" i="4"/>
  <c r="X46" i="4" s="1"/>
  <c r="N46" i="4"/>
  <c r="O46" i="4"/>
  <c r="J47" i="4"/>
  <c r="X47" i="4" s="1"/>
  <c r="N47" i="4"/>
  <c r="O47" i="4"/>
  <c r="J48" i="4"/>
  <c r="X48" i="4" s="1"/>
  <c r="N48" i="4"/>
  <c r="O48" i="4"/>
  <c r="J49" i="4"/>
  <c r="X49" i="4" s="1"/>
  <c r="N49" i="4"/>
  <c r="O49" i="4"/>
  <c r="J50" i="4"/>
  <c r="X50" i="4" s="1"/>
  <c r="N50" i="4"/>
  <c r="O50" i="4"/>
  <c r="J51" i="4"/>
  <c r="X51" i="4" s="1"/>
  <c r="N51" i="4"/>
  <c r="O51" i="4"/>
  <c r="J52" i="4"/>
  <c r="X52" i="4" s="1"/>
  <c r="N52" i="4"/>
  <c r="O52" i="4"/>
  <c r="J53" i="4"/>
  <c r="X53" i="4" s="1"/>
  <c r="N53" i="4"/>
  <c r="O53" i="4"/>
  <c r="J54" i="4"/>
  <c r="X54" i="4" s="1"/>
  <c r="N54" i="4"/>
  <c r="O54" i="4"/>
  <c r="J55" i="4"/>
  <c r="X55" i="4" s="1"/>
  <c r="N55" i="4"/>
  <c r="O55" i="4"/>
  <c r="J56" i="4"/>
  <c r="X56" i="4" s="1"/>
  <c r="N56" i="4"/>
  <c r="O56" i="4"/>
  <c r="J57" i="4"/>
  <c r="X57" i="4" s="1"/>
  <c r="N57" i="4"/>
  <c r="O57" i="4"/>
  <c r="J58" i="4"/>
  <c r="X58" i="4" s="1"/>
  <c r="N58" i="4"/>
  <c r="O58" i="4"/>
  <c r="J59" i="4"/>
  <c r="X59" i="4" s="1"/>
  <c r="N59" i="4"/>
  <c r="O59" i="4"/>
  <c r="J60" i="4"/>
  <c r="X60" i="4" s="1"/>
  <c r="N60" i="4"/>
  <c r="O60" i="4"/>
  <c r="J61" i="4"/>
  <c r="X61" i="4" s="1"/>
  <c r="N61" i="4"/>
  <c r="O61" i="4"/>
  <c r="J62" i="4"/>
  <c r="X62" i="4" s="1"/>
  <c r="N62" i="4"/>
  <c r="O62" i="4"/>
  <c r="J63" i="4"/>
  <c r="X63" i="4" s="1"/>
  <c r="N63" i="4"/>
  <c r="O63" i="4"/>
  <c r="J64" i="4"/>
  <c r="X64" i="4" s="1"/>
  <c r="N64" i="4"/>
  <c r="O64" i="4"/>
  <c r="J65" i="4"/>
  <c r="X65" i="4" s="1"/>
  <c r="N65" i="4"/>
  <c r="O65" i="4"/>
  <c r="J66" i="4"/>
  <c r="X66" i="4" s="1"/>
  <c r="N66" i="4"/>
  <c r="O66" i="4"/>
  <c r="J67" i="4"/>
  <c r="X67" i="4" s="1"/>
  <c r="N67" i="4"/>
  <c r="O67" i="4"/>
  <c r="J68" i="4"/>
  <c r="X68" i="4" s="1"/>
  <c r="N68" i="4"/>
  <c r="O68" i="4"/>
  <c r="J69" i="4"/>
  <c r="X69" i="4" s="1"/>
  <c r="N69" i="4"/>
  <c r="O69" i="4"/>
  <c r="J70" i="4"/>
  <c r="X70" i="4" s="1"/>
  <c r="N70" i="4"/>
  <c r="O70" i="4"/>
  <c r="J71" i="4"/>
  <c r="X71" i="4" s="1"/>
  <c r="N71" i="4"/>
  <c r="O71" i="4"/>
  <c r="J72" i="4"/>
  <c r="X72" i="4" s="1"/>
  <c r="N72" i="4"/>
  <c r="O72" i="4"/>
  <c r="J73" i="4"/>
  <c r="X73" i="4" s="1"/>
  <c r="N73" i="4"/>
  <c r="O73" i="4"/>
  <c r="J74" i="4"/>
  <c r="X74" i="4" s="1"/>
  <c r="N74" i="4"/>
  <c r="O74" i="4"/>
  <c r="J75" i="4"/>
  <c r="X75" i="4" s="1"/>
  <c r="N75" i="4"/>
  <c r="O75" i="4"/>
  <c r="J76" i="4"/>
  <c r="X76" i="4" s="1"/>
  <c r="N76" i="4"/>
  <c r="O76" i="4"/>
  <c r="J77" i="4"/>
  <c r="X77" i="4" s="1"/>
  <c r="N77" i="4"/>
  <c r="O77" i="4"/>
  <c r="J78" i="4"/>
  <c r="X78" i="4" s="1"/>
  <c r="N78" i="4"/>
  <c r="O78" i="4"/>
  <c r="J79" i="4"/>
  <c r="X79" i="4" s="1"/>
  <c r="N79" i="4"/>
  <c r="O79" i="4"/>
  <c r="J80" i="4"/>
  <c r="X80" i="4" s="1"/>
  <c r="N80" i="4"/>
  <c r="O80" i="4"/>
  <c r="J81" i="4"/>
  <c r="X81" i="4" s="1"/>
  <c r="N81" i="4"/>
  <c r="O81" i="4"/>
  <c r="J82" i="4"/>
  <c r="X82" i="4" s="1"/>
  <c r="N82" i="4"/>
  <c r="O82" i="4"/>
  <c r="J83" i="4"/>
  <c r="X83" i="4" s="1"/>
  <c r="N83" i="4"/>
  <c r="O83" i="4"/>
  <c r="J84" i="4"/>
  <c r="X84" i="4" s="1"/>
  <c r="N84" i="4"/>
  <c r="O84" i="4"/>
  <c r="J85" i="4"/>
  <c r="X85" i="4" s="1"/>
  <c r="N85" i="4"/>
  <c r="O85" i="4"/>
  <c r="J86" i="4"/>
  <c r="X86" i="4" s="1"/>
  <c r="N86" i="4"/>
  <c r="O86" i="4"/>
  <c r="J87" i="4"/>
  <c r="X87" i="4" s="1"/>
  <c r="N87" i="4"/>
  <c r="O87" i="4"/>
  <c r="J88" i="4"/>
  <c r="X88" i="4" s="1"/>
  <c r="N88" i="4"/>
  <c r="O88" i="4"/>
  <c r="J89" i="4"/>
  <c r="X89" i="4" s="1"/>
  <c r="N89" i="4"/>
  <c r="O89" i="4"/>
  <c r="J90" i="4"/>
  <c r="X90" i="4" s="1"/>
  <c r="N90" i="4"/>
  <c r="O90" i="4"/>
  <c r="J91" i="4"/>
  <c r="X91" i="4" s="1"/>
  <c r="N91" i="4"/>
  <c r="O91" i="4"/>
  <c r="J92" i="4"/>
  <c r="X92" i="4" s="1"/>
  <c r="N92" i="4"/>
  <c r="O92" i="4"/>
  <c r="J93" i="4"/>
  <c r="X93" i="4" s="1"/>
  <c r="N93" i="4"/>
  <c r="O93" i="4"/>
  <c r="J94" i="4"/>
  <c r="X94" i="4" s="1"/>
  <c r="N94" i="4"/>
  <c r="O94" i="4"/>
  <c r="J95" i="4"/>
  <c r="X95" i="4" s="1"/>
  <c r="N95" i="4"/>
  <c r="O95" i="4"/>
  <c r="J96" i="4"/>
  <c r="X96" i="4" s="1"/>
  <c r="N96" i="4"/>
  <c r="O96" i="4"/>
  <c r="J97" i="4"/>
  <c r="X97" i="4" s="1"/>
  <c r="N97" i="4"/>
  <c r="O97" i="4"/>
  <c r="J98" i="4"/>
  <c r="X98" i="4" s="1"/>
  <c r="N98" i="4"/>
  <c r="O98" i="4"/>
  <c r="J99" i="4"/>
  <c r="X99" i="4" s="1"/>
  <c r="N99" i="4"/>
  <c r="O99" i="4"/>
  <c r="J100" i="4"/>
  <c r="X100" i="4" s="1"/>
  <c r="N100" i="4"/>
  <c r="O100" i="4"/>
  <c r="J101" i="4"/>
  <c r="X101" i="4" s="1"/>
  <c r="N101" i="4"/>
  <c r="O101" i="4"/>
  <c r="J102" i="4"/>
  <c r="X102" i="4" s="1"/>
  <c r="N102" i="4"/>
  <c r="O102" i="4"/>
  <c r="J103" i="4"/>
  <c r="X103" i="4" s="1"/>
  <c r="N103" i="4"/>
  <c r="O103" i="4"/>
  <c r="J104" i="4"/>
  <c r="X104" i="4" s="1"/>
  <c r="N104" i="4"/>
  <c r="O104" i="4"/>
  <c r="J105" i="4"/>
  <c r="X105" i="4" s="1"/>
  <c r="N105" i="4"/>
  <c r="O105" i="4"/>
  <c r="J106" i="4"/>
  <c r="X106" i="4" s="1"/>
  <c r="N106" i="4"/>
  <c r="O106" i="4"/>
  <c r="J107" i="4"/>
  <c r="X107" i="4" s="1"/>
  <c r="N107" i="4"/>
  <c r="O107" i="4"/>
  <c r="J108" i="4"/>
  <c r="X108" i="4" s="1"/>
  <c r="N108" i="4"/>
  <c r="O108" i="4"/>
  <c r="J109" i="4"/>
  <c r="X109" i="4" s="1"/>
  <c r="N109" i="4"/>
  <c r="O109" i="4"/>
  <c r="J110" i="4"/>
  <c r="X110" i="4" s="1"/>
  <c r="N110" i="4"/>
  <c r="O110" i="4"/>
  <c r="J111" i="4"/>
  <c r="X111" i="4" s="1"/>
  <c r="N111" i="4"/>
  <c r="O111" i="4"/>
  <c r="J112" i="4"/>
  <c r="X112" i="4" s="1"/>
  <c r="N112" i="4"/>
  <c r="O112" i="4"/>
  <c r="J113" i="4"/>
  <c r="X113" i="4" s="1"/>
  <c r="N113" i="4"/>
  <c r="O113" i="4"/>
  <c r="J114" i="4"/>
  <c r="X114" i="4" s="1"/>
  <c r="N114" i="4"/>
  <c r="O114" i="4"/>
  <c r="J115" i="4"/>
  <c r="X115" i="4" s="1"/>
  <c r="N115" i="4"/>
  <c r="O115" i="4"/>
  <c r="J116" i="4"/>
  <c r="X116" i="4" s="1"/>
  <c r="N116" i="4"/>
  <c r="O116" i="4"/>
  <c r="J117" i="4"/>
  <c r="X117" i="4" s="1"/>
  <c r="N117" i="4"/>
  <c r="O117" i="4"/>
  <c r="J118" i="4"/>
  <c r="X118" i="4" s="1"/>
  <c r="N118" i="4"/>
  <c r="O118" i="4"/>
  <c r="J119" i="4"/>
  <c r="X119" i="4" s="1"/>
  <c r="N119" i="4"/>
  <c r="O119" i="4"/>
  <c r="J120" i="4"/>
  <c r="X120" i="4" s="1"/>
  <c r="N120" i="4"/>
  <c r="O120" i="4"/>
  <c r="J121" i="4"/>
  <c r="X121" i="4" s="1"/>
  <c r="N121" i="4"/>
  <c r="O121" i="4"/>
  <c r="J122" i="4"/>
  <c r="X122" i="4" s="1"/>
  <c r="N122" i="4"/>
  <c r="O122" i="4"/>
  <c r="J123" i="4"/>
  <c r="X123" i="4" s="1"/>
  <c r="N123" i="4"/>
  <c r="O123" i="4"/>
  <c r="J124" i="4"/>
  <c r="X124" i="4" s="1"/>
  <c r="N124" i="4"/>
  <c r="O124" i="4"/>
  <c r="J125" i="4"/>
  <c r="X125" i="4" s="1"/>
  <c r="N125" i="4"/>
  <c r="O125" i="4"/>
  <c r="J126" i="4"/>
  <c r="X126" i="4" s="1"/>
  <c r="N126" i="4"/>
  <c r="O126" i="4"/>
  <c r="J127" i="4"/>
  <c r="X127" i="4" s="1"/>
  <c r="N127" i="4"/>
  <c r="O127" i="4"/>
  <c r="J128" i="4"/>
  <c r="X128" i="4" s="1"/>
  <c r="N128" i="4"/>
  <c r="O128" i="4"/>
  <c r="J129" i="4"/>
  <c r="X129" i="4" s="1"/>
  <c r="N129" i="4"/>
  <c r="O129" i="4"/>
  <c r="J130" i="4"/>
  <c r="X130" i="4" s="1"/>
  <c r="N130" i="4"/>
  <c r="O130" i="4"/>
  <c r="J131" i="4"/>
  <c r="X131" i="4" s="1"/>
  <c r="N131" i="4"/>
  <c r="O131" i="4"/>
  <c r="J132" i="4"/>
  <c r="X132" i="4" s="1"/>
  <c r="N132" i="4"/>
  <c r="O132" i="4"/>
  <c r="J133" i="4"/>
  <c r="X133" i="4" s="1"/>
  <c r="N133" i="4"/>
  <c r="O133" i="4"/>
  <c r="J134" i="4"/>
  <c r="X134" i="4" s="1"/>
  <c r="N134" i="4"/>
  <c r="O134" i="4"/>
  <c r="J135" i="4"/>
  <c r="X135" i="4" s="1"/>
  <c r="N135" i="4"/>
  <c r="O135" i="4"/>
  <c r="J136" i="4"/>
  <c r="X136" i="4" s="1"/>
  <c r="N136" i="4"/>
  <c r="O136" i="4"/>
  <c r="J137" i="4"/>
  <c r="X137" i="4" s="1"/>
  <c r="N137" i="4"/>
  <c r="O137" i="4"/>
  <c r="J138" i="4"/>
  <c r="X138" i="4" s="1"/>
  <c r="N138" i="4"/>
  <c r="O138" i="4"/>
  <c r="J139" i="4"/>
  <c r="X139" i="4" s="1"/>
  <c r="N139" i="4"/>
  <c r="O139" i="4"/>
  <c r="J140" i="4"/>
  <c r="X140" i="4" s="1"/>
  <c r="N140" i="4"/>
  <c r="O140" i="4"/>
  <c r="J141" i="4"/>
  <c r="X141" i="4" s="1"/>
  <c r="N141" i="4"/>
  <c r="O141" i="4"/>
  <c r="J142" i="4"/>
  <c r="X142" i="4" s="1"/>
  <c r="N142" i="4"/>
  <c r="O142" i="4"/>
  <c r="J143" i="4"/>
  <c r="X143" i="4" s="1"/>
  <c r="N143" i="4"/>
  <c r="O143" i="4"/>
  <c r="J144" i="4"/>
  <c r="X144" i="4" s="1"/>
  <c r="N144" i="4"/>
  <c r="O144" i="4"/>
  <c r="J145" i="4"/>
  <c r="X145" i="4" s="1"/>
  <c r="N145" i="4"/>
  <c r="O145" i="4"/>
  <c r="J146" i="4"/>
  <c r="X146" i="4" s="1"/>
  <c r="N146" i="4"/>
  <c r="O146" i="4"/>
  <c r="J147" i="4"/>
  <c r="X147" i="4" s="1"/>
  <c r="N147" i="4"/>
  <c r="O147" i="4"/>
  <c r="J148" i="4"/>
  <c r="X148" i="4" s="1"/>
  <c r="N148" i="4"/>
  <c r="O148" i="4"/>
  <c r="J149" i="4"/>
  <c r="X149" i="4" s="1"/>
  <c r="N149" i="4"/>
  <c r="O149" i="4"/>
  <c r="J150" i="4"/>
  <c r="X150" i="4" s="1"/>
  <c r="N150" i="4"/>
  <c r="O150" i="4"/>
  <c r="J151" i="4"/>
  <c r="X151" i="4" s="1"/>
  <c r="N151" i="4"/>
  <c r="O151" i="4"/>
  <c r="J152" i="4"/>
  <c r="X152" i="4" s="1"/>
  <c r="N152" i="4"/>
  <c r="O152" i="4"/>
  <c r="J153" i="4"/>
  <c r="X153" i="4" s="1"/>
  <c r="N153" i="4"/>
  <c r="O153" i="4"/>
  <c r="J154" i="4"/>
  <c r="X154" i="4" s="1"/>
  <c r="N154" i="4"/>
  <c r="O154" i="4"/>
  <c r="J155" i="4"/>
  <c r="X155" i="4" s="1"/>
  <c r="N155" i="4"/>
  <c r="O155" i="4"/>
  <c r="J156" i="4"/>
  <c r="X156" i="4" s="1"/>
  <c r="N156" i="4"/>
  <c r="O156" i="4"/>
  <c r="J157" i="4"/>
  <c r="X157" i="4" s="1"/>
  <c r="N157" i="4"/>
  <c r="O157" i="4"/>
  <c r="J158" i="4"/>
  <c r="X158" i="4" s="1"/>
  <c r="N158" i="4"/>
  <c r="O158" i="4"/>
  <c r="J159" i="4"/>
  <c r="X159" i="4" s="1"/>
  <c r="N159" i="4"/>
  <c r="O159" i="4"/>
  <c r="J160" i="4"/>
  <c r="X160" i="4" s="1"/>
  <c r="N160" i="4"/>
  <c r="O160" i="4"/>
  <c r="J161" i="4"/>
  <c r="X161" i="4" s="1"/>
  <c r="N161" i="4"/>
  <c r="O161" i="4"/>
  <c r="J162" i="4"/>
  <c r="X162" i="4" s="1"/>
  <c r="N162" i="4"/>
  <c r="O162" i="4"/>
  <c r="J163" i="4"/>
  <c r="X163" i="4" s="1"/>
  <c r="N163" i="4"/>
  <c r="O163" i="4"/>
  <c r="J164" i="4"/>
  <c r="X164" i="4" s="1"/>
  <c r="N164" i="4"/>
  <c r="O164" i="4"/>
  <c r="J165" i="4"/>
  <c r="X165" i="4" s="1"/>
  <c r="N165" i="4"/>
  <c r="O165" i="4"/>
  <c r="J166" i="4"/>
  <c r="X166" i="4" s="1"/>
  <c r="N166" i="4"/>
  <c r="O166" i="4"/>
  <c r="J167" i="4"/>
  <c r="X167" i="4" s="1"/>
  <c r="N167" i="4"/>
  <c r="O167" i="4"/>
  <c r="J168" i="4"/>
  <c r="X168" i="4" s="1"/>
  <c r="N168" i="4"/>
  <c r="O168" i="4"/>
  <c r="J169" i="4"/>
  <c r="X169" i="4" s="1"/>
  <c r="N169" i="4"/>
  <c r="O169" i="4"/>
  <c r="J170" i="4"/>
  <c r="X170" i="4" s="1"/>
  <c r="N170" i="4"/>
  <c r="O170" i="4"/>
  <c r="J171" i="4"/>
  <c r="X171" i="4" s="1"/>
  <c r="N171" i="4"/>
  <c r="O171" i="4"/>
  <c r="J172" i="4"/>
  <c r="X172" i="4" s="1"/>
  <c r="N172" i="4"/>
  <c r="O172" i="4"/>
  <c r="J173" i="4"/>
  <c r="X173" i="4" s="1"/>
  <c r="N173" i="4"/>
  <c r="O173" i="4"/>
  <c r="J174" i="4"/>
  <c r="X174" i="4" s="1"/>
  <c r="N174" i="4"/>
  <c r="O174" i="4"/>
  <c r="J175" i="4"/>
  <c r="X175" i="4" s="1"/>
  <c r="N175" i="4"/>
  <c r="O175" i="4"/>
  <c r="J176" i="4"/>
  <c r="X176" i="4" s="1"/>
  <c r="N176" i="4"/>
  <c r="O176" i="4"/>
  <c r="J177" i="4"/>
  <c r="X177" i="4" s="1"/>
  <c r="N177" i="4"/>
  <c r="O177" i="4"/>
  <c r="J178" i="4"/>
  <c r="X178" i="4" s="1"/>
  <c r="N178" i="4"/>
  <c r="O178" i="4"/>
  <c r="J179" i="4"/>
  <c r="X179" i="4" s="1"/>
  <c r="N179" i="4"/>
  <c r="O179" i="4"/>
  <c r="J180" i="4"/>
  <c r="X180" i="4" s="1"/>
  <c r="N180" i="4"/>
  <c r="O180" i="4"/>
  <c r="J181" i="4"/>
  <c r="X181" i="4" s="1"/>
  <c r="N181" i="4"/>
  <c r="O181" i="4"/>
  <c r="J182" i="4"/>
  <c r="X182" i="4" s="1"/>
  <c r="N182" i="4"/>
  <c r="O182" i="4"/>
  <c r="J183" i="4"/>
  <c r="X183" i="4" s="1"/>
  <c r="N183" i="4"/>
  <c r="O183" i="4"/>
  <c r="J184" i="4"/>
  <c r="X184" i="4" s="1"/>
  <c r="N184" i="4"/>
  <c r="O184" i="4"/>
  <c r="J185" i="4"/>
  <c r="X185" i="4" s="1"/>
  <c r="N185" i="4"/>
  <c r="O185" i="4"/>
  <c r="J186" i="4"/>
  <c r="X186" i="4" s="1"/>
  <c r="N186" i="4"/>
  <c r="O186" i="4"/>
  <c r="J187" i="4"/>
  <c r="X187" i="4" s="1"/>
  <c r="N187" i="4"/>
  <c r="O187" i="4"/>
  <c r="J188" i="4"/>
  <c r="X188" i="4" s="1"/>
  <c r="N188" i="4"/>
  <c r="O188" i="4"/>
  <c r="J189" i="4"/>
  <c r="X189" i="4" s="1"/>
  <c r="N189" i="4"/>
  <c r="O189" i="4"/>
  <c r="J190" i="4"/>
  <c r="X190" i="4" s="1"/>
  <c r="N190" i="4"/>
  <c r="O190" i="4"/>
  <c r="J191" i="4"/>
  <c r="X191" i="4" s="1"/>
  <c r="N191" i="4"/>
  <c r="O191" i="4"/>
  <c r="J192" i="4"/>
  <c r="X192" i="4" s="1"/>
  <c r="N192" i="4"/>
  <c r="O192" i="4"/>
  <c r="J193" i="4"/>
  <c r="X193" i="4" s="1"/>
  <c r="N193" i="4"/>
  <c r="O193" i="4"/>
  <c r="J194" i="4"/>
  <c r="X194" i="4" s="1"/>
  <c r="N194" i="4"/>
  <c r="O194" i="4"/>
  <c r="J195" i="4"/>
  <c r="X195" i="4" s="1"/>
  <c r="N195" i="4"/>
  <c r="O195" i="4"/>
  <c r="J196" i="4"/>
  <c r="X196" i="4" s="1"/>
  <c r="N196" i="4"/>
  <c r="O196" i="4"/>
  <c r="J197" i="4"/>
  <c r="X197" i="4" s="1"/>
  <c r="N197" i="4"/>
  <c r="O197" i="4"/>
  <c r="J198" i="4"/>
  <c r="X198" i="4" s="1"/>
  <c r="N198" i="4"/>
  <c r="O198" i="4"/>
  <c r="J199" i="4"/>
  <c r="X199" i="4" s="1"/>
  <c r="N199" i="4"/>
  <c r="O199" i="4"/>
  <c r="J200" i="4"/>
  <c r="X200" i="4" s="1"/>
  <c r="N200" i="4"/>
  <c r="O200" i="4"/>
  <c r="J201" i="4"/>
  <c r="X201" i="4" s="1"/>
  <c r="N201" i="4"/>
  <c r="O201" i="4"/>
  <c r="J202" i="4"/>
  <c r="X202" i="4" s="1"/>
  <c r="N202" i="4"/>
  <c r="O202" i="4"/>
  <c r="J203" i="4"/>
  <c r="X203" i="4" s="1"/>
  <c r="N203" i="4"/>
  <c r="O203" i="4"/>
  <c r="J204" i="4"/>
  <c r="X204" i="4" s="1"/>
  <c r="N204" i="4"/>
  <c r="O204" i="4"/>
  <c r="J205" i="4"/>
  <c r="X205" i="4" s="1"/>
  <c r="N205" i="4"/>
  <c r="O205" i="4"/>
  <c r="J206" i="4"/>
  <c r="X206" i="4" s="1"/>
  <c r="N206" i="4"/>
  <c r="O206" i="4"/>
  <c r="J207" i="4"/>
  <c r="X207" i="4" s="1"/>
  <c r="N207" i="4"/>
  <c r="O207" i="4"/>
  <c r="J208" i="4"/>
  <c r="X208" i="4" s="1"/>
  <c r="N208" i="4"/>
  <c r="O208" i="4"/>
  <c r="J209" i="4"/>
  <c r="X209" i="4" s="1"/>
  <c r="N209" i="4"/>
  <c r="O209" i="4"/>
  <c r="J210" i="4"/>
  <c r="X210" i="4" s="1"/>
  <c r="N210" i="4"/>
  <c r="O210" i="4"/>
  <c r="J211" i="4"/>
  <c r="X211" i="4" s="1"/>
  <c r="N211" i="4"/>
  <c r="O211" i="4"/>
  <c r="J212" i="4"/>
  <c r="X212" i="4" s="1"/>
  <c r="N212" i="4"/>
  <c r="O212" i="4"/>
  <c r="J213" i="4"/>
  <c r="X213" i="4" s="1"/>
  <c r="N213" i="4"/>
  <c r="O213" i="4"/>
  <c r="J214" i="4"/>
  <c r="X214" i="4" s="1"/>
  <c r="N214" i="4"/>
  <c r="O214" i="4"/>
  <c r="J215" i="4"/>
  <c r="X215" i="4" s="1"/>
  <c r="N215" i="4"/>
  <c r="O215" i="4"/>
  <c r="J216" i="4"/>
  <c r="X216" i="4" s="1"/>
  <c r="N216" i="4"/>
  <c r="O216" i="4"/>
  <c r="J217" i="4"/>
  <c r="X217" i="4" s="1"/>
  <c r="N217" i="4"/>
  <c r="O217" i="4"/>
  <c r="J218" i="4"/>
  <c r="X218" i="4" s="1"/>
  <c r="N218" i="4"/>
  <c r="O218" i="4"/>
  <c r="J219" i="4"/>
  <c r="X219" i="4" s="1"/>
  <c r="N219" i="4"/>
  <c r="O219" i="4"/>
  <c r="J220" i="4"/>
  <c r="X220" i="4" s="1"/>
  <c r="N220" i="4"/>
  <c r="O220" i="4"/>
  <c r="J221" i="4"/>
  <c r="X221" i="4" s="1"/>
  <c r="N221" i="4"/>
  <c r="O221" i="4"/>
  <c r="J222" i="4"/>
  <c r="X222" i="4" s="1"/>
  <c r="N222" i="4"/>
  <c r="O222" i="4"/>
  <c r="J223" i="4"/>
  <c r="X223" i="4" s="1"/>
  <c r="N223" i="4"/>
  <c r="O223" i="4"/>
  <c r="J224" i="4"/>
  <c r="X224" i="4" s="1"/>
  <c r="N224" i="4"/>
  <c r="O224" i="4"/>
  <c r="J225" i="4"/>
  <c r="X225" i="4" s="1"/>
  <c r="N225" i="4"/>
  <c r="O225" i="4"/>
  <c r="J226" i="4"/>
  <c r="X226" i="4" s="1"/>
  <c r="N226" i="4"/>
  <c r="O226" i="4"/>
  <c r="J227" i="4"/>
  <c r="X227" i="4" s="1"/>
  <c r="N227" i="4"/>
  <c r="O227" i="4"/>
  <c r="J228" i="4"/>
  <c r="X228" i="4" s="1"/>
  <c r="N228" i="4"/>
  <c r="O228" i="4"/>
  <c r="J229" i="4"/>
  <c r="X229" i="4" s="1"/>
  <c r="N229" i="4"/>
  <c r="O229" i="4"/>
  <c r="J230" i="4"/>
  <c r="X230" i="4" s="1"/>
  <c r="N230" i="4"/>
  <c r="O230" i="4"/>
  <c r="J231" i="4"/>
  <c r="X231" i="4" s="1"/>
  <c r="N231" i="4"/>
  <c r="O231" i="4"/>
  <c r="J232" i="4"/>
  <c r="X232" i="4" s="1"/>
  <c r="N232" i="4"/>
  <c r="O232" i="4"/>
  <c r="J233" i="4"/>
  <c r="X233" i="4" s="1"/>
  <c r="N233" i="4"/>
  <c r="O233" i="4"/>
  <c r="J234" i="4"/>
  <c r="X234" i="4" s="1"/>
  <c r="N234" i="4"/>
  <c r="O234" i="4"/>
  <c r="J235" i="4"/>
  <c r="X235" i="4" s="1"/>
  <c r="N235" i="4"/>
  <c r="O235" i="4"/>
  <c r="J236" i="4"/>
  <c r="X236" i="4" s="1"/>
  <c r="N236" i="4"/>
  <c r="O236" i="4"/>
  <c r="J237" i="4"/>
  <c r="X237" i="4" s="1"/>
  <c r="N237" i="4"/>
  <c r="O237" i="4"/>
  <c r="J238" i="4"/>
  <c r="X238" i="4" s="1"/>
  <c r="N238" i="4"/>
  <c r="O238" i="4"/>
  <c r="J239" i="4"/>
  <c r="X239" i="4" s="1"/>
  <c r="N239" i="4"/>
  <c r="O239" i="4"/>
  <c r="J240" i="4"/>
  <c r="X240" i="4" s="1"/>
  <c r="N240" i="4"/>
  <c r="O240" i="4"/>
  <c r="J241" i="4"/>
  <c r="X241" i="4" s="1"/>
  <c r="N241" i="4"/>
  <c r="O241" i="4"/>
  <c r="J242" i="4"/>
  <c r="X242" i="4" s="1"/>
  <c r="N242" i="4"/>
  <c r="O242" i="4"/>
  <c r="J243" i="4"/>
  <c r="X243" i="4" s="1"/>
  <c r="N243" i="4"/>
  <c r="O243" i="4"/>
  <c r="J244" i="4"/>
  <c r="X244" i="4" s="1"/>
  <c r="N244" i="4"/>
  <c r="O244" i="4"/>
  <c r="J245" i="4"/>
  <c r="X245" i="4" s="1"/>
  <c r="N245" i="4"/>
  <c r="O245" i="4"/>
  <c r="J246" i="4"/>
  <c r="X246" i="4" s="1"/>
  <c r="N246" i="4"/>
  <c r="O246" i="4"/>
  <c r="J247" i="4"/>
  <c r="X247" i="4" s="1"/>
  <c r="N247" i="4"/>
  <c r="O247" i="4"/>
  <c r="J248" i="4"/>
  <c r="X248" i="4" s="1"/>
  <c r="N248" i="4"/>
  <c r="O248" i="4"/>
  <c r="J249" i="4"/>
  <c r="X249" i="4" s="1"/>
  <c r="N249" i="4"/>
  <c r="O249" i="4"/>
  <c r="J250" i="4"/>
  <c r="X250" i="4" s="1"/>
  <c r="N250" i="4"/>
  <c r="O250" i="4"/>
  <c r="J251" i="4"/>
  <c r="X251" i="4" s="1"/>
  <c r="N251" i="4"/>
  <c r="O251" i="4"/>
  <c r="J252" i="4"/>
  <c r="X252" i="4" s="1"/>
  <c r="N252" i="4"/>
  <c r="O252" i="4"/>
  <c r="J253" i="4"/>
  <c r="X253" i="4" s="1"/>
  <c r="N253" i="4"/>
  <c r="O253" i="4"/>
  <c r="J254" i="4"/>
  <c r="X254" i="4" s="1"/>
  <c r="N254" i="4"/>
  <c r="O254" i="4"/>
  <c r="J255" i="4"/>
  <c r="X255" i="4" s="1"/>
  <c r="N255" i="4"/>
  <c r="O255" i="4"/>
  <c r="J256" i="4"/>
  <c r="X256" i="4" s="1"/>
  <c r="N256" i="4"/>
  <c r="O256" i="4"/>
  <c r="J257" i="4"/>
  <c r="X257" i="4" s="1"/>
  <c r="N257" i="4"/>
  <c r="O257" i="4"/>
  <c r="J258" i="4"/>
  <c r="X258" i="4" s="1"/>
  <c r="N258" i="4"/>
  <c r="O258" i="4"/>
  <c r="J259" i="4"/>
  <c r="X259" i="4" s="1"/>
  <c r="N259" i="4"/>
  <c r="O259" i="4"/>
  <c r="J260" i="4"/>
  <c r="X260" i="4" s="1"/>
  <c r="N260" i="4"/>
  <c r="O260" i="4"/>
  <c r="J261" i="4"/>
  <c r="X261" i="4" s="1"/>
  <c r="N261" i="4"/>
  <c r="O261" i="4"/>
  <c r="J262" i="4"/>
  <c r="X262" i="4" s="1"/>
  <c r="N262" i="4"/>
  <c r="O262" i="4"/>
  <c r="J263" i="4"/>
  <c r="X263" i="4" s="1"/>
  <c r="N263" i="4"/>
  <c r="O263" i="4"/>
  <c r="J264" i="4"/>
  <c r="X264" i="4" s="1"/>
  <c r="N264" i="4"/>
  <c r="O264" i="4"/>
  <c r="J265" i="4"/>
  <c r="X265" i="4" s="1"/>
  <c r="N265" i="4"/>
  <c r="O265" i="4"/>
  <c r="J266" i="4"/>
  <c r="X266" i="4" s="1"/>
  <c r="N266" i="4"/>
  <c r="O266" i="4"/>
  <c r="J267" i="4"/>
  <c r="X267" i="4" s="1"/>
  <c r="N267" i="4"/>
  <c r="O267" i="4"/>
  <c r="J268" i="4"/>
  <c r="X268" i="4" s="1"/>
  <c r="N268" i="4"/>
  <c r="O268" i="4"/>
  <c r="J269" i="4"/>
  <c r="X269" i="4" s="1"/>
  <c r="N269" i="4"/>
  <c r="O269" i="4"/>
  <c r="J270" i="4"/>
  <c r="X270" i="4" s="1"/>
  <c r="N270" i="4"/>
  <c r="O270" i="4"/>
  <c r="J271" i="4"/>
  <c r="X271" i="4" s="1"/>
  <c r="N271" i="4"/>
  <c r="O271" i="4"/>
  <c r="J272" i="4"/>
  <c r="X272" i="4" s="1"/>
  <c r="N272" i="4"/>
  <c r="O272" i="4"/>
  <c r="J273" i="4"/>
  <c r="X273" i="4" s="1"/>
  <c r="N273" i="4"/>
  <c r="O273" i="4"/>
  <c r="J274" i="4"/>
  <c r="X274" i="4" s="1"/>
  <c r="N274" i="4"/>
  <c r="O274" i="4"/>
  <c r="J275" i="4"/>
  <c r="X275" i="4" s="1"/>
  <c r="N275" i="4"/>
  <c r="O275" i="4"/>
  <c r="J276" i="4"/>
  <c r="X276" i="4" s="1"/>
  <c r="N276" i="4"/>
  <c r="O276" i="4"/>
  <c r="J277" i="4"/>
  <c r="X277" i="4" s="1"/>
  <c r="N277" i="4"/>
  <c r="O277" i="4"/>
  <c r="J278" i="4"/>
  <c r="X278" i="4" s="1"/>
  <c r="N278" i="4"/>
  <c r="O278" i="4"/>
  <c r="J279" i="4"/>
  <c r="X279" i="4" s="1"/>
  <c r="N279" i="4"/>
  <c r="O279" i="4"/>
  <c r="J280" i="4"/>
  <c r="X280" i="4" s="1"/>
  <c r="N280" i="4"/>
  <c r="O280" i="4"/>
  <c r="J281" i="4"/>
  <c r="X281" i="4" s="1"/>
  <c r="N281" i="4"/>
  <c r="O281" i="4"/>
  <c r="J282" i="4"/>
  <c r="X282" i="4" s="1"/>
  <c r="N282" i="4"/>
  <c r="O282" i="4"/>
  <c r="J283" i="4"/>
  <c r="X283" i="4" s="1"/>
  <c r="N283" i="4"/>
  <c r="O283" i="4"/>
  <c r="J284" i="4"/>
  <c r="X284" i="4" s="1"/>
  <c r="N284" i="4"/>
  <c r="O284" i="4"/>
  <c r="J285" i="4"/>
  <c r="X285" i="4" s="1"/>
  <c r="N285" i="4"/>
  <c r="O285" i="4"/>
  <c r="J286" i="4"/>
  <c r="X286" i="4" s="1"/>
  <c r="N286" i="4"/>
  <c r="O286" i="4"/>
  <c r="J287" i="4"/>
  <c r="X287" i="4" s="1"/>
  <c r="N287" i="4"/>
  <c r="O287" i="4"/>
  <c r="J288" i="4"/>
  <c r="X288" i="4" s="1"/>
  <c r="N288" i="4"/>
  <c r="O288" i="4"/>
  <c r="J289" i="4"/>
  <c r="X289" i="4" s="1"/>
  <c r="N289" i="4"/>
  <c r="O289" i="4"/>
  <c r="J290" i="4"/>
  <c r="X290" i="4" s="1"/>
  <c r="N290" i="4"/>
  <c r="O290" i="4"/>
  <c r="J291" i="4"/>
  <c r="X291" i="4" s="1"/>
  <c r="N291" i="4"/>
  <c r="O291" i="4"/>
  <c r="J292" i="4"/>
  <c r="X292" i="4" s="1"/>
  <c r="N292" i="4"/>
  <c r="O292" i="4"/>
  <c r="J293" i="4"/>
  <c r="X293" i="4" s="1"/>
  <c r="N293" i="4"/>
  <c r="O293" i="4"/>
  <c r="J294" i="4"/>
  <c r="X294" i="4" s="1"/>
  <c r="N294" i="4"/>
  <c r="O294" i="4"/>
  <c r="J295" i="4"/>
  <c r="X295" i="4" s="1"/>
  <c r="N295" i="4"/>
  <c r="O295" i="4"/>
  <c r="J296" i="4"/>
  <c r="X296" i="4" s="1"/>
  <c r="N296" i="4"/>
  <c r="O296" i="4"/>
  <c r="J297" i="4"/>
  <c r="X297" i="4" s="1"/>
  <c r="N297" i="4"/>
  <c r="O297" i="4"/>
  <c r="J298" i="4"/>
  <c r="X298" i="4" s="1"/>
  <c r="N298" i="4"/>
  <c r="O298" i="4"/>
  <c r="J299" i="4"/>
  <c r="X299" i="4" s="1"/>
  <c r="N299" i="4"/>
  <c r="O299" i="4"/>
  <c r="J300" i="4"/>
  <c r="X300" i="4" s="1"/>
  <c r="N300" i="4"/>
  <c r="O300" i="4"/>
  <c r="J301" i="4"/>
  <c r="X301" i="4" s="1"/>
  <c r="N301" i="4"/>
  <c r="O301" i="4"/>
  <c r="J302" i="4"/>
  <c r="X302" i="4" s="1"/>
  <c r="N302" i="4"/>
  <c r="O302" i="4"/>
  <c r="J303" i="4"/>
  <c r="X303" i="4" s="1"/>
  <c r="N303" i="4"/>
  <c r="O303" i="4"/>
  <c r="J304" i="4"/>
  <c r="X304" i="4" s="1"/>
  <c r="N304" i="4"/>
  <c r="O304" i="4"/>
  <c r="J305" i="4"/>
  <c r="X305" i="4" s="1"/>
  <c r="N305" i="4"/>
  <c r="O305" i="4"/>
  <c r="J306" i="4"/>
  <c r="X306" i="4" s="1"/>
  <c r="N306" i="4"/>
  <c r="O306" i="4"/>
  <c r="J307" i="4"/>
  <c r="X307" i="4" s="1"/>
  <c r="N307" i="4"/>
  <c r="O307" i="4"/>
  <c r="J308" i="4"/>
  <c r="X308" i="4" s="1"/>
  <c r="N308" i="4"/>
  <c r="O308" i="4"/>
  <c r="J309" i="4"/>
  <c r="X309" i="4" s="1"/>
  <c r="N309" i="4"/>
  <c r="O309" i="4"/>
  <c r="J310" i="4"/>
  <c r="X310" i="4" s="1"/>
  <c r="N310" i="4"/>
  <c r="O310" i="4"/>
  <c r="J311" i="4"/>
  <c r="X311" i="4" s="1"/>
  <c r="N311" i="4"/>
  <c r="O311" i="4"/>
  <c r="J312" i="4"/>
  <c r="X312" i="4" s="1"/>
  <c r="N312" i="4"/>
  <c r="O312" i="4"/>
  <c r="J313" i="4"/>
  <c r="X313" i="4" s="1"/>
  <c r="N313" i="4"/>
  <c r="O313" i="4"/>
  <c r="J314" i="4"/>
  <c r="X314" i="4" s="1"/>
  <c r="N314" i="4"/>
  <c r="O314" i="4"/>
  <c r="J315" i="4"/>
  <c r="X315" i="4" s="1"/>
  <c r="N315" i="4"/>
  <c r="O315" i="4"/>
  <c r="J316" i="4"/>
  <c r="X316" i="4" s="1"/>
  <c r="N316" i="4"/>
  <c r="O316" i="4"/>
  <c r="J317" i="4"/>
  <c r="X317" i="4" s="1"/>
  <c r="N317" i="4"/>
  <c r="O317" i="4"/>
  <c r="J318" i="4"/>
  <c r="X318" i="4" s="1"/>
  <c r="N318" i="4"/>
  <c r="O318" i="4"/>
  <c r="J319" i="4"/>
  <c r="X319" i="4" s="1"/>
  <c r="N319" i="4"/>
  <c r="O319" i="4"/>
  <c r="J320" i="4"/>
  <c r="X320" i="4" s="1"/>
  <c r="N320" i="4"/>
  <c r="O320" i="4"/>
  <c r="J321" i="4"/>
  <c r="X321" i="4" s="1"/>
  <c r="N321" i="4"/>
  <c r="O321" i="4"/>
  <c r="J322" i="4"/>
  <c r="X322" i="4" s="1"/>
  <c r="N322" i="4"/>
  <c r="O322" i="4"/>
  <c r="J323" i="4"/>
  <c r="X323" i="4" s="1"/>
  <c r="N323" i="4"/>
  <c r="O323" i="4"/>
  <c r="J324" i="4"/>
  <c r="X324" i="4" s="1"/>
  <c r="N324" i="4"/>
  <c r="O324" i="4"/>
  <c r="J325" i="4"/>
  <c r="X325" i="4" s="1"/>
  <c r="N325" i="4"/>
  <c r="O325" i="4"/>
  <c r="J326" i="4"/>
  <c r="X326" i="4" s="1"/>
  <c r="N326" i="4"/>
  <c r="O326" i="4"/>
  <c r="J327" i="4"/>
  <c r="X327" i="4" s="1"/>
  <c r="N327" i="4"/>
  <c r="O327" i="4"/>
  <c r="J328" i="4"/>
  <c r="X328" i="4" s="1"/>
  <c r="N328" i="4"/>
  <c r="O328" i="4"/>
  <c r="J329" i="4"/>
  <c r="X329" i="4" s="1"/>
  <c r="N329" i="4"/>
  <c r="O329" i="4"/>
  <c r="J330" i="4"/>
  <c r="X330" i="4" s="1"/>
  <c r="N330" i="4"/>
  <c r="O330" i="4"/>
  <c r="J331" i="4"/>
  <c r="X331" i="4" s="1"/>
  <c r="N331" i="4"/>
  <c r="O331" i="4"/>
  <c r="J332" i="4"/>
  <c r="X332" i="4" s="1"/>
  <c r="N332" i="4"/>
  <c r="O332" i="4"/>
  <c r="J333" i="4"/>
  <c r="X333" i="4" s="1"/>
  <c r="N333" i="4"/>
  <c r="O333" i="4"/>
  <c r="J334" i="4"/>
  <c r="X334" i="4" s="1"/>
  <c r="N334" i="4"/>
  <c r="O334" i="4"/>
  <c r="J335" i="4"/>
  <c r="X335" i="4" s="1"/>
  <c r="N335" i="4"/>
  <c r="O335" i="4"/>
  <c r="J336" i="4"/>
  <c r="X336" i="4" s="1"/>
  <c r="N336" i="4"/>
  <c r="O336" i="4"/>
  <c r="J337" i="4"/>
  <c r="X337" i="4" s="1"/>
  <c r="N337" i="4"/>
  <c r="O337" i="4"/>
  <c r="J338" i="4"/>
  <c r="X338" i="4" s="1"/>
  <c r="N338" i="4"/>
  <c r="O338" i="4"/>
  <c r="J339" i="4"/>
  <c r="X339" i="4" s="1"/>
  <c r="N339" i="4"/>
  <c r="O339" i="4"/>
  <c r="J340" i="4"/>
  <c r="X340" i="4" s="1"/>
  <c r="N340" i="4"/>
  <c r="O340" i="4"/>
  <c r="J341" i="4"/>
  <c r="X341" i="4" s="1"/>
  <c r="N341" i="4"/>
  <c r="O341" i="4"/>
  <c r="J342" i="4"/>
  <c r="X342" i="4" s="1"/>
  <c r="N342" i="4"/>
  <c r="O342" i="4"/>
  <c r="J343" i="4"/>
  <c r="X343" i="4" s="1"/>
  <c r="N343" i="4"/>
  <c r="O343" i="4"/>
  <c r="J344" i="4"/>
  <c r="X344" i="4" s="1"/>
  <c r="N344" i="4"/>
  <c r="O344" i="4"/>
  <c r="J345" i="4"/>
  <c r="X345" i="4" s="1"/>
  <c r="N345" i="4"/>
  <c r="O345" i="4"/>
  <c r="J346" i="4"/>
  <c r="X346" i="4" s="1"/>
  <c r="N346" i="4"/>
  <c r="O346" i="4"/>
  <c r="J347" i="4"/>
  <c r="X347" i="4" s="1"/>
  <c r="N347" i="4"/>
  <c r="O347" i="4"/>
  <c r="J348" i="4"/>
  <c r="X348" i="4" s="1"/>
  <c r="N348" i="4"/>
  <c r="O348" i="4"/>
  <c r="J349" i="4"/>
  <c r="X349" i="4" s="1"/>
  <c r="N349" i="4"/>
  <c r="O349" i="4"/>
  <c r="J350" i="4"/>
  <c r="X350" i="4" s="1"/>
  <c r="N350" i="4"/>
  <c r="O350" i="4"/>
  <c r="J351" i="4"/>
  <c r="X351" i="4" s="1"/>
  <c r="N351" i="4"/>
  <c r="O351" i="4"/>
  <c r="J352" i="4"/>
  <c r="X352" i="4" s="1"/>
  <c r="N352" i="4"/>
  <c r="O352" i="4"/>
  <c r="J353" i="4"/>
  <c r="X353" i="4" s="1"/>
  <c r="N353" i="4"/>
  <c r="O353" i="4"/>
  <c r="J354" i="4"/>
  <c r="X354" i="4" s="1"/>
  <c r="N354" i="4"/>
  <c r="O354" i="4"/>
  <c r="J355" i="4"/>
  <c r="X355" i="4" s="1"/>
  <c r="N355" i="4"/>
  <c r="O355" i="4"/>
  <c r="J356" i="4"/>
  <c r="X356" i="4" s="1"/>
  <c r="N356" i="4"/>
  <c r="O356" i="4"/>
  <c r="J357" i="4"/>
  <c r="X357" i="4" s="1"/>
  <c r="N357" i="4"/>
  <c r="O357" i="4"/>
  <c r="J358" i="4"/>
  <c r="X358" i="4" s="1"/>
  <c r="N358" i="4"/>
  <c r="O358" i="4"/>
  <c r="J359" i="4"/>
  <c r="X359" i="4" s="1"/>
  <c r="N359" i="4"/>
  <c r="O359" i="4"/>
  <c r="J360" i="4"/>
  <c r="X360" i="4" s="1"/>
  <c r="N360" i="4"/>
  <c r="O360" i="4"/>
  <c r="J361" i="4"/>
  <c r="X361" i="4" s="1"/>
  <c r="N361" i="4"/>
  <c r="O361" i="4"/>
  <c r="J362" i="4"/>
  <c r="X362" i="4" s="1"/>
  <c r="N362" i="4"/>
  <c r="O362" i="4"/>
  <c r="J363" i="4"/>
  <c r="X363" i="4" s="1"/>
  <c r="N363" i="4"/>
  <c r="O363" i="4"/>
  <c r="J364" i="4"/>
  <c r="X364" i="4" s="1"/>
  <c r="N364" i="4"/>
  <c r="O364" i="4"/>
  <c r="J365" i="4"/>
  <c r="X365" i="4" s="1"/>
  <c r="N365" i="4"/>
  <c r="O365" i="4"/>
  <c r="J366" i="4"/>
  <c r="X366" i="4" s="1"/>
  <c r="N366" i="4"/>
  <c r="O366" i="4"/>
  <c r="J367" i="4"/>
  <c r="X367" i="4" s="1"/>
  <c r="N367" i="4"/>
  <c r="O367" i="4"/>
  <c r="J368" i="4"/>
  <c r="X368" i="4" s="1"/>
  <c r="N368" i="4"/>
  <c r="O368" i="4"/>
  <c r="J369" i="4"/>
  <c r="X369" i="4" s="1"/>
  <c r="N369" i="4"/>
  <c r="O369" i="4"/>
  <c r="J370" i="4"/>
  <c r="X370" i="4" s="1"/>
  <c r="N370" i="4"/>
  <c r="O370" i="4"/>
  <c r="J371" i="4"/>
  <c r="X371" i="4" s="1"/>
  <c r="N371" i="4"/>
  <c r="O371" i="4"/>
  <c r="J372" i="4"/>
  <c r="X372" i="4" s="1"/>
  <c r="N372" i="4"/>
  <c r="O372" i="4"/>
  <c r="J373" i="4"/>
  <c r="X373" i="4" s="1"/>
  <c r="N373" i="4"/>
  <c r="O373" i="4"/>
  <c r="J374" i="4"/>
  <c r="X374" i="4" s="1"/>
  <c r="N374" i="4"/>
  <c r="O374" i="4"/>
  <c r="J375" i="4"/>
  <c r="X375" i="4" s="1"/>
  <c r="N375" i="4"/>
  <c r="O375" i="4"/>
  <c r="J376" i="4"/>
  <c r="X376" i="4" s="1"/>
  <c r="N376" i="4"/>
  <c r="O376" i="4"/>
  <c r="J377" i="4"/>
  <c r="X377" i="4" s="1"/>
  <c r="N377" i="4"/>
  <c r="O377" i="4"/>
  <c r="J378" i="4"/>
  <c r="X378" i="4" s="1"/>
  <c r="N378" i="4"/>
  <c r="O378" i="4"/>
  <c r="J379" i="4"/>
  <c r="X379" i="4" s="1"/>
  <c r="N379" i="4"/>
  <c r="O379" i="4"/>
  <c r="J380" i="4"/>
  <c r="X380" i="4" s="1"/>
  <c r="N380" i="4"/>
  <c r="O380" i="4"/>
  <c r="J381" i="4"/>
  <c r="X381" i="4" s="1"/>
  <c r="N381" i="4"/>
  <c r="O381" i="4"/>
  <c r="J382" i="4"/>
  <c r="X382" i="4" s="1"/>
  <c r="N382" i="4"/>
  <c r="O382" i="4"/>
  <c r="J383" i="4"/>
  <c r="X383" i="4" s="1"/>
  <c r="N383" i="4"/>
  <c r="O383" i="4"/>
  <c r="J384" i="4"/>
  <c r="X384" i="4" s="1"/>
  <c r="N384" i="4"/>
  <c r="O384" i="4"/>
  <c r="J385" i="4"/>
  <c r="X385" i="4" s="1"/>
  <c r="N385" i="4"/>
  <c r="O385" i="4"/>
  <c r="J386" i="4"/>
  <c r="X386" i="4" s="1"/>
  <c r="N386" i="4"/>
  <c r="O386" i="4"/>
  <c r="J387" i="4"/>
  <c r="X387" i="4" s="1"/>
  <c r="N387" i="4"/>
  <c r="O387" i="4"/>
  <c r="J388" i="4"/>
  <c r="X388" i="4" s="1"/>
  <c r="N388" i="4"/>
  <c r="O388" i="4"/>
  <c r="J389" i="4"/>
  <c r="X389" i="4" s="1"/>
  <c r="N389" i="4"/>
  <c r="O389" i="4"/>
  <c r="J390" i="4"/>
  <c r="X390" i="4" s="1"/>
  <c r="N390" i="4"/>
  <c r="O390" i="4"/>
  <c r="J391" i="4"/>
  <c r="X391" i="4" s="1"/>
  <c r="N391" i="4"/>
  <c r="O391" i="4"/>
  <c r="J392" i="4"/>
  <c r="X392" i="4" s="1"/>
  <c r="N392" i="4"/>
  <c r="O392" i="4"/>
  <c r="J393" i="4"/>
  <c r="X393" i="4" s="1"/>
  <c r="N393" i="4"/>
  <c r="O393" i="4"/>
  <c r="J394" i="4"/>
  <c r="X394" i="4" s="1"/>
  <c r="N394" i="4"/>
  <c r="O394" i="4"/>
  <c r="J395" i="4"/>
  <c r="X395" i="4" s="1"/>
  <c r="N395" i="4"/>
  <c r="O395" i="4"/>
  <c r="J396" i="4"/>
  <c r="X396" i="4" s="1"/>
  <c r="N396" i="4"/>
  <c r="O396" i="4"/>
  <c r="J397" i="4"/>
  <c r="X397" i="4" s="1"/>
  <c r="N397" i="4"/>
  <c r="O397" i="4"/>
  <c r="J398" i="4"/>
  <c r="X398" i="4" s="1"/>
  <c r="N398" i="4"/>
  <c r="O398" i="4"/>
  <c r="J399" i="4"/>
  <c r="X399" i="4" s="1"/>
  <c r="N399" i="4"/>
  <c r="O399" i="4"/>
  <c r="J400" i="4"/>
  <c r="X400" i="4" s="1"/>
  <c r="N400" i="4"/>
  <c r="O400" i="4"/>
  <c r="J401" i="4"/>
  <c r="X401" i="4" s="1"/>
  <c r="N401" i="4"/>
  <c r="O401" i="4"/>
  <c r="J402" i="4"/>
  <c r="X402" i="4" s="1"/>
  <c r="N402" i="4"/>
  <c r="O402" i="4"/>
  <c r="J403" i="4"/>
  <c r="X403" i="4" s="1"/>
  <c r="N403" i="4"/>
  <c r="O403" i="4"/>
  <c r="J404" i="4"/>
  <c r="X404" i="4" s="1"/>
  <c r="N404" i="4"/>
  <c r="O404" i="4"/>
  <c r="J405" i="4"/>
  <c r="X405" i="4" s="1"/>
  <c r="N405" i="4"/>
  <c r="O405" i="4"/>
  <c r="J406" i="4"/>
  <c r="X406" i="4" s="1"/>
  <c r="N406" i="4"/>
  <c r="O406" i="4"/>
  <c r="J407" i="4"/>
  <c r="X407" i="4" s="1"/>
  <c r="N407" i="4"/>
  <c r="O407" i="4"/>
  <c r="J408" i="4"/>
  <c r="X408" i="4" s="1"/>
  <c r="N408" i="4"/>
  <c r="O408" i="4"/>
  <c r="J409" i="4"/>
  <c r="X409" i="4" s="1"/>
  <c r="N409" i="4"/>
  <c r="O409" i="4"/>
  <c r="J410" i="4"/>
  <c r="X410" i="4" s="1"/>
  <c r="N410" i="4"/>
  <c r="O410" i="4"/>
  <c r="J411" i="4"/>
  <c r="X411" i="4" s="1"/>
  <c r="N411" i="4"/>
  <c r="O411" i="4"/>
  <c r="J412" i="4"/>
  <c r="X412" i="4" s="1"/>
  <c r="N412" i="4"/>
  <c r="O412" i="4"/>
  <c r="J413" i="4"/>
  <c r="X413" i="4" s="1"/>
  <c r="N413" i="4"/>
  <c r="O413" i="4"/>
  <c r="J414" i="4"/>
  <c r="X414" i="4" s="1"/>
  <c r="N414" i="4"/>
  <c r="O414" i="4"/>
  <c r="J415" i="4"/>
  <c r="X415" i="4" s="1"/>
  <c r="N415" i="4"/>
  <c r="O415" i="4"/>
  <c r="J416" i="4"/>
  <c r="X416" i="4" s="1"/>
  <c r="N416" i="4"/>
  <c r="O416" i="4"/>
  <c r="J417" i="4"/>
  <c r="X417" i="4" s="1"/>
  <c r="N417" i="4"/>
  <c r="O417" i="4"/>
  <c r="J418" i="4"/>
  <c r="X418" i="4" s="1"/>
  <c r="N418" i="4"/>
  <c r="O418" i="4"/>
  <c r="J419" i="4"/>
  <c r="X419" i="4" s="1"/>
  <c r="N419" i="4"/>
  <c r="O419" i="4"/>
  <c r="J420" i="4"/>
  <c r="X420" i="4" s="1"/>
  <c r="N420" i="4"/>
  <c r="O420" i="4"/>
  <c r="J421" i="4"/>
  <c r="X421" i="4" s="1"/>
  <c r="N421" i="4"/>
  <c r="O421" i="4"/>
  <c r="J422" i="4"/>
  <c r="X422" i="4" s="1"/>
  <c r="N422" i="4"/>
  <c r="O422" i="4"/>
  <c r="J423" i="4"/>
  <c r="X423" i="4" s="1"/>
  <c r="N423" i="4"/>
  <c r="O423" i="4"/>
  <c r="J424" i="4"/>
  <c r="X424" i="4" s="1"/>
  <c r="N424" i="4"/>
  <c r="O424" i="4"/>
  <c r="J425" i="4"/>
  <c r="X425" i="4" s="1"/>
  <c r="N425" i="4"/>
  <c r="O425" i="4"/>
  <c r="J426" i="4"/>
  <c r="X426" i="4" s="1"/>
  <c r="N426" i="4"/>
  <c r="O426" i="4"/>
  <c r="J427" i="4"/>
  <c r="X427" i="4" s="1"/>
  <c r="N427" i="4"/>
  <c r="O427" i="4"/>
  <c r="J428" i="4"/>
  <c r="X428" i="4" s="1"/>
  <c r="N428" i="4"/>
  <c r="O428" i="4"/>
  <c r="J429" i="4"/>
  <c r="X429" i="4" s="1"/>
  <c r="N429" i="4"/>
  <c r="O429" i="4"/>
  <c r="J430" i="4"/>
  <c r="X430" i="4" s="1"/>
  <c r="N430" i="4"/>
  <c r="O430" i="4"/>
  <c r="J431" i="4"/>
  <c r="X431" i="4" s="1"/>
  <c r="N431" i="4"/>
  <c r="O431" i="4"/>
  <c r="J432" i="4"/>
  <c r="X432" i="4" s="1"/>
  <c r="N432" i="4"/>
  <c r="O432" i="4"/>
  <c r="J433" i="4"/>
  <c r="X433" i="4" s="1"/>
  <c r="N433" i="4"/>
  <c r="O433" i="4"/>
  <c r="J434" i="4"/>
  <c r="X434" i="4" s="1"/>
  <c r="N434" i="4"/>
  <c r="O434" i="4"/>
  <c r="J435" i="4"/>
  <c r="X435" i="4" s="1"/>
  <c r="N435" i="4"/>
  <c r="O435" i="4"/>
  <c r="J436" i="4"/>
  <c r="X436" i="4" s="1"/>
  <c r="N436" i="4"/>
  <c r="O436" i="4"/>
  <c r="J437" i="4"/>
  <c r="X437" i="4" s="1"/>
  <c r="N437" i="4"/>
  <c r="O437" i="4"/>
  <c r="J438" i="4"/>
  <c r="X438" i="4" s="1"/>
  <c r="N438" i="4"/>
  <c r="O438" i="4"/>
  <c r="J439" i="4"/>
  <c r="X439" i="4" s="1"/>
  <c r="N439" i="4"/>
  <c r="O439" i="4"/>
  <c r="J440" i="4"/>
  <c r="X440" i="4" s="1"/>
  <c r="N440" i="4"/>
  <c r="O440" i="4"/>
  <c r="J441" i="4"/>
  <c r="X441" i="4" s="1"/>
  <c r="N441" i="4"/>
  <c r="O441" i="4"/>
  <c r="J442" i="4"/>
  <c r="X442" i="4" s="1"/>
  <c r="N442" i="4"/>
  <c r="O442" i="4"/>
  <c r="J443" i="4"/>
  <c r="X443" i="4" s="1"/>
  <c r="N443" i="4"/>
  <c r="O443" i="4"/>
  <c r="J444" i="4"/>
  <c r="X444" i="4" s="1"/>
  <c r="N444" i="4"/>
  <c r="O444" i="4"/>
  <c r="J445" i="4"/>
  <c r="X445" i="4" s="1"/>
  <c r="N445" i="4"/>
  <c r="O445" i="4"/>
  <c r="J446" i="4"/>
  <c r="X446" i="4" s="1"/>
  <c r="N446" i="4"/>
  <c r="O446" i="4"/>
  <c r="J447" i="4"/>
  <c r="X447" i="4" s="1"/>
  <c r="N447" i="4"/>
  <c r="O447" i="4"/>
  <c r="J448" i="4"/>
  <c r="X448" i="4" s="1"/>
  <c r="N448" i="4"/>
  <c r="O448" i="4"/>
  <c r="J449" i="4"/>
  <c r="X449" i="4" s="1"/>
  <c r="N449" i="4"/>
  <c r="O449" i="4"/>
  <c r="J450" i="4"/>
  <c r="X450" i="4" s="1"/>
  <c r="N450" i="4"/>
  <c r="O450" i="4"/>
  <c r="J451" i="4"/>
  <c r="X451" i="4" s="1"/>
  <c r="N451" i="4"/>
  <c r="O451" i="4"/>
  <c r="J452" i="4"/>
  <c r="X452" i="4" s="1"/>
  <c r="N452" i="4"/>
  <c r="O452" i="4"/>
  <c r="J453" i="4"/>
  <c r="X453" i="4" s="1"/>
  <c r="N453" i="4"/>
  <c r="O453" i="4"/>
  <c r="J454" i="4"/>
  <c r="X454" i="4" s="1"/>
  <c r="N454" i="4"/>
  <c r="O454" i="4"/>
  <c r="J455" i="4"/>
  <c r="X455" i="4" s="1"/>
  <c r="N455" i="4"/>
  <c r="O455" i="4"/>
  <c r="J456" i="4"/>
  <c r="X456" i="4" s="1"/>
  <c r="N456" i="4"/>
  <c r="O456" i="4"/>
  <c r="J457" i="4"/>
  <c r="X457" i="4" s="1"/>
  <c r="N457" i="4"/>
  <c r="O457" i="4"/>
  <c r="J458" i="4"/>
  <c r="X458" i="4" s="1"/>
  <c r="N458" i="4"/>
  <c r="O458" i="4"/>
  <c r="J459" i="4"/>
  <c r="X459" i="4" s="1"/>
  <c r="N459" i="4"/>
  <c r="O459" i="4"/>
  <c r="J460" i="4"/>
  <c r="X460" i="4" s="1"/>
  <c r="N460" i="4"/>
  <c r="O460" i="4"/>
  <c r="J461" i="4"/>
  <c r="X461" i="4" s="1"/>
  <c r="N461" i="4"/>
  <c r="O461" i="4"/>
  <c r="J462" i="4"/>
  <c r="X462" i="4" s="1"/>
  <c r="N462" i="4"/>
  <c r="O462" i="4"/>
  <c r="J463" i="4"/>
  <c r="X463" i="4" s="1"/>
  <c r="N463" i="4"/>
  <c r="O463" i="4"/>
  <c r="J464" i="4"/>
  <c r="X464" i="4" s="1"/>
  <c r="N464" i="4"/>
  <c r="O464" i="4"/>
  <c r="J465" i="4"/>
  <c r="X465" i="4" s="1"/>
  <c r="N465" i="4"/>
  <c r="O465" i="4"/>
  <c r="J466" i="4"/>
  <c r="X466" i="4" s="1"/>
  <c r="N466" i="4"/>
  <c r="O466" i="4"/>
  <c r="J467" i="4"/>
  <c r="X467" i="4" s="1"/>
  <c r="N467" i="4"/>
  <c r="O467" i="4"/>
  <c r="J468" i="4"/>
  <c r="X468" i="4" s="1"/>
  <c r="N468" i="4"/>
  <c r="O468" i="4"/>
  <c r="J469" i="4"/>
  <c r="X469" i="4" s="1"/>
  <c r="N469" i="4"/>
  <c r="O469" i="4"/>
  <c r="J470" i="4"/>
  <c r="X470" i="4" s="1"/>
  <c r="N470" i="4"/>
  <c r="O470" i="4"/>
  <c r="J471" i="4"/>
  <c r="X471" i="4" s="1"/>
  <c r="N471" i="4"/>
  <c r="O471" i="4"/>
  <c r="J472" i="4"/>
  <c r="X472" i="4" s="1"/>
  <c r="N472" i="4"/>
  <c r="O472" i="4"/>
  <c r="J473" i="4"/>
  <c r="X473" i="4" s="1"/>
  <c r="N473" i="4"/>
  <c r="O473" i="4"/>
  <c r="J474" i="4"/>
  <c r="X474" i="4" s="1"/>
  <c r="N474" i="4"/>
  <c r="O474" i="4"/>
  <c r="J475" i="4"/>
  <c r="X475" i="4" s="1"/>
  <c r="N475" i="4"/>
  <c r="O475" i="4"/>
  <c r="J476" i="4"/>
  <c r="X476" i="4" s="1"/>
  <c r="N476" i="4"/>
  <c r="O476" i="4"/>
  <c r="J477" i="4"/>
  <c r="X477" i="4" s="1"/>
  <c r="N477" i="4"/>
  <c r="O477" i="4"/>
  <c r="J478" i="4"/>
  <c r="X478" i="4" s="1"/>
  <c r="N478" i="4"/>
  <c r="O478" i="4"/>
  <c r="J479" i="4"/>
  <c r="X479" i="4" s="1"/>
  <c r="N479" i="4"/>
  <c r="O479" i="4"/>
  <c r="J480" i="4"/>
  <c r="X480" i="4" s="1"/>
  <c r="N480" i="4"/>
  <c r="O480" i="4"/>
  <c r="J481" i="4"/>
  <c r="X481" i="4" s="1"/>
  <c r="N481" i="4"/>
  <c r="O481" i="4"/>
  <c r="J482" i="4"/>
  <c r="X482" i="4" s="1"/>
  <c r="N482" i="4"/>
  <c r="O482" i="4"/>
  <c r="J483" i="4"/>
  <c r="X483" i="4" s="1"/>
  <c r="N483" i="4"/>
  <c r="O483" i="4"/>
  <c r="J484" i="4"/>
  <c r="X484" i="4" s="1"/>
  <c r="N484" i="4"/>
  <c r="O484" i="4"/>
  <c r="J485" i="4"/>
  <c r="X485" i="4" s="1"/>
  <c r="N485" i="4"/>
  <c r="O485" i="4"/>
  <c r="J486" i="4"/>
  <c r="X486" i="4" s="1"/>
  <c r="N486" i="4"/>
  <c r="O486" i="4"/>
  <c r="J487" i="4"/>
  <c r="X487" i="4" s="1"/>
  <c r="N487" i="4"/>
  <c r="O487" i="4"/>
  <c r="J488" i="4"/>
  <c r="X488" i="4" s="1"/>
  <c r="N488" i="4"/>
  <c r="O488" i="4"/>
  <c r="J489" i="4"/>
  <c r="X489" i="4" s="1"/>
  <c r="N489" i="4"/>
  <c r="O489" i="4"/>
  <c r="J490" i="4"/>
  <c r="X490" i="4" s="1"/>
  <c r="N490" i="4"/>
  <c r="O490" i="4"/>
  <c r="J491" i="4"/>
  <c r="X491" i="4" s="1"/>
  <c r="N491" i="4"/>
  <c r="O491" i="4"/>
  <c r="J492" i="4"/>
  <c r="X492" i="4" s="1"/>
  <c r="N492" i="4"/>
  <c r="O492" i="4"/>
  <c r="J493" i="4"/>
  <c r="X493" i="4" s="1"/>
  <c r="N493" i="4"/>
  <c r="O493" i="4"/>
  <c r="J494" i="4"/>
  <c r="X494" i="4" s="1"/>
  <c r="N494" i="4"/>
  <c r="O494" i="4"/>
  <c r="J495" i="4"/>
  <c r="X495" i="4" s="1"/>
  <c r="N495" i="4"/>
  <c r="O495" i="4"/>
  <c r="J496" i="4"/>
  <c r="X496" i="4" s="1"/>
  <c r="N496" i="4"/>
  <c r="O496" i="4"/>
  <c r="J497" i="4"/>
  <c r="X497" i="4" s="1"/>
  <c r="N497" i="4"/>
  <c r="O497" i="4"/>
  <c r="J498" i="4"/>
  <c r="X498" i="4" s="1"/>
  <c r="N498" i="4"/>
  <c r="O498" i="4"/>
  <c r="J499" i="4"/>
  <c r="X499" i="4" s="1"/>
  <c r="N499" i="4"/>
  <c r="O499" i="4"/>
  <c r="J500" i="4"/>
  <c r="X500" i="4" s="1"/>
  <c r="N500" i="4"/>
  <c r="O500" i="4"/>
  <c r="J501" i="4"/>
  <c r="X501" i="4" s="1"/>
  <c r="N501" i="4"/>
  <c r="O501" i="4"/>
  <c r="J502" i="4"/>
  <c r="X502" i="4" s="1"/>
  <c r="N502" i="4"/>
  <c r="O502" i="4"/>
  <c r="J503" i="4"/>
  <c r="X503" i="4" s="1"/>
  <c r="N503" i="4"/>
  <c r="O503" i="4"/>
  <c r="J504" i="4"/>
  <c r="X504" i="4" s="1"/>
  <c r="N504" i="4"/>
  <c r="O504" i="4"/>
  <c r="J505" i="4"/>
  <c r="X505" i="4" s="1"/>
  <c r="N505" i="4"/>
  <c r="O505" i="4"/>
  <c r="J506" i="4"/>
  <c r="X506" i="4" s="1"/>
  <c r="N506" i="4"/>
  <c r="O506" i="4"/>
  <c r="J507" i="4"/>
  <c r="X507" i="4" s="1"/>
  <c r="N507" i="4"/>
  <c r="O507" i="4"/>
  <c r="J508" i="4"/>
  <c r="X508" i="4" s="1"/>
  <c r="N508" i="4"/>
  <c r="O508" i="4"/>
  <c r="J509" i="4"/>
  <c r="X509" i="4" s="1"/>
  <c r="N509" i="4"/>
  <c r="O509" i="4"/>
  <c r="J510" i="4"/>
  <c r="X510" i="4" s="1"/>
  <c r="N510" i="4"/>
  <c r="O510" i="4"/>
  <c r="J511" i="4"/>
  <c r="X511" i="4" s="1"/>
  <c r="N511" i="4"/>
  <c r="O511" i="4"/>
  <c r="J512" i="4"/>
  <c r="X512" i="4" s="1"/>
  <c r="N512" i="4"/>
  <c r="O512" i="4"/>
  <c r="J513" i="4"/>
  <c r="X513" i="4" s="1"/>
  <c r="N513" i="4"/>
  <c r="O513" i="4"/>
  <c r="J514" i="4"/>
  <c r="X514" i="4" s="1"/>
  <c r="N514" i="4"/>
  <c r="O514" i="4"/>
  <c r="J515" i="4"/>
  <c r="X515" i="4" s="1"/>
  <c r="N515" i="4"/>
  <c r="O515" i="4"/>
  <c r="J516" i="4"/>
  <c r="X516" i="4" s="1"/>
  <c r="N516" i="4"/>
  <c r="O516" i="4"/>
  <c r="J517" i="4"/>
  <c r="X517" i="4" s="1"/>
  <c r="N517" i="4"/>
  <c r="O517" i="4"/>
  <c r="J518" i="4"/>
  <c r="X518" i="4" s="1"/>
  <c r="N518" i="4"/>
  <c r="O518" i="4"/>
  <c r="J519" i="4"/>
  <c r="X519" i="4" s="1"/>
  <c r="N519" i="4"/>
  <c r="O519" i="4"/>
  <c r="J520" i="4"/>
  <c r="X520" i="4" s="1"/>
  <c r="N520" i="4"/>
  <c r="O520" i="4"/>
  <c r="J521" i="4"/>
  <c r="X521" i="4" s="1"/>
  <c r="N521" i="4"/>
  <c r="O521" i="4"/>
  <c r="J522" i="4"/>
  <c r="X522" i="4" s="1"/>
  <c r="N522" i="4"/>
  <c r="O522" i="4"/>
  <c r="J523" i="4"/>
  <c r="X523" i="4" s="1"/>
  <c r="N523" i="4"/>
  <c r="O523" i="4"/>
  <c r="J524" i="4"/>
  <c r="X524" i="4" s="1"/>
  <c r="N524" i="4"/>
  <c r="O524" i="4"/>
  <c r="J525" i="4"/>
  <c r="X525" i="4" s="1"/>
  <c r="N525" i="4"/>
  <c r="O525" i="4"/>
  <c r="J526" i="4"/>
  <c r="X526" i="4" s="1"/>
  <c r="N526" i="4"/>
  <c r="O526" i="4"/>
  <c r="J527" i="4"/>
  <c r="X527" i="4" s="1"/>
  <c r="N527" i="4"/>
  <c r="O527" i="4"/>
  <c r="J528" i="4"/>
  <c r="X528" i="4" s="1"/>
  <c r="N528" i="4"/>
  <c r="O528" i="4"/>
  <c r="J529" i="4"/>
  <c r="X529" i="4" s="1"/>
  <c r="N529" i="4"/>
  <c r="O529" i="4"/>
  <c r="J530" i="4"/>
  <c r="X530" i="4" s="1"/>
  <c r="N530" i="4"/>
  <c r="O530" i="4"/>
  <c r="J531" i="4"/>
  <c r="X531" i="4" s="1"/>
  <c r="N531" i="4"/>
  <c r="O531" i="4"/>
  <c r="J532" i="4"/>
  <c r="X532" i="4" s="1"/>
  <c r="N532" i="4"/>
  <c r="O532" i="4"/>
  <c r="J533" i="4"/>
  <c r="X533" i="4" s="1"/>
  <c r="N533" i="4"/>
  <c r="O533" i="4"/>
  <c r="J534" i="4"/>
  <c r="X534" i="4" s="1"/>
  <c r="N534" i="4"/>
  <c r="O534" i="4"/>
  <c r="J535" i="4"/>
  <c r="X535" i="4" s="1"/>
  <c r="N535" i="4"/>
  <c r="O535" i="4"/>
  <c r="J536" i="4"/>
  <c r="X536" i="4" s="1"/>
  <c r="N536" i="4"/>
  <c r="O536" i="4"/>
  <c r="J537" i="4"/>
  <c r="X537" i="4" s="1"/>
  <c r="N537" i="4"/>
  <c r="O537" i="4"/>
  <c r="J538" i="4"/>
  <c r="X538" i="4" s="1"/>
  <c r="N538" i="4"/>
  <c r="O538" i="4"/>
  <c r="J539" i="4"/>
  <c r="X539" i="4" s="1"/>
  <c r="N539" i="4"/>
  <c r="O539" i="4"/>
  <c r="J540" i="4"/>
  <c r="X540" i="4" s="1"/>
  <c r="N540" i="4"/>
  <c r="O540" i="4"/>
  <c r="J541" i="4"/>
  <c r="X541" i="4" s="1"/>
  <c r="N541" i="4"/>
  <c r="O541" i="4"/>
  <c r="J542" i="4"/>
  <c r="X542" i="4" s="1"/>
  <c r="N542" i="4"/>
  <c r="O542" i="4"/>
  <c r="J543" i="4"/>
  <c r="X543" i="4" s="1"/>
  <c r="N543" i="4"/>
  <c r="O543" i="4"/>
  <c r="J544" i="4"/>
  <c r="X544" i="4" s="1"/>
  <c r="N544" i="4"/>
  <c r="O544" i="4"/>
  <c r="J545" i="4"/>
  <c r="X545" i="4" s="1"/>
  <c r="N545" i="4"/>
  <c r="O545" i="4"/>
  <c r="J546" i="4"/>
  <c r="X546" i="4" s="1"/>
  <c r="N546" i="4"/>
  <c r="O546" i="4"/>
  <c r="J547" i="4"/>
  <c r="X547" i="4" s="1"/>
  <c r="N547" i="4"/>
  <c r="O547" i="4"/>
  <c r="J548" i="4"/>
  <c r="X548" i="4" s="1"/>
  <c r="N548" i="4"/>
  <c r="O548" i="4"/>
  <c r="J549" i="4"/>
  <c r="X549" i="4" s="1"/>
  <c r="N549" i="4"/>
  <c r="O549" i="4"/>
  <c r="J550" i="4"/>
  <c r="X550" i="4" s="1"/>
  <c r="N550" i="4"/>
  <c r="O550" i="4"/>
  <c r="J551" i="4"/>
  <c r="X551" i="4" s="1"/>
  <c r="N551" i="4"/>
  <c r="O551" i="4"/>
  <c r="J552" i="4"/>
  <c r="X552" i="4" s="1"/>
  <c r="N552" i="4"/>
  <c r="O552" i="4"/>
  <c r="J553" i="4"/>
  <c r="X553" i="4" s="1"/>
  <c r="N553" i="4"/>
  <c r="O553" i="4"/>
  <c r="J554" i="4"/>
  <c r="X554" i="4" s="1"/>
  <c r="N554" i="4"/>
  <c r="O554" i="4"/>
  <c r="J555" i="4"/>
  <c r="X555" i="4" s="1"/>
  <c r="N555" i="4"/>
  <c r="O555" i="4"/>
  <c r="J556" i="4"/>
  <c r="X556" i="4" s="1"/>
  <c r="N556" i="4"/>
  <c r="O556" i="4"/>
  <c r="J557" i="4"/>
  <c r="X557" i="4" s="1"/>
  <c r="N557" i="4"/>
  <c r="O557" i="4"/>
  <c r="J558" i="4"/>
  <c r="X558" i="4" s="1"/>
  <c r="N558" i="4"/>
  <c r="O558" i="4"/>
  <c r="J559" i="4"/>
  <c r="X559" i="4" s="1"/>
  <c r="N559" i="4"/>
  <c r="O559" i="4"/>
  <c r="J560" i="4"/>
  <c r="X560" i="4" s="1"/>
  <c r="N560" i="4"/>
  <c r="O560" i="4"/>
  <c r="J561" i="4"/>
  <c r="X561" i="4" s="1"/>
  <c r="N561" i="4"/>
  <c r="O561" i="4"/>
  <c r="J562" i="4"/>
  <c r="X562" i="4" s="1"/>
  <c r="N562" i="4"/>
  <c r="O562" i="4"/>
  <c r="J563" i="4"/>
  <c r="X563" i="4" s="1"/>
  <c r="N563" i="4"/>
  <c r="O563" i="4"/>
  <c r="J564" i="4"/>
  <c r="X564" i="4" s="1"/>
  <c r="N564" i="4"/>
  <c r="O564" i="4"/>
  <c r="J565" i="4"/>
  <c r="X565" i="4" s="1"/>
  <c r="N565" i="4"/>
  <c r="O565" i="4"/>
  <c r="J566" i="4"/>
  <c r="X566" i="4" s="1"/>
  <c r="N566" i="4"/>
  <c r="O566" i="4"/>
  <c r="J567" i="4"/>
  <c r="X567" i="4" s="1"/>
  <c r="N567" i="4"/>
  <c r="O567" i="4"/>
  <c r="J568" i="4"/>
  <c r="X568" i="4" s="1"/>
  <c r="N568" i="4"/>
  <c r="O568" i="4"/>
  <c r="J569" i="4"/>
  <c r="X569" i="4" s="1"/>
  <c r="N569" i="4"/>
  <c r="O569" i="4"/>
  <c r="J570" i="4"/>
  <c r="X570" i="4" s="1"/>
  <c r="N570" i="4"/>
  <c r="O570" i="4"/>
  <c r="J571" i="4"/>
  <c r="X571" i="4" s="1"/>
  <c r="N571" i="4"/>
  <c r="O571" i="4"/>
  <c r="J572" i="4"/>
  <c r="X572" i="4" s="1"/>
  <c r="N572" i="4"/>
  <c r="O572" i="4"/>
  <c r="J573" i="4"/>
  <c r="X573" i="4" s="1"/>
  <c r="N573" i="4"/>
  <c r="O573" i="4"/>
  <c r="J574" i="4"/>
  <c r="X574" i="4" s="1"/>
  <c r="N574" i="4"/>
  <c r="O574" i="4"/>
  <c r="J575" i="4"/>
  <c r="X575" i="4" s="1"/>
  <c r="N575" i="4"/>
  <c r="O575" i="4"/>
  <c r="J576" i="4"/>
  <c r="X576" i="4" s="1"/>
  <c r="N576" i="4"/>
  <c r="O576" i="4"/>
  <c r="J577" i="4"/>
  <c r="X577" i="4" s="1"/>
  <c r="N577" i="4"/>
  <c r="O577" i="4"/>
  <c r="J578" i="4"/>
  <c r="X578" i="4" s="1"/>
  <c r="N578" i="4"/>
  <c r="O578" i="4"/>
  <c r="J579" i="4"/>
  <c r="X579" i="4" s="1"/>
  <c r="N579" i="4"/>
  <c r="O579" i="4"/>
  <c r="J580" i="4"/>
  <c r="X580" i="4" s="1"/>
  <c r="N580" i="4"/>
  <c r="O580" i="4"/>
  <c r="J581" i="4"/>
  <c r="X581" i="4" s="1"/>
  <c r="N581" i="4"/>
  <c r="O581" i="4"/>
  <c r="J582" i="4"/>
  <c r="X582" i="4" s="1"/>
  <c r="N582" i="4"/>
  <c r="O582" i="4"/>
  <c r="J583" i="4"/>
  <c r="X583" i="4" s="1"/>
  <c r="N583" i="4"/>
  <c r="O583" i="4"/>
  <c r="J584" i="4"/>
  <c r="X584" i="4" s="1"/>
  <c r="N584" i="4"/>
  <c r="O584" i="4"/>
  <c r="J585" i="4"/>
  <c r="X585" i="4" s="1"/>
  <c r="N585" i="4"/>
  <c r="O585" i="4"/>
  <c r="J586" i="4"/>
  <c r="X586" i="4" s="1"/>
  <c r="N586" i="4"/>
  <c r="O586" i="4"/>
  <c r="J587" i="4"/>
  <c r="X587" i="4" s="1"/>
  <c r="N587" i="4"/>
  <c r="O587" i="4"/>
  <c r="J588" i="4"/>
  <c r="X588" i="4" s="1"/>
  <c r="N588" i="4"/>
  <c r="O588" i="4"/>
  <c r="J589" i="4"/>
  <c r="X589" i="4" s="1"/>
  <c r="N589" i="4"/>
  <c r="O589" i="4"/>
  <c r="J590" i="4"/>
  <c r="X590" i="4" s="1"/>
  <c r="N590" i="4"/>
  <c r="O590" i="4"/>
  <c r="J591" i="4"/>
  <c r="X591" i="4" s="1"/>
  <c r="N591" i="4"/>
  <c r="O591" i="4"/>
  <c r="J592" i="4"/>
  <c r="X592" i="4" s="1"/>
  <c r="N592" i="4"/>
  <c r="O592" i="4"/>
  <c r="J593" i="4"/>
  <c r="X593" i="4" s="1"/>
  <c r="N593" i="4"/>
  <c r="O593" i="4"/>
  <c r="J594" i="4"/>
  <c r="X594" i="4" s="1"/>
  <c r="N594" i="4"/>
  <c r="O594" i="4"/>
  <c r="J595" i="4"/>
  <c r="X595" i="4" s="1"/>
  <c r="N595" i="4"/>
  <c r="O595" i="4"/>
  <c r="J596" i="4"/>
  <c r="X596" i="4" s="1"/>
  <c r="N596" i="4"/>
  <c r="O596" i="4"/>
  <c r="J597" i="4"/>
  <c r="X597" i="4" s="1"/>
  <c r="N597" i="4"/>
  <c r="O597" i="4"/>
  <c r="J598" i="4"/>
  <c r="X598" i="4" s="1"/>
  <c r="N598" i="4"/>
  <c r="O598" i="4"/>
  <c r="J599" i="4"/>
  <c r="X599" i="4" s="1"/>
  <c r="N599" i="4"/>
  <c r="O599" i="4"/>
  <c r="J600" i="4"/>
  <c r="X600" i="4" s="1"/>
  <c r="N600" i="4"/>
  <c r="O600" i="4"/>
  <c r="J601" i="4"/>
  <c r="X601" i="4" s="1"/>
  <c r="N601" i="4"/>
  <c r="O601" i="4"/>
  <c r="J602" i="4"/>
  <c r="X602" i="4" s="1"/>
  <c r="N602" i="4"/>
  <c r="O602" i="4"/>
  <c r="J603" i="4"/>
  <c r="X603" i="4" s="1"/>
  <c r="N603" i="4"/>
  <c r="O603" i="4"/>
  <c r="J604" i="4"/>
  <c r="X604" i="4" s="1"/>
  <c r="N604" i="4"/>
  <c r="O604" i="4"/>
  <c r="J605" i="4"/>
  <c r="X605" i="4" s="1"/>
  <c r="N605" i="4"/>
  <c r="O605" i="4"/>
  <c r="J606" i="4"/>
  <c r="X606" i="4" s="1"/>
  <c r="N606" i="4"/>
  <c r="O606" i="4"/>
  <c r="J607" i="4"/>
  <c r="X607" i="4" s="1"/>
  <c r="N607" i="4"/>
  <c r="O607" i="4"/>
  <c r="J608" i="4"/>
  <c r="X608" i="4" s="1"/>
  <c r="N608" i="4"/>
  <c r="O608" i="4"/>
  <c r="J609" i="4"/>
  <c r="X609" i="4" s="1"/>
  <c r="N609" i="4"/>
  <c r="O609" i="4"/>
  <c r="J610" i="4"/>
  <c r="X610" i="4" s="1"/>
  <c r="N610" i="4"/>
  <c r="O610" i="4"/>
  <c r="J611" i="4"/>
  <c r="X611" i="4" s="1"/>
  <c r="N611" i="4"/>
  <c r="O611" i="4"/>
  <c r="J612" i="4"/>
  <c r="X612" i="4" s="1"/>
  <c r="N612" i="4"/>
  <c r="O612" i="4"/>
  <c r="J613" i="4"/>
  <c r="X613" i="4" s="1"/>
  <c r="N613" i="4"/>
  <c r="O613" i="4"/>
  <c r="J614" i="4"/>
  <c r="X614" i="4" s="1"/>
  <c r="N614" i="4"/>
  <c r="O614" i="4"/>
  <c r="J615" i="4"/>
  <c r="X615" i="4" s="1"/>
  <c r="N615" i="4"/>
  <c r="O615" i="4"/>
  <c r="J616" i="4"/>
  <c r="X616" i="4" s="1"/>
  <c r="N616" i="4"/>
  <c r="O616" i="4"/>
  <c r="J617" i="4"/>
  <c r="X617" i="4" s="1"/>
  <c r="N617" i="4"/>
  <c r="O617" i="4"/>
  <c r="J618" i="4"/>
  <c r="X618" i="4" s="1"/>
  <c r="N618" i="4"/>
  <c r="O618" i="4"/>
  <c r="J619" i="4"/>
  <c r="X619" i="4" s="1"/>
  <c r="N619" i="4"/>
  <c r="O619" i="4"/>
  <c r="J620" i="4"/>
  <c r="X620" i="4" s="1"/>
  <c r="N620" i="4"/>
  <c r="O620" i="4"/>
  <c r="J621" i="4"/>
  <c r="X621" i="4" s="1"/>
  <c r="N621" i="4"/>
  <c r="O621" i="4"/>
  <c r="J622" i="4"/>
  <c r="X622" i="4" s="1"/>
  <c r="N622" i="4"/>
  <c r="O622" i="4"/>
  <c r="J623" i="4"/>
  <c r="X623" i="4" s="1"/>
  <c r="N623" i="4"/>
  <c r="O623" i="4"/>
  <c r="J624" i="4"/>
  <c r="X624" i="4" s="1"/>
  <c r="N624" i="4"/>
  <c r="O624" i="4"/>
  <c r="J625" i="4"/>
  <c r="X625" i="4" s="1"/>
  <c r="N625" i="4"/>
  <c r="O625" i="4"/>
  <c r="J626" i="4"/>
  <c r="X626" i="4" s="1"/>
  <c r="N626" i="4"/>
  <c r="O626" i="4"/>
  <c r="J627" i="4"/>
  <c r="X627" i="4" s="1"/>
  <c r="N627" i="4"/>
  <c r="O627" i="4"/>
  <c r="J628" i="4"/>
  <c r="X628" i="4" s="1"/>
  <c r="N628" i="4"/>
  <c r="O628" i="4"/>
  <c r="J629" i="4"/>
  <c r="X629" i="4" s="1"/>
  <c r="N629" i="4"/>
  <c r="O629" i="4"/>
  <c r="J630" i="4"/>
  <c r="X630" i="4" s="1"/>
  <c r="N630" i="4"/>
  <c r="O630" i="4"/>
  <c r="J631" i="4"/>
  <c r="X631" i="4" s="1"/>
  <c r="N631" i="4"/>
  <c r="O631" i="4"/>
  <c r="J632" i="4"/>
  <c r="X632" i="4" s="1"/>
  <c r="N632" i="4"/>
  <c r="O632" i="4"/>
  <c r="J633" i="4"/>
  <c r="X633" i="4" s="1"/>
  <c r="N633" i="4"/>
  <c r="O633" i="4"/>
  <c r="J634" i="4"/>
  <c r="X634" i="4" s="1"/>
  <c r="N634" i="4"/>
  <c r="O634" i="4"/>
  <c r="J635" i="4"/>
  <c r="X635" i="4" s="1"/>
  <c r="N635" i="4"/>
  <c r="O635" i="4"/>
  <c r="J636" i="4"/>
  <c r="X636" i="4" s="1"/>
  <c r="N636" i="4"/>
  <c r="O636" i="4"/>
  <c r="J637" i="4"/>
  <c r="X637" i="4" s="1"/>
  <c r="N637" i="4"/>
  <c r="O637" i="4"/>
  <c r="J638" i="4"/>
  <c r="X638" i="4" s="1"/>
  <c r="N638" i="4"/>
  <c r="O638" i="4"/>
  <c r="J639" i="4"/>
  <c r="X639" i="4" s="1"/>
  <c r="N639" i="4"/>
  <c r="O639" i="4"/>
  <c r="J640" i="4"/>
  <c r="X640" i="4" s="1"/>
  <c r="N640" i="4"/>
  <c r="O640" i="4"/>
  <c r="J641" i="4"/>
  <c r="X641" i="4" s="1"/>
  <c r="N641" i="4"/>
  <c r="O641" i="4"/>
  <c r="J642" i="4"/>
  <c r="X642" i="4" s="1"/>
  <c r="N642" i="4"/>
  <c r="O642" i="4"/>
  <c r="J643" i="4"/>
  <c r="X643" i="4" s="1"/>
  <c r="N643" i="4"/>
  <c r="O643" i="4"/>
  <c r="J644" i="4"/>
  <c r="X644" i="4" s="1"/>
  <c r="N644" i="4"/>
  <c r="O644" i="4"/>
  <c r="J645" i="4"/>
  <c r="X645" i="4" s="1"/>
  <c r="N645" i="4"/>
  <c r="O645" i="4"/>
  <c r="J646" i="4"/>
  <c r="X646" i="4" s="1"/>
  <c r="N646" i="4"/>
  <c r="O646" i="4"/>
  <c r="J647" i="4"/>
  <c r="X647" i="4" s="1"/>
  <c r="N647" i="4"/>
  <c r="O647" i="4"/>
  <c r="J648" i="4"/>
  <c r="X648" i="4" s="1"/>
  <c r="N648" i="4"/>
  <c r="O648" i="4"/>
  <c r="J649" i="4"/>
  <c r="X649" i="4" s="1"/>
  <c r="N649" i="4"/>
  <c r="O649" i="4"/>
  <c r="J650" i="4"/>
  <c r="X650" i="4" s="1"/>
  <c r="N650" i="4"/>
  <c r="O650" i="4"/>
  <c r="J651" i="4"/>
  <c r="X651" i="4" s="1"/>
  <c r="N651" i="4"/>
  <c r="O651" i="4"/>
  <c r="J652" i="4"/>
  <c r="X652" i="4" s="1"/>
  <c r="N652" i="4"/>
  <c r="O652" i="4"/>
  <c r="J653" i="4"/>
  <c r="X653" i="4" s="1"/>
  <c r="N653" i="4"/>
  <c r="O653" i="4"/>
  <c r="J654" i="4"/>
  <c r="X654" i="4" s="1"/>
  <c r="N654" i="4"/>
  <c r="O654" i="4"/>
  <c r="J655" i="4"/>
  <c r="X655" i="4" s="1"/>
  <c r="N655" i="4"/>
  <c r="O655" i="4"/>
  <c r="J656" i="4"/>
  <c r="X656" i="4" s="1"/>
  <c r="N656" i="4"/>
  <c r="O656" i="4"/>
  <c r="J657" i="4"/>
  <c r="X657" i="4" s="1"/>
  <c r="N657" i="4"/>
  <c r="O657" i="4"/>
  <c r="J658" i="4"/>
  <c r="X658" i="4" s="1"/>
  <c r="N658" i="4"/>
  <c r="O658" i="4"/>
  <c r="J659" i="4"/>
  <c r="X659" i="4" s="1"/>
  <c r="N659" i="4"/>
  <c r="O659" i="4"/>
  <c r="J660" i="4"/>
  <c r="X660" i="4" s="1"/>
  <c r="N660" i="4"/>
  <c r="O660" i="4"/>
  <c r="J661" i="4"/>
  <c r="X661" i="4" s="1"/>
  <c r="N661" i="4"/>
  <c r="O661" i="4"/>
  <c r="J662" i="4"/>
  <c r="X662" i="4" s="1"/>
  <c r="N662" i="4"/>
  <c r="O662" i="4"/>
  <c r="J663" i="4"/>
  <c r="X663" i="4" s="1"/>
  <c r="N663" i="4"/>
  <c r="O663" i="4"/>
  <c r="J664" i="4"/>
  <c r="X664" i="4" s="1"/>
  <c r="N664" i="4"/>
  <c r="O664" i="4"/>
  <c r="J665" i="4"/>
  <c r="X665" i="4" s="1"/>
  <c r="N665" i="4"/>
  <c r="O665" i="4"/>
  <c r="J666" i="4"/>
  <c r="X666" i="4" s="1"/>
  <c r="N666" i="4"/>
  <c r="O666" i="4"/>
  <c r="J667" i="4"/>
  <c r="X667" i="4" s="1"/>
  <c r="N667" i="4"/>
  <c r="O667" i="4"/>
  <c r="J668" i="4"/>
  <c r="X668" i="4" s="1"/>
  <c r="N668" i="4"/>
  <c r="O668" i="4"/>
  <c r="J669" i="4"/>
  <c r="X669" i="4" s="1"/>
  <c r="N669" i="4"/>
  <c r="O669" i="4"/>
  <c r="J670" i="4"/>
  <c r="X670" i="4" s="1"/>
  <c r="N670" i="4"/>
  <c r="O670" i="4"/>
  <c r="J671" i="4"/>
  <c r="X671" i="4" s="1"/>
  <c r="N671" i="4"/>
  <c r="O671" i="4"/>
  <c r="J672" i="4"/>
  <c r="X672" i="4" s="1"/>
  <c r="N672" i="4"/>
  <c r="O672" i="4"/>
  <c r="J673" i="4"/>
  <c r="X673" i="4" s="1"/>
  <c r="N673" i="4"/>
  <c r="O673" i="4"/>
  <c r="J674" i="4"/>
  <c r="X674" i="4" s="1"/>
  <c r="N674" i="4"/>
  <c r="O674" i="4"/>
  <c r="J675" i="4"/>
  <c r="X675" i="4" s="1"/>
  <c r="N675" i="4"/>
  <c r="O675" i="4"/>
  <c r="J676" i="4"/>
  <c r="X676" i="4" s="1"/>
  <c r="N676" i="4"/>
  <c r="O676" i="4"/>
  <c r="J677" i="4"/>
  <c r="X677" i="4" s="1"/>
  <c r="N677" i="4"/>
  <c r="O677" i="4"/>
  <c r="J678" i="4"/>
  <c r="X678" i="4" s="1"/>
  <c r="N678" i="4"/>
  <c r="O678" i="4"/>
  <c r="J679" i="4"/>
  <c r="X679" i="4" s="1"/>
  <c r="N679" i="4"/>
  <c r="O679" i="4"/>
  <c r="J680" i="4"/>
  <c r="X680" i="4" s="1"/>
  <c r="N680" i="4"/>
  <c r="O680" i="4"/>
  <c r="J681" i="4"/>
  <c r="X681" i="4" s="1"/>
  <c r="N681" i="4"/>
  <c r="O681" i="4"/>
  <c r="J682" i="4"/>
  <c r="X682" i="4" s="1"/>
  <c r="N682" i="4"/>
  <c r="O682" i="4"/>
  <c r="J683" i="4"/>
  <c r="X683" i="4" s="1"/>
  <c r="N683" i="4"/>
  <c r="O683" i="4"/>
  <c r="J684" i="4"/>
  <c r="X684" i="4" s="1"/>
  <c r="N684" i="4"/>
  <c r="O684" i="4"/>
  <c r="J685" i="4"/>
  <c r="X685" i="4" s="1"/>
  <c r="N685" i="4"/>
  <c r="O685" i="4"/>
  <c r="J686" i="4"/>
  <c r="X686" i="4" s="1"/>
  <c r="N686" i="4"/>
  <c r="O686" i="4"/>
  <c r="J687" i="4"/>
  <c r="X687" i="4" s="1"/>
  <c r="N687" i="4"/>
  <c r="O687" i="4"/>
  <c r="J688" i="4"/>
  <c r="X688" i="4" s="1"/>
  <c r="N688" i="4"/>
  <c r="O688" i="4"/>
  <c r="J689" i="4"/>
  <c r="X689" i="4" s="1"/>
  <c r="N689" i="4"/>
  <c r="O689" i="4"/>
  <c r="J690" i="4"/>
  <c r="X690" i="4" s="1"/>
  <c r="N690" i="4"/>
  <c r="O690" i="4"/>
  <c r="J691" i="4"/>
  <c r="X691" i="4" s="1"/>
  <c r="N691" i="4"/>
  <c r="O691" i="4"/>
  <c r="J692" i="4"/>
  <c r="X692" i="4" s="1"/>
  <c r="N692" i="4"/>
  <c r="O692" i="4"/>
  <c r="J693" i="4"/>
  <c r="X693" i="4" s="1"/>
  <c r="N693" i="4"/>
  <c r="O693" i="4"/>
  <c r="J694" i="4"/>
  <c r="X694" i="4" s="1"/>
  <c r="N694" i="4"/>
  <c r="O694" i="4"/>
  <c r="J695" i="4"/>
  <c r="X695" i="4" s="1"/>
  <c r="N695" i="4"/>
  <c r="O695" i="4"/>
  <c r="J696" i="4"/>
  <c r="X696" i="4" s="1"/>
  <c r="N696" i="4"/>
  <c r="O696" i="4"/>
  <c r="J697" i="4"/>
  <c r="X697" i="4" s="1"/>
  <c r="N697" i="4"/>
  <c r="O697" i="4"/>
  <c r="J698" i="4"/>
  <c r="X698" i="4" s="1"/>
  <c r="N698" i="4"/>
  <c r="O698" i="4"/>
  <c r="J699" i="4"/>
  <c r="X699" i="4" s="1"/>
  <c r="N699" i="4"/>
  <c r="O699" i="4"/>
  <c r="J700" i="4"/>
  <c r="X700" i="4" s="1"/>
  <c r="N700" i="4"/>
  <c r="O700" i="4"/>
  <c r="J701" i="4"/>
  <c r="X701" i="4" s="1"/>
  <c r="N701" i="4"/>
  <c r="O701" i="4"/>
  <c r="J702" i="4"/>
  <c r="X702" i="4" s="1"/>
  <c r="N702" i="4"/>
  <c r="O702" i="4"/>
  <c r="J703" i="4"/>
  <c r="X703" i="4" s="1"/>
  <c r="N703" i="4"/>
  <c r="O703" i="4"/>
  <c r="J704" i="4"/>
  <c r="X704" i="4" s="1"/>
  <c r="N704" i="4"/>
  <c r="O704" i="4"/>
  <c r="J705" i="4"/>
  <c r="X705" i="4" s="1"/>
  <c r="N705" i="4"/>
  <c r="O705" i="4"/>
  <c r="J706" i="4"/>
  <c r="X706" i="4" s="1"/>
  <c r="N706" i="4"/>
  <c r="O706" i="4"/>
  <c r="J707" i="4"/>
  <c r="X707" i="4" s="1"/>
  <c r="N707" i="4"/>
  <c r="O707" i="4"/>
  <c r="J708" i="4"/>
  <c r="X708" i="4" s="1"/>
  <c r="N708" i="4"/>
  <c r="O708" i="4"/>
  <c r="J709" i="4"/>
  <c r="X709" i="4" s="1"/>
  <c r="N709" i="4"/>
  <c r="O709" i="4"/>
  <c r="J710" i="4"/>
  <c r="X710" i="4" s="1"/>
  <c r="N710" i="4"/>
  <c r="O710" i="4"/>
  <c r="J711" i="4"/>
  <c r="X711" i="4" s="1"/>
  <c r="N711" i="4"/>
  <c r="O711" i="4"/>
  <c r="J712" i="4"/>
  <c r="X712" i="4" s="1"/>
  <c r="N712" i="4"/>
  <c r="O712" i="4"/>
  <c r="J713" i="4"/>
  <c r="X713" i="4" s="1"/>
  <c r="N713" i="4"/>
  <c r="O713" i="4"/>
  <c r="J714" i="4"/>
  <c r="X714" i="4" s="1"/>
  <c r="N714" i="4"/>
  <c r="O714" i="4"/>
  <c r="J715" i="4"/>
  <c r="X715" i="4" s="1"/>
  <c r="N715" i="4"/>
  <c r="O715" i="4"/>
  <c r="J716" i="4"/>
  <c r="X716" i="4" s="1"/>
  <c r="N716" i="4"/>
  <c r="O716" i="4"/>
  <c r="J717" i="4"/>
  <c r="X717" i="4" s="1"/>
  <c r="N717" i="4"/>
  <c r="O717" i="4"/>
  <c r="J718" i="4"/>
  <c r="X718" i="4" s="1"/>
  <c r="N718" i="4"/>
  <c r="O718" i="4"/>
  <c r="J719" i="4"/>
  <c r="X719" i="4" s="1"/>
  <c r="N719" i="4"/>
  <c r="O719" i="4"/>
  <c r="J720" i="4"/>
  <c r="X720" i="4" s="1"/>
  <c r="N720" i="4"/>
  <c r="O720" i="4"/>
  <c r="J721" i="4"/>
  <c r="X721" i="4" s="1"/>
  <c r="N721" i="4"/>
  <c r="O721" i="4"/>
  <c r="J722" i="4"/>
  <c r="X722" i="4" s="1"/>
  <c r="N722" i="4"/>
  <c r="O722" i="4"/>
  <c r="J723" i="4"/>
  <c r="X723" i="4" s="1"/>
  <c r="N723" i="4"/>
  <c r="O723" i="4"/>
  <c r="J724" i="4"/>
  <c r="X724" i="4" s="1"/>
  <c r="N724" i="4"/>
  <c r="O724" i="4"/>
  <c r="J725" i="4"/>
  <c r="X725" i="4" s="1"/>
  <c r="N725" i="4"/>
  <c r="O725" i="4"/>
  <c r="J726" i="4"/>
  <c r="X726" i="4" s="1"/>
  <c r="N726" i="4"/>
  <c r="O726" i="4"/>
  <c r="J727" i="4"/>
  <c r="X727" i="4" s="1"/>
  <c r="N727" i="4"/>
  <c r="O727" i="4"/>
  <c r="J728" i="4"/>
  <c r="X728" i="4" s="1"/>
  <c r="N728" i="4"/>
  <c r="O728" i="4"/>
  <c r="J4" i="17"/>
  <c r="K4" i="17"/>
  <c r="L4" i="17"/>
  <c r="M4" i="17"/>
  <c r="N4" i="17"/>
  <c r="O4" i="17"/>
  <c r="P4" i="17"/>
  <c r="Q4" i="17"/>
  <c r="R4" i="17"/>
  <c r="S4" i="17"/>
  <c r="B5" i="17"/>
  <c r="J5" i="17"/>
  <c r="K5" i="17"/>
  <c r="L5" i="17"/>
  <c r="M5" i="17"/>
  <c r="N5" i="17"/>
  <c r="O5" i="17"/>
  <c r="P5" i="17"/>
  <c r="Q5" i="17"/>
  <c r="R5" i="17"/>
  <c r="S5" i="17"/>
  <c r="B6" i="17"/>
  <c r="J6" i="17"/>
  <c r="K6" i="17"/>
  <c r="L6" i="17"/>
  <c r="M6" i="17"/>
  <c r="N6" i="17"/>
  <c r="O6" i="17"/>
  <c r="P6" i="17"/>
  <c r="Q6" i="17"/>
  <c r="R6" i="17"/>
  <c r="S6" i="17"/>
  <c r="B7" i="17"/>
  <c r="J7" i="17"/>
  <c r="K7" i="17"/>
  <c r="L7" i="17"/>
  <c r="M7" i="17"/>
  <c r="N7" i="17"/>
  <c r="O7" i="17"/>
  <c r="P7" i="17"/>
  <c r="Q7" i="17"/>
  <c r="R7" i="17"/>
  <c r="S7" i="17"/>
  <c r="B8" i="17"/>
  <c r="J8" i="17"/>
  <c r="K8" i="17"/>
  <c r="L8" i="17"/>
  <c r="M8" i="17"/>
  <c r="N8" i="17"/>
  <c r="O8" i="17"/>
  <c r="P8" i="17"/>
  <c r="Q8" i="17"/>
  <c r="R8" i="17"/>
  <c r="S8" i="17"/>
  <c r="B9" i="17"/>
  <c r="J9" i="17"/>
  <c r="K9" i="17"/>
  <c r="L9" i="17"/>
  <c r="M9" i="17"/>
  <c r="N9" i="17"/>
  <c r="O9" i="17"/>
  <c r="P9" i="17"/>
  <c r="Q9" i="17"/>
  <c r="R9" i="17"/>
  <c r="S9" i="17"/>
  <c r="B10" i="17"/>
  <c r="J10" i="17"/>
  <c r="K10" i="17"/>
  <c r="L10" i="17"/>
  <c r="M10" i="17"/>
  <c r="N10" i="17"/>
  <c r="O10" i="17"/>
  <c r="P10" i="17"/>
  <c r="Q10" i="17"/>
  <c r="R10" i="17"/>
  <c r="S10" i="17"/>
  <c r="B11" i="17"/>
  <c r="J11" i="17"/>
  <c r="K11" i="17"/>
  <c r="L11" i="17"/>
  <c r="M11" i="17"/>
  <c r="N11" i="17"/>
  <c r="O11" i="17"/>
  <c r="P11" i="17"/>
  <c r="Q11" i="17"/>
  <c r="R11" i="17"/>
  <c r="S11" i="17"/>
  <c r="B12" i="17"/>
  <c r="J12" i="17"/>
  <c r="K12" i="17"/>
  <c r="L12" i="17"/>
  <c r="M12" i="17"/>
  <c r="N12" i="17"/>
  <c r="O12" i="17"/>
  <c r="P12" i="17"/>
  <c r="Q12" i="17"/>
  <c r="R12" i="17"/>
  <c r="S12" i="17"/>
  <c r="B13" i="17"/>
  <c r="J13" i="17"/>
  <c r="K13" i="17"/>
  <c r="L13" i="17"/>
  <c r="M13" i="17"/>
  <c r="N13" i="17"/>
  <c r="O13" i="17"/>
  <c r="P13" i="17"/>
  <c r="Q13" i="17"/>
  <c r="R13" i="17"/>
  <c r="S13" i="17"/>
  <c r="B14" i="17"/>
  <c r="J14" i="17"/>
  <c r="K14" i="17"/>
  <c r="L14" i="17"/>
  <c r="M14" i="17"/>
  <c r="N14" i="17"/>
  <c r="O14" i="17"/>
  <c r="P14" i="17"/>
  <c r="Q14" i="17"/>
  <c r="R14" i="17"/>
  <c r="S14" i="17"/>
  <c r="B15" i="17"/>
  <c r="J15" i="17"/>
  <c r="K15" i="17"/>
  <c r="L15" i="17"/>
  <c r="M15" i="17"/>
  <c r="N15" i="17"/>
  <c r="O15" i="17"/>
  <c r="P15" i="17"/>
  <c r="Q15" i="17"/>
  <c r="R15" i="17"/>
  <c r="S15" i="17"/>
  <c r="Z15" i="17"/>
  <c r="B16" i="17"/>
  <c r="J16" i="17"/>
  <c r="K16" i="17"/>
  <c r="L16" i="17"/>
  <c r="M16" i="17"/>
  <c r="N16" i="17"/>
  <c r="O16" i="17"/>
  <c r="P16" i="17"/>
  <c r="Q16" i="17"/>
  <c r="R16" i="17"/>
  <c r="S16" i="17"/>
  <c r="Z16" i="17"/>
  <c r="B17" i="17"/>
  <c r="J17" i="17"/>
  <c r="K17" i="17"/>
  <c r="L17" i="17"/>
  <c r="M17" i="17"/>
  <c r="N17" i="17"/>
  <c r="O17" i="17"/>
  <c r="P17" i="17"/>
  <c r="Q17" i="17"/>
  <c r="R17" i="17"/>
  <c r="S17" i="17"/>
  <c r="Z17" i="17"/>
  <c r="B18" i="17"/>
  <c r="J18" i="17"/>
  <c r="K18" i="17"/>
  <c r="L18" i="17"/>
  <c r="M18" i="17"/>
  <c r="N18" i="17"/>
  <c r="O18" i="17"/>
  <c r="P18" i="17"/>
  <c r="Q18" i="17"/>
  <c r="R18" i="17"/>
  <c r="S18" i="17"/>
  <c r="Z18" i="17"/>
  <c r="B19" i="17"/>
  <c r="J19" i="17"/>
  <c r="K19" i="17"/>
  <c r="L19" i="17"/>
  <c r="M19" i="17"/>
  <c r="N19" i="17"/>
  <c r="O19" i="17"/>
  <c r="P19" i="17"/>
  <c r="Q19" i="17"/>
  <c r="R19" i="17"/>
  <c r="S19" i="17"/>
  <c r="Z19" i="17"/>
  <c r="B20" i="17"/>
  <c r="J20" i="17"/>
  <c r="K20" i="17"/>
  <c r="L20" i="17"/>
  <c r="M20" i="17"/>
  <c r="N20" i="17"/>
  <c r="O20" i="17"/>
  <c r="P20" i="17"/>
  <c r="Q20" i="17"/>
  <c r="R20" i="17"/>
  <c r="S20" i="17"/>
  <c r="Z20" i="17"/>
  <c r="B21" i="17"/>
  <c r="J21" i="17"/>
  <c r="K21" i="17"/>
  <c r="L21" i="17"/>
  <c r="M21" i="17"/>
  <c r="N21" i="17"/>
  <c r="O21" i="17"/>
  <c r="P21" i="17"/>
  <c r="Q21" i="17"/>
  <c r="R21" i="17"/>
  <c r="S21" i="17"/>
  <c r="Z21" i="17"/>
  <c r="B22" i="17"/>
  <c r="J22" i="17"/>
  <c r="K22" i="17"/>
  <c r="L22" i="17"/>
  <c r="M22" i="17"/>
  <c r="N22" i="17"/>
  <c r="O22" i="17"/>
  <c r="P22" i="17"/>
  <c r="Q22" i="17"/>
  <c r="R22" i="17"/>
  <c r="S22" i="17"/>
  <c r="Z22" i="17"/>
  <c r="B23" i="17"/>
  <c r="J23" i="17"/>
  <c r="K23" i="17"/>
  <c r="L23" i="17"/>
  <c r="M23" i="17"/>
  <c r="N23" i="17"/>
  <c r="O23" i="17"/>
  <c r="P23" i="17"/>
  <c r="Q23" i="17"/>
  <c r="R23" i="17"/>
  <c r="S23" i="17"/>
  <c r="Z23" i="17"/>
  <c r="B24" i="17"/>
  <c r="J24" i="17"/>
  <c r="K24" i="17"/>
  <c r="L24" i="17"/>
  <c r="M24" i="17"/>
  <c r="N24" i="17"/>
  <c r="O24" i="17"/>
  <c r="P24" i="17"/>
  <c r="Q24" i="17"/>
  <c r="R24" i="17"/>
  <c r="S24" i="17"/>
  <c r="Z24" i="17"/>
  <c r="B25" i="17"/>
  <c r="J25" i="17"/>
  <c r="K25" i="17"/>
  <c r="L25" i="17"/>
  <c r="M25" i="17"/>
  <c r="N25" i="17"/>
  <c r="O25" i="17"/>
  <c r="P25" i="17"/>
  <c r="Q25" i="17"/>
  <c r="R25" i="17"/>
  <c r="S25" i="17"/>
  <c r="Z25" i="17"/>
  <c r="B26" i="17"/>
  <c r="J26" i="17"/>
  <c r="K26" i="17"/>
  <c r="L26" i="17"/>
  <c r="M26" i="17"/>
  <c r="N26" i="17"/>
  <c r="O26" i="17"/>
  <c r="P26" i="17"/>
  <c r="Q26" i="17"/>
  <c r="R26" i="17"/>
  <c r="S26" i="17"/>
  <c r="Z26" i="17"/>
  <c r="B27" i="17"/>
  <c r="J27" i="17"/>
  <c r="K27" i="17"/>
  <c r="L27" i="17"/>
  <c r="M27" i="17"/>
  <c r="N27" i="17"/>
  <c r="O27" i="17"/>
  <c r="P27" i="17"/>
  <c r="Q27" i="17"/>
  <c r="R27" i="17"/>
  <c r="S27" i="17"/>
  <c r="B28" i="17"/>
  <c r="J28" i="17"/>
  <c r="K28" i="17"/>
  <c r="L28" i="17"/>
  <c r="M28" i="17"/>
  <c r="N28" i="17"/>
  <c r="O28" i="17"/>
  <c r="P28" i="17"/>
  <c r="Q28" i="17"/>
  <c r="R28" i="17"/>
  <c r="S28" i="17"/>
  <c r="B29" i="17"/>
  <c r="J29" i="17"/>
  <c r="K29" i="17"/>
  <c r="L29" i="17"/>
  <c r="M29" i="17"/>
  <c r="N29" i="17"/>
  <c r="O29" i="17"/>
  <c r="P29" i="17"/>
  <c r="Q29" i="17"/>
  <c r="R29" i="17"/>
  <c r="S29" i="17"/>
  <c r="B30" i="17"/>
  <c r="J30" i="17"/>
  <c r="K30" i="17"/>
  <c r="L30" i="17"/>
  <c r="M30" i="17"/>
  <c r="N30" i="17"/>
  <c r="O30" i="17"/>
  <c r="P30" i="17"/>
  <c r="Q30" i="17"/>
  <c r="R30" i="17"/>
  <c r="S30" i="17"/>
  <c r="B31" i="17"/>
  <c r="J31" i="17"/>
  <c r="K31" i="17"/>
  <c r="L31" i="17"/>
  <c r="M31" i="17"/>
  <c r="N31" i="17"/>
  <c r="O31" i="17"/>
  <c r="P31" i="17"/>
  <c r="Q31" i="17"/>
  <c r="R31" i="17"/>
  <c r="S31" i="17"/>
  <c r="B32" i="17"/>
  <c r="J32" i="17"/>
  <c r="K32" i="17"/>
  <c r="L32" i="17"/>
  <c r="M32" i="17"/>
  <c r="N32" i="17"/>
  <c r="O32" i="17"/>
  <c r="P32" i="17"/>
  <c r="Q32" i="17"/>
  <c r="R32" i="17"/>
  <c r="S32" i="17"/>
  <c r="B33" i="17"/>
  <c r="J33" i="17"/>
  <c r="K33" i="17"/>
  <c r="L33" i="17"/>
  <c r="M33" i="17"/>
  <c r="N33" i="17"/>
  <c r="O33" i="17"/>
  <c r="P33" i="17"/>
  <c r="Q33" i="17"/>
  <c r="R33" i="17"/>
  <c r="S33" i="17"/>
  <c r="Y33" i="17"/>
  <c r="B34" i="17"/>
  <c r="J34" i="17"/>
  <c r="K34" i="17"/>
  <c r="L34" i="17"/>
  <c r="M34" i="17"/>
  <c r="N34" i="17"/>
  <c r="O34" i="17"/>
  <c r="P34" i="17"/>
  <c r="Q34" i="17"/>
  <c r="R34" i="17"/>
  <c r="S34" i="17"/>
  <c r="B35" i="17"/>
  <c r="J35" i="17"/>
  <c r="K35" i="17"/>
  <c r="L35" i="17"/>
  <c r="M35" i="17"/>
  <c r="N35" i="17"/>
  <c r="O35" i="17"/>
  <c r="P35" i="17"/>
  <c r="Q35" i="17"/>
  <c r="R35" i="17"/>
  <c r="S35" i="17"/>
  <c r="B36" i="17"/>
  <c r="J36" i="17"/>
  <c r="K36" i="17"/>
  <c r="L36" i="17"/>
  <c r="M36" i="17"/>
  <c r="N36" i="17"/>
  <c r="O36" i="17"/>
  <c r="P36" i="17"/>
  <c r="Q36" i="17"/>
  <c r="R36" i="17"/>
  <c r="S36" i="17"/>
  <c r="B37" i="17"/>
  <c r="J37" i="17"/>
  <c r="K37" i="17"/>
  <c r="L37" i="17"/>
  <c r="M37" i="17"/>
  <c r="N37" i="17"/>
  <c r="O37" i="17"/>
  <c r="P37" i="17"/>
  <c r="Q37" i="17"/>
  <c r="R37" i="17"/>
  <c r="S37" i="17"/>
  <c r="B38" i="17"/>
  <c r="J38" i="17"/>
  <c r="K38" i="17"/>
  <c r="L38" i="17"/>
  <c r="M38" i="17"/>
  <c r="N38" i="17"/>
  <c r="O38" i="17"/>
  <c r="P38" i="17"/>
  <c r="Q38" i="17"/>
  <c r="R38" i="17"/>
  <c r="S38" i="17"/>
  <c r="B39" i="17"/>
  <c r="J39" i="17"/>
  <c r="K39" i="17"/>
  <c r="L39" i="17"/>
  <c r="M39" i="17"/>
  <c r="N39" i="17"/>
  <c r="O39" i="17"/>
  <c r="P39" i="17"/>
  <c r="Q39" i="17"/>
  <c r="R39" i="17"/>
  <c r="S39" i="17"/>
  <c r="B40" i="17"/>
  <c r="J40" i="17"/>
  <c r="K40" i="17"/>
  <c r="L40" i="17"/>
  <c r="M40" i="17"/>
  <c r="N40" i="17"/>
  <c r="O40" i="17"/>
  <c r="P40" i="17"/>
  <c r="Q40" i="17"/>
  <c r="R40" i="17"/>
  <c r="S40" i="17"/>
  <c r="B41" i="17"/>
  <c r="J41" i="17"/>
  <c r="K41" i="17"/>
  <c r="L41" i="17"/>
  <c r="M41" i="17"/>
  <c r="N41" i="17"/>
  <c r="O41" i="17"/>
  <c r="P41" i="17"/>
  <c r="Q41" i="17"/>
  <c r="R41" i="17"/>
  <c r="S41" i="17"/>
  <c r="B42" i="17"/>
  <c r="J42" i="17"/>
  <c r="K42" i="17"/>
  <c r="L42" i="17"/>
  <c r="M42" i="17"/>
  <c r="N42" i="17"/>
  <c r="O42" i="17"/>
  <c r="P42" i="17"/>
  <c r="Q42" i="17"/>
  <c r="R42" i="17"/>
  <c r="S42" i="17"/>
  <c r="B43" i="17"/>
  <c r="J43" i="17"/>
  <c r="K43" i="17"/>
  <c r="L43" i="17"/>
  <c r="M43" i="17"/>
  <c r="N43" i="17"/>
  <c r="O43" i="17"/>
  <c r="P43" i="17"/>
  <c r="Q43" i="17"/>
  <c r="R43" i="17"/>
  <c r="S43" i="17"/>
  <c r="B44" i="17"/>
  <c r="J44" i="17"/>
  <c r="K44" i="17"/>
  <c r="L44" i="17"/>
  <c r="M44" i="17"/>
  <c r="N44" i="17"/>
  <c r="O44" i="17"/>
  <c r="P44" i="17"/>
  <c r="Q44" i="17"/>
  <c r="R44" i="17"/>
  <c r="S44" i="17"/>
  <c r="B45" i="17"/>
  <c r="J45" i="17"/>
  <c r="K45" i="17"/>
  <c r="L45" i="17"/>
  <c r="M45" i="17"/>
  <c r="N45" i="17"/>
  <c r="O45" i="17"/>
  <c r="P45" i="17"/>
  <c r="Q45" i="17"/>
  <c r="R45" i="17"/>
  <c r="S45" i="17"/>
  <c r="B46" i="17"/>
  <c r="J46" i="17"/>
  <c r="K46" i="17"/>
  <c r="L46" i="17"/>
  <c r="M46" i="17"/>
  <c r="N46" i="17"/>
  <c r="O46" i="17"/>
  <c r="P46" i="17"/>
  <c r="Q46" i="17"/>
  <c r="R46" i="17"/>
  <c r="S46" i="17"/>
  <c r="B47" i="17"/>
  <c r="J47" i="17"/>
  <c r="K47" i="17"/>
  <c r="L47" i="17"/>
  <c r="M47" i="17"/>
  <c r="N47" i="17"/>
  <c r="O47" i="17"/>
  <c r="P47" i="17"/>
  <c r="Q47" i="17"/>
  <c r="R47" i="17"/>
  <c r="S47" i="17"/>
  <c r="B48" i="17"/>
  <c r="J48" i="17"/>
  <c r="K48" i="17"/>
  <c r="L48" i="17"/>
  <c r="M48" i="17"/>
  <c r="N48" i="17"/>
  <c r="O48" i="17"/>
  <c r="P48" i="17"/>
  <c r="Q48" i="17"/>
  <c r="R48" i="17"/>
  <c r="S48" i="17"/>
  <c r="B49" i="17"/>
  <c r="J49" i="17"/>
  <c r="K49" i="17"/>
  <c r="L49" i="17"/>
  <c r="M49" i="17"/>
  <c r="N49" i="17"/>
  <c r="O49" i="17"/>
  <c r="P49" i="17"/>
  <c r="Q49" i="17"/>
  <c r="R49" i="17"/>
  <c r="S49" i="17"/>
  <c r="B50" i="17"/>
  <c r="J50" i="17"/>
  <c r="K50" i="17"/>
  <c r="L50" i="17"/>
  <c r="M50" i="17"/>
  <c r="N50" i="17"/>
  <c r="O50" i="17"/>
  <c r="P50" i="17"/>
  <c r="Q50" i="17"/>
  <c r="R50" i="17"/>
  <c r="S50" i="17"/>
  <c r="B51" i="17"/>
  <c r="J51" i="17"/>
  <c r="K51" i="17"/>
  <c r="L51" i="17"/>
  <c r="M51" i="17"/>
  <c r="N51" i="17"/>
  <c r="O51" i="17"/>
  <c r="P51" i="17"/>
  <c r="Q51" i="17"/>
  <c r="R51" i="17"/>
  <c r="S51" i="17"/>
  <c r="B52" i="17"/>
  <c r="J52" i="17"/>
  <c r="K52" i="17"/>
  <c r="L52" i="17"/>
  <c r="M52" i="17"/>
  <c r="N52" i="17"/>
  <c r="O52" i="17"/>
  <c r="P52" i="17"/>
  <c r="Q52" i="17"/>
  <c r="R52" i="17"/>
  <c r="S52" i="17"/>
  <c r="B53" i="17"/>
  <c r="J53" i="17"/>
  <c r="K53" i="17"/>
  <c r="L53" i="17"/>
  <c r="M53" i="17"/>
  <c r="N53" i="17"/>
  <c r="O53" i="17"/>
  <c r="P53" i="17"/>
  <c r="Q53" i="17"/>
  <c r="R53" i="17"/>
  <c r="S53" i="17"/>
  <c r="B54" i="17"/>
  <c r="J54" i="17"/>
  <c r="K54" i="17"/>
  <c r="L54" i="17"/>
  <c r="M54" i="17"/>
  <c r="N54" i="17"/>
  <c r="O54" i="17"/>
  <c r="P54" i="17"/>
  <c r="Q54" i="17"/>
  <c r="R54" i="17"/>
  <c r="S54" i="17"/>
  <c r="B55" i="17"/>
  <c r="J55" i="17"/>
  <c r="K55" i="17"/>
  <c r="L55" i="17"/>
  <c r="M55" i="17"/>
  <c r="N55" i="17"/>
  <c r="O55" i="17"/>
  <c r="P55" i="17"/>
  <c r="Q55" i="17"/>
  <c r="R55" i="17"/>
  <c r="S55" i="17"/>
  <c r="B56" i="17"/>
  <c r="J56" i="17"/>
  <c r="K56" i="17"/>
  <c r="L56" i="17"/>
  <c r="M56" i="17"/>
  <c r="N56" i="17"/>
  <c r="O56" i="17"/>
  <c r="P56" i="17"/>
  <c r="Q56" i="17"/>
  <c r="R56" i="17"/>
  <c r="S56" i="17"/>
  <c r="B57" i="17"/>
  <c r="J57" i="17"/>
  <c r="K57" i="17"/>
  <c r="L57" i="17"/>
  <c r="M57" i="17"/>
  <c r="N57" i="17"/>
  <c r="O57" i="17"/>
  <c r="P57" i="17"/>
  <c r="Q57" i="17"/>
  <c r="R57" i="17"/>
  <c r="S57" i="17"/>
  <c r="B58" i="17"/>
  <c r="J58" i="17"/>
  <c r="K58" i="17"/>
  <c r="L58" i="17"/>
  <c r="M58" i="17"/>
  <c r="N58" i="17"/>
  <c r="O58" i="17"/>
  <c r="P58" i="17"/>
  <c r="Q58" i="17"/>
  <c r="R58" i="17"/>
  <c r="S58" i="17"/>
  <c r="B59" i="17"/>
  <c r="J59" i="17"/>
  <c r="K59" i="17"/>
  <c r="L59" i="17"/>
  <c r="M59" i="17"/>
  <c r="N59" i="17"/>
  <c r="O59" i="17"/>
  <c r="P59" i="17"/>
  <c r="Q59" i="17"/>
  <c r="R59" i="17"/>
  <c r="S59" i="17"/>
  <c r="B60" i="17"/>
  <c r="J60" i="17"/>
  <c r="K60" i="17"/>
  <c r="L60" i="17"/>
  <c r="M60" i="17"/>
  <c r="N60" i="17"/>
  <c r="O60" i="17"/>
  <c r="P60" i="17"/>
  <c r="Q60" i="17"/>
  <c r="R60" i="17"/>
  <c r="S60" i="17"/>
  <c r="B61" i="17"/>
  <c r="J61" i="17"/>
  <c r="K61" i="17"/>
  <c r="L61" i="17"/>
  <c r="M61" i="17"/>
  <c r="N61" i="17"/>
  <c r="O61" i="17"/>
  <c r="P61" i="17"/>
  <c r="Q61" i="17"/>
  <c r="R61" i="17"/>
  <c r="S61" i="17"/>
  <c r="B62" i="17"/>
  <c r="J62" i="17"/>
  <c r="K62" i="17"/>
  <c r="L62" i="17"/>
  <c r="M62" i="17"/>
  <c r="N62" i="17"/>
  <c r="O62" i="17"/>
  <c r="P62" i="17"/>
  <c r="Q62" i="17"/>
  <c r="R62" i="17"/>
  <c r="S62" i="17"/>
  <c r="B63" i="17"/>
  <c r="J63" i="17"/>
  <c r="K63" i="17"/>
  <c r="L63" i="17"/>
  <c r="M63" i="17"/>
  <c r="N63" i="17"/>
  <c r="O63" i="17"/>
  <c r="P63" i="17"/>
  <c r="Q63" i="17"/>
  <c r="R63" i="17"/>
  <c r="S63" i="17"/>
  <c r="B64" i="17"/>
  <c r="J64" i="17"/>
  <c r="K64" i="17"/>
  <c r="L64" i="17"/>
  <c r="M64" i="17"/>
  <c r="N64" i="17"/>
  <c r="O64" i="17"/>
  <c r="P64" i="17"/>
  <c r="Q64" i="17"/>
  <c r="R64" i="17"/>
  <c r="S64" i="17"/>
  <c r="B65" i="17"/>
  <c r="J65" i="17"/>
  <c r="K65" i="17"/>
  <c r="L65" i="17"/>
  <c r="M65" i="17"/>
  <c r="N65" i="17"/>
  <c r="O65" i="17"/>
  <c r="P65" i="17"/>
  <c r="Q65" i="17"/>
  <c r="R65" i="17"/>
  <c r="S65" i="17"/>
  <c r="B66" i="17"/>
  <c r="J66" i="17"/>
  <c r="K66" i="17"/>
  <c r="L66" i="17"/>
  <c r="M66" i="17"/>
  <c r="N66" i="17"/>
  <c r="O66" i="17"/>
  <c r="P66" i="17"/>
  <c r="Q66" i="17"/>
  <c r="R66" i="17"/>
  <c r="S66" i="17"/>
  <c r="B67" i="17"/>
  <c r="J67" i="17"/>
  <c r="K67" i="17"/>
  <c r="L67" i="17"/>
  <c r="M67" i="17"/>
  <c r="N67" i="17"/>
  <c r="O67" i="17"/>
  <c r="P67" i="17"/>
  <c r="Q67" i="17"/>
  <c r="R67" i="17"/>
  <c r="S67" i="17"/>
  <c r="B68" i="17"/>
  <c r="J68" i="17"/>
  <c r="K68" i="17"/>
  <c r="L68" i="17"/>
  <c r="M68" i="17"/>
  <c r="N68" i="17"/>
  <c r="O68" i="17"/>
  <c r="P68" i="17"/>
  <c r="Q68" i="17"/>
  <c r="R68" i="17"/>
  <c r="S68" i="17"/>
  <c r="B69" i="17"/>
  <c r="J69" i="17"/>
  <c r="K69" i="17"/>
  <c r="L69" i="17"/>
  <c r="M69" i="17"/>
  <c r="N69" i="17"/>
  <c r="O69" i="17"/>
  <c r="P69" i="17"/>
  <c r="Q69" i="17"/>
  <c r="R69" i="17"/>
  <c r="S69" i="17"/>
  <c r="B70" i="17"/>
  <c r="J70" i="17"/>
  <c r="K70" i="17"/>
  <c r="L70" i="17"/>
  <c r="M70" i="17"/>
  <c r="N70" i="17"/>
  <c r="O70" i="17"/>
  <c r="P70" i="17"/>
  <c r="Q70" i="17"/>
  <c r="R70" i="17"/>
  <c r="S70" i="17"/>
  <c r="B71" i="17"/>
  <c r="J71" i="17"/>
  <c r="K71" i="17"/>
  <c r="L71" i="17"/>
  <c r="M71" i="17"/>
  <c r="N71" i="17"/>
  <c r="O71" i="17"/>
  <c r="P71" i="17"/>
  <c r="Q71" i="17"/>
  <c r="R71" i="17"/>
  <c r="S71" i="17"/>
  <c r="B72" i="17"/>
  <c r="J72" i="17"/>
  <c r="K72" i="17"/>
  <c r="L72" i="17"/>
  <c r="M72" i="17"/>
  <c r="N72" i="17"/>
  <c r="O72" i="17"/>
  <c r="P72" i="17"/>
  <c r="Q72" i="17"/>
  <c r="R72" i="17"/>
  <c r="S72" i="17"/>
  <c r="B73" i="17"/>
  <c r="J73" i="17"/>
  <c r="K73" i="17"/>
  <c r="L73" i="17"/>
  <c r="M73" i="17"/>
  <c r="N73" i="17"/>
  <c r="O73" i="17"/>
  <c r="P73" i="17"/>
  <c r="Q73" i="17"/>
  <c r="R73" i="17"/>
  <c r="S73" i="17"/>
  <c r="B74" i="17"/>
  <c r="J74" i="17"/>
  <c r="K74" i="17"/>
  <c r="L74" i="17"/>
  <c r="M74" i="17"/>
  <c r="N74" i="17"/>
  <c r="O74" i="17"/>
  <c r="P74" i="17"/>
  <c r="Q74" i="17"/>
  <c r="R74" i="17"/>
  <c r="S74" i="17"/>
  <c r="B75" i="17"/>
  <c r="J75" i="17"/>
  <c r="K75" i="17"/>
  <c r="L75" i="17"/>
  <c r="M75" i="17"/>
  <c r="N75" i="17"/>
  <c r="O75" i="17"/>
  <c r="P75" i="17"/>
  <c r="Q75" i="17"/>
  <c r="R75" i="17"/>
  <c r="S75" i="17"/>
  <c r="B76" i="17"/>
  <c r="J76" i="17"/>
  <c r="K76" i="17"/>
  <c r="L76" i="17"/>
  <c r="M76" i="17"/>
  <c r="N76" i="17"/>
  <c r="O76" i="17"/>
  <c r="P76" i="17"/>
  <c r="Q76" i="17"/>
  <c r="R76" i="17"/>
  <c r="S76" i="17"/>
  <c r="B77" i="17"/>
  <c r="J77" i="17"/>
  <c r="K77" i="17"/>
  <c r="L77" i="17"/>
  <c r="M77" i="17"/>
  <c r="N77" i="17"/>
  <c r="O77" i="17"/>
  <c r="P77" i="17"/>
  <c r="Q77" i="17"/>
  <c r="R77" i="17"/>
  <c r="S77" i="17"/>
  <c r="B78" i="17"/>
  <c r="J78" i="17"/>
  <c r="K78" i="17"/>
  <c r="L78" i="17"/>
  <c r="M78" i="17"/>
  <c r="N78" i="17"/>
  <c r="O78" i="17"/>
  <c r="P78" i="17"/>
  <c r="Q78" i="17"/>
  <c r="R78" i="17"/>
  <c r="S78" i="17"/>
  <c r="B79" i="17"/>
  <c r="J79" i="17"/>
  <c r="K79" i="17"/>
  <c r="L79" i="17"/>
  <c r="M79" i="17"/>
  <c r="N79" i="17"/>
  <c r="O79" i="17"/>
  <c r="P79" i="17"/>
  <c r="Q79" i="17"/>
  <c r="R79" i="17"/>
  <c r="S79" i="17"/>
  <c r="B80" i="17"/>
  <c r="J80" i="17"/>
  <c r="K80" i="17"/>
  <c r="L80" i="17"/>
  <c r="M80" i="17"/>
  <c r="N80" i="17"/>
  <c r="O80" i="17"/>
  <c r="P80" i="17"/>
  <c r="Q80" i="17"/>
  <c r="R80" i="17"/>
  <c r="S80" i="17"/>
  <c r="B81" i="17"/>
  <c r="J81" i="17"/>
  <c r="K81" i="17"/>
  <c r="L81" i="17"/>
  <c r="M81" i="17"/>
  <c r="N81" i="17"/>
  <c r="O81" i="17"/>
  <c r="P81" i="17"/>
  <c r="Q81" i="17"/>
  <c r="R81" i="17"/>
  <c r="S81" i="17"/>
  <c r="B82" i="17"/>
  <c r="J82" i="17"/>
  <c r="K82" i="17"/>
  <c r="L82" i="17"/>
  <c r="M82" i="17"/>
  <c r="N82" i="17"/>
  <c r="O82" i="17"/>
  <c r="P82" i="17"/>
  <c r="Q82" i="17"/>
  <c r="R82" i="17"/>
  <c r="S82" i="17"/>
  <c r="B83" i="17"/>
  <c r="J83" i="17"/>
  <c r="K83" i="17"/>
  <c r="L83" i="17"/>
  <c r="M83" i="17"/>
  <c r="N83" i="17"/>
  <c r="O83" i="17"/>
  <c r="P83" i="17"/>
  <c r="Q83" i="17"/>
  <c r="R83" i="17"/>
  <c r="S83" i="17"/>
  <c r="B84" i="17"/>
  <c r="J84" i="17"/>
  <c r="K84" i="17"/>
  <c r="L84" i="17"/>
  <c r="M84" i="17"/>
  <c r="N84" i="17"/>
  <c r="O84" i="17"/>
  <c r="P84" i="17"/>
  <c r="Q84" i="17"/>
  <c r="R84" i="17"/>
  <c r="S84" i="17"/>
  <c r="B85" i="17"/>
  <c r="J85" i="17"/>
  <c r="K85" i="17"/>
  <c r="L85" i="17"/>
  <c r="M85" i="17"/>
  <c r="N85" i="17"/>
  <c r="O85" i="17"/>
  <c r="P85" i="17"/>
  <c r="Q85" i="17"/>
  <c r="R85" i="17"/>
  <c r="S85" i="17"/>
  <c r="B86" i="17"/>
  <c r="J86" i="17"/>
  <c r="K86" i="17"/>
  <c r="L86" i="17"/>
  <c r="M86" i="17"/>
  <c r="N86" i="17"/>
  <c r="O86" i="17"/>
  <c r="P86" i="17"/>
  <c r="Q86" i="17"/>
  <c r="R86" i="17"/>
  <c r="S86" i="17"/>
  <c r="B87" i="17"/>
  <c r="J87" i="17"/>
  <c r="K87" i="17"/>
  <c r="L87" i="17"/>
  <c r="M87" i="17"/>
  <c r="N87" i="17"/>
  <c r="O87" i="17"/>
  <c r="P87" i="17"/>
  <c r="Q87" i="17"/>
  <c r="R87" i="17"/>
  <c r="S87" i="17"/>
  <c r="B88" i="17"/>
  <c r="J88" i="17"/>
  <c r="K88" i="17"/>
  <c r="L88" i="17"/>
  <c r="M88" i="17"/>
  <c r="N88" i="17"/>
  <c r="O88" i="17"/>
  <c r="P88" i="17"/>
  <c r="Q88" i="17"/>
  <c r="R88" i="17"/>
  <c r="S88" i="17"/>
  <c r="B89" i="17"/>
  <c r="J89" i="17"/>
  <c r="K89" i="17"/>
  <c r="L89" i="17"/>
  <c r="M89" i="17"/>
  <c r="N89" i="17"/>
  <c r="O89" i="17"/>
  <c r="P89" i="17"/>
  <c r="Q89" i="17"/>
  <c r="R89" i="17"/>
  <c r="S89" i="17"/>
  <c r="B90" i="17"/>
  <c r="J90" i="17"/>
  <c r="K90" i="17"/>
  <c r="L90" i="17"/>
  <c r="M90" i="17"/>
  <c r="N90" i="17"/>
  <c r="O90" i="17"/>
  <c r="P90" i="17"/>
  <c r="Q90" i="17"/>
  <c r="R90" i="17"/>
  <c r="S90" i="17"/>
  <c r="B91" i="17"/>
  <c r="J91" i="17"/>
  <c r="K91" i="17"/>
  <c r="L91" i="17"/>
  <c r="M91" i="17"/>
  <c r="N91" i="17"/>
  <c r="O91" i="17"/>
  <c r="P91" i="17"/>
  <c r="Q91" i="17"/>
  <c r="R91" i="17"/>
  <c r="S91" i="17"/>
  <c r="B92" i="17"/>
  <c r="J92" i="17"/>
  <c r="K92" i="17"/>
  <c r="L92" i="17"/>
  <c r="M92" i="17"/>
  <c r="N92" i="17"/>
  <c r="O92" i="17"/>
  <c r="P92" i="17"/>
  <c r="Q92" i="17"/>
  <c r="R92" i="17"/>
  <c r="S92" i="17"/>
  <c r="B93" i="17"/>
  <c r="J93" i="17"/>
  <c r="K93" i="17"/>
  <c r="L93" i="17"/>
  <c r="M93" i="17"/>
  <c r="N93" i="17"/>
  <c r="O93" i="17"/>
  <c r="P93" i="17"/>
  <c r="Q93" i="17"/>
  <c r="R93" i="17"/>
  <c r="S93" i="17"/>
  <c r="B94" i="17"/>
  <c r="J94" i="17"/>
  <c r="K94" i="17"/>
  <c r="L94" i="17"/>
  <c r="M94" i="17"/>
  <c r="N94" i="17"/>
  <c r="O94" i="17"/>
  <c r="P94" i="17"/>
  <c r="Q94" i="17"/>
  <c r="R94" i="17"/>
  <c r="S94" i="17"/>
  <c r="B95" i="17"/>
  <c r="J95" i="17"/>
  <c r="K95" i="17"/>
  <c r="L95" i="17"/>
  <c r="M95" i="17"/>
  <c r="N95" i="17"/>
  <c r="O95" i="17"/>
  <c r="P95" i="17"/>
  <c r="Q95" i="17"/>
  <c r="R95" i="17"/>
  <c r="S95" i="17"/>
  <c r="B96" i="17"/>
  <c r="J96" i="17"/>
  <c r="K96" i="17"/>
  <c r="L96" i="17"/>
  <c r="M96" i="17"/>
  <c r="N96" i="17"/>
  <c r="O96" i="17"/>
  <c r="P96" i="17"/>
  <c r="Q96" i="17"/>
  <c r="R96" i="17"/>
  <c r="S96" i="17"/>
  <c r="B97" i="17"/>
  <c r="J97" i="17"/>
  <c r="K97" i="17"/>
  <c r="L97" i="17"/>
  <c r="M97" i="17"/>
  <c r="N97" i="17"/>
  <c r="O97" i="17"/>
  <c r="P97" i="17"/>
  <c r="Q97" i="17"/>
  <c r="R97" i="17"/>
  <c r="S97" i="17"/>
  <c r="B98" i="17"/>
  <c r="J98" i="17"/>
  <c r="K98" i="17"/>
  <c r="L98" i="17"/>
  <c r="M98" i="17"/>
  <c r="N98" i="17"/>
  <c r="O98" i="17"/>
  <c r="P98" i="17"/>
  <c r="Q98" i="17"/>
  <c r="R98" i="17"/>
  <c r="S98" i="17"/>
  <c r="B99" i="17"/>
  <c r="J99" i="17"/>
  <c r="K99" i="17"/>
  <c r="L99" i="17"/>
  <c r="M99" i="17"/>
  <c r="N99" i="17"/>
  <c r="O99" i="17"/>
  <c r="P99" i="17"/>
  <c r="Q99" i="17"/>
  <c r="R99" i="17"/>
  <c r="S99" i="17"/>
  <c r="B100" i="17"/>
  <c r="J100" i="17"/>
  <c r="K100" i="17"/>
  <c r="L100" i="17"/>
  <c r="M100" i="17"/>
  <c r="N100" i="17"/>
  <c r="O100" i="17"/>
  <c r="P100" i="17"/>
  <c r="Q100" i="17"/>
  <c r="R100" i="17"/>
  <c r="S100" i="17"/>
  <c r="B101" i="17"/>
  <c r="J101" i="17"/>
  <c r="K101" i="17"/>
  <c r="L101" i="17"/>
  <c r="M101" i="17"/>
  <c r="N101" i="17"/>
  <c r="O101" i="17"/>
  <c r="P101" i="17"/>
  <c r="Q101" i="17"/>
  <c r="R101" i="17"/>
  <c r="S101" i="17"/>
  <c r="B102" i="17"/>
  <c r="J102" i="17"/>
  <c r="K102" i="17"/>
  <c r="L102" i="17"/>
  <c r="M102" i="17"/>
  <c r="N102" i="17"/>
  <c r="O102" i="17"/>
  <c r="P102" i="17"/>
  <c r="Q102" i="17"/>
  <c r="R102" i="17"/>
  <c r="S102" i="17"/>
  <c r="B103" i="17"/>
  <c r="J103" i="17"/>
  <c r="K103" i="17"/>
  <c r="L103" i="17"/>
  <c r="M103" i="17"/>
  <c r="N103" i="17"/>
  <c r="O103" i="17"/>
  <c r="P103" i="17"/>
  <c r="Q103" i="17"/>
  <c r="R103" i="17"/>
  <c r="S103" i="17"/>
  <c r="B104" i="17"/>
  <c r="J104" i="17"/>
  <c r="K104" i="17"/>
  <c r="L104" i="17"/>
  <c r="M104" i="17"/>
  <c r="N104" i="17"/>
  <c r="O104" i="17"/>
  <c r="P104" i="17"/>
  <c r="Q104" i="17"/>
  <c r="R104" i="17"/>
  <c r="S104" i="17"/>
  <c r="B105" i="17"/>
  <c r="J105" i="17"/>
  <c r="K105" i="17"/>
  <c r="L105" i="17"/>
  <c r="M105" i="17"/>
  <c r="N105" i="17"/>
  <c r="O105" i="17"/>
  <c r="P105" i="17"/>
  <c r="Q105" i="17"/>
  <c r="R105" i="17"/>
  <c r="S105" i="17"/>
  <c r="B106" i="17"/>
  <c r="J106" i="17"/>
  <c r="K106" i="17"/>
  <c r="L106" i="17"/>
  <c r="M106" i="17"/>
  <c r="N106" i="17"/>
  <c r="O106" i="17"/>
  <c r="P106" i="17"/>
  <c r="Q106" i="17"/>
  <c r="R106" i="17"/>
  <c r="S106" i="17"/>
  <c r="B107" i="17"/>
  <c r="J107" i="17"/>
  <c r="K107" i="17"/>
  <c r="L107" i="17"/>
  <c r="M107" i="17"/>
  <c r="N107" i="17"/>
  <c r="O107" i="17"/>
  <c r="P107" i="17"/>
  <c r="Q107" i="17"/>
  <c r="R107" i="17"/>
  <c r="S107" i="17"/>
  <c r="B108" i="17"/>
  <c r="J108" i="17"/>
  <c r="K108" i="17"/>
  <c r="L108" i="17"/>
  <c r="M108" i="17"/>
  <c r="N108" i="17"/>
  <c r="O108" i="17"/>
  <c r="P108" i="17"/>
  <c r="Q108" i="17"/>
  <c r="R108" i="17"/>
  <c r="S108" i="17"/>
  <c r="B109" i="17"/>
  <c r="J109" i="17"/>
  <c r="K109" i="17"/>
  <c r="L109" i="17"/>
  <c r="M109" i="17"/>
  <c r="N109" i="17"/>
  <c r="O109" i="17"/>
  <c r="P109" i="17"/>
  <c r="Q109" i="17"/>
  <c r="R109" i="17"/>
  <c r="S109" i="17"/>
  <c r="B110" i="17"/>
  <c r="J110" i="17"/>
  <c r="K110" i="17"/>
  <c r="L110" i="17"/>
  <c r="M110" i="17"/>
  <c r="N110" i="17"/>
  <c r="O110" i="17"/>
  <c r="P110" i="17"/>
  <c r="Q110" i="17"/>
  <c r="R110" i="17"/>
  <c r="S110" i="17"/>
  <c r="B111" i="17"/>
  <c r="J111" i="17"/>
  <c r="K111" i="17"/>
  <c r="L111" i="17"/>
  <c r="M111" i="17"/>
  <c r="N111" i="17"/>
  <c r="O111" i="17"/>
  <c r="P111" i="17"/>
  <c r="Q111" i="17"/>
  <c r="R111" i="17"/>
  <c r="S111" i="17"/>
  <c r="B112" i="17"/>
  <c r="J112" i="17"/>
  <c r="K112" i="17"/>
  <c r="L112" i="17"/>
  <c r="M112" i="17"/>
  <c r="N112" i="17"/>
  <c r="O112" i="17"/>
  <c r="P112" i="17"/>
  <c r="Q112" i="17"/>
  <c r="R112" i="17"/>
  <c r="S112" i="17"/>
  <c r="B113" i="17"/>
  <c r="J113" i="17"/>
  <c r="K113" i="17"/>
  <c r="L113" i="17"/>
  <c r="M113" i="17"/>
  <c r="N113" i="17"/>
  <c r="O113" i="17"/>
  <c r="P113" i="17"/>
  <c r="Q113" i="17"/>
  <c r="R113" i="17"/>
  <c r="S113" i="17"/>
  <c r="B114" i="17"/>
  <c r="J114" i="17"/>
  <c r="K114" i="17"/>
  <c r="L114" i="17"/>
  <c r="M114" i="17"/>
  <c r="N114" i="17"/>
  <c r="O114" i="17"/>
  <c r="P114" i="17"/>
  <c r="Q114" i="17"/>
  <c r="R114" i="17"/>
  <c r="S114" i="17"/>
  <c r="B115" i="17"/>
  <c r="J115" i="17"/>
  <c r="K115" i="17"/>
  <c r="L115" i="17"/>
  <c r="M115" i="17"/>
  <c r="N115" i="17"/>
  <c r="O115" i="17"/>
  <c r="P115" i="17"/>
  <c r="Q115" i="17"/>
  <c r="R115" i="17"/>
  <c r="S115" i="17"/>
  <c r="B116" i="17"/>
  <c r="J116" i="17"/>
  <c r="K116" i="17"/>
  <c r="L116" i="17"/>
  <c r="M116" i="17"/>
  <c r="N116" i="17"/>
  <c r="O116" i="17"/>
  <c r="P116" i="17"/>
  <c r="Q116" i="17"/>
  <c r="R116" i="17"/>
  <c r="S116" i="17"/>
  <c r="B117" i="17"/>
  <c r="J117" i="17"/>
  <c r="K117" i="17"/>
  <c r="L117" i="17"/>
  <c r="M117" i="17"/>
  <c r="N117" i="17"/>
  <c r="O117" i="17"/>
  <c r="P117" i="17"/>
  <c r="Q117" i="17"/>
  <c r="R117" i="17"/>
  <c r="S117" i="17"/>
  <c r="B118" i="17"/>
  <c r="J118" i="17"/>
  <c r="K118" i="17"/>
  <c r="L118" i="17"/>
  <c r="M118" i="17"/>
  <c r="N118" i="17"/>
  <c r="O118" i="17"/>
  <c r="P118" i="17"/>
  <c r="Q118" i="17"/>
  <c r="R118" i="17"/>
  <c r="S118" i="17"/>
  <c r="B119" i="17"/>
  <c r="J119" i="17"/>
  <c r="K119" i="17"/>
  <c r="L119" i="17"/>
  <c r="M119" i="17"/>
  <c r="N119" i="17"/>
  <c r="O119" i="17"/>
  <c r="P119" i="17"/>
  <c r="Q119" i="17"/>
  <c r="R119" i="17"/>
  <c r="S119" i="17"/>
  <c r="B120" i="17"/>
  <c r="J120" i="17"/>
  <c r="K120" i="17"/>
  <c r="L120" i="17"/>
  <c r="M120" i="17"/>
  <c r="N120" i="17"/>
  <c r="O120" i="17"/>
  <c r="P120" i="17"/>
  <c r="Q120" i="17"/>
  <c r="R120" i="17"/>
  <c r="S120" i="17"/>
  <c r="B121" i="17"/>
  <c r="J121" i="17"/>
  <c r="K121" i="17"/>
  <c r="L121" i="17"/>
  <c r="M121" i="17"/>
  <c r="N121" i="17"/>
  <c r="O121" i="17"/>
  <c r="P121" i="17"/>
  <c r="Q121" i="17"/>
  <c r="R121" i="17"/>
  <c r="S121" i="17"/>
  <c r="B122" i="17"/>
  <c r="J122" i="17"/>
  <c r="K122" i="17"/>
  <c r="L122" i="17"/>
  <c r="M122" i="17"/>
  <c r="N122" i="17"/>
  <c r="O122" i="17"/>
  <c r="P122" i="17"/>
  <c r="Q122" i="17"/>
  <c r="R122" i="17"/>
  <c r="S122" i="17"/>
  <c r="B123" i="17"/>
  <c r="J123" i="17"/>
  <c r="K123" i="17"/>
  <c r="L123" i="17"/>
  <c r="M123" i="17"/>
  <c r="N123" i="17"/>
  <c r="O123" i="17"/>
  <c r="P123" i="17"/>
  <c r="Q123" i="17"/>
  <c r="R123" i="17"/>
  <c r="S123" i="17"/>
  <c r="B124" i="17"/>
  <c r="J124" i="17"/>
  <c r="K124" i="17"/>
  <c r="L124" i="17"/>
  <c r="M124" i="17"/>
  <c r="N124" i="17"/>
  <c r="O124" i="17"/>
  <c r="P124" i="17"/>
  <c r="Q124" i="17"/>
  <c r="R124" i="17"/>
  <c r="S124" i="17"/>
  <c r="B125" i="17"/>
  <c r="J125" i="17"/>
  <c r="K125" i="17"/>
  <c r="L125" i="17"/>
  <c r="M125" i="17"/>
  <c r="N125" i="17"/>
  <c r="O125" i="17"/>
  <c r="P125" i="17"/>
  <c r="Q125" i="17"/>
  <c r="R125" i="17"/>
  <c r="S125" i="17"/>
  <c r="B126" i="17"/>
  <c r="J126" i="17"/>
  <c r="K126" i="17"/>
  <c r="L126" i="17"/>
  <c r="M126" i="17"/>
  <c r="N126" i="17"/>
  <c r="O126" i="17"/>
  <c r="P126" i="17"/>
  <c r="Q126" i="17"/>
  <c r="R126" i="17"/>
  <c r="S126" i="17"/>
  <c r="B127" i="17"/>
  <c r="J127" i="17"/>
  <c r="K127" i="17"/>
  <c r="L127" i="17"/>
  <c r="M127" i="17"/>
  <c r="N127" i="17"/>
  <c r="O127" i="17"/>
  <c r="P127" i="17"/>
  <c r="Q127" i="17"/>
  <c r="R127" i="17"/>
  <c r="S127" i="17"/>
  <c r="B128" i="17"/>
  <c r="J128" i="17"/>
  <c r="K128" i="17"/>
  <c r="L128" i="17"/>
  <c r="M128" i="17"/>
  <c r="N128" i="17"/>
  <c r="O128" i="17"/>
  <c r="P128" i="17"/>
  <c r="Q128" i="17"/>
  <c r="R128" i="17"/>
  <c r="S128" i="17"/>
  <c r="B129" i="17"/>
  <c r="J129" i="17"/>
  <c r="K129" i="17"/>
  <c r="L129" i="17"/>
  <c r="M129" i="17"/>
  <c r="N129" i="17"/>
  <c r="O129" i="17"/>
  <c r="P129" i="17"/>
  <c r="Q129" i="17"/>
  <c r="R129" i="17"/>
  <c r="S129" i="17"/>
  <c r="B130" i="17"/>
  <c r="J130" i="17"/>
  <c r="K130" i="17"/>
  <c r="L130" i="17"/>
  <c r="M130" i="17"/>
  <c r="N130" i="17"/>
  <c r="O130" i="17"/>
  <c r="P130" i="17"/>
  <c r="Q130" i="17"/>
  <c r="R130" i="17"/>
  <c r="S130" i="17"/>
  <c r="B131" i="17"/>
  <c r="J131" i="17"/>
  <c r="K131" i="17"/>
  <c r="L131" i="17"/>
  <c r="M131" i="17"/>
  <c r="N131" i="17"/>
  <c r="O131" i="17"/>
  <c r="P131" i="17"/>
  <c r="Q131" i="17"/>
  <c r="R131" i="17"/>
  <c r="S131" i="17"/>
  <c r="B132" i="17"/>
  <c r="J132" i="17"/>
  <c r="K132" i="17"/>
  <c r="L132" i="17"/>
  <c r="M132" i="17"/>
  <c r="N132" i="17"/>
  <c r="O132" i="17"/>
  <c r="P132" i="17"/>
  <c r="Q132" i="17"/>
  <c r="R132" i="17"/>
  <c r="S132" i="17"/>
  <c r="B133" i="17"/>
  <c r="J133" i="17"/>
  <c r="K133" i="17"/>
  <c r="L133" i="17"/>
  <c r="M133" i="17"/>
  <c r="N133" i="17"/>
  <c r="O133" i="17"/>
  <c r="P133" i="17"/>
  <c r="Q133" i="17"/>
  <c r="R133" i="17"/>
  <c r="S133" i="17"/>
  <c r="B134" i="17"/>
  <c r="J134" i="17"/>
  <c r="K134" i="17"/>
  <c r="L134" i="17"/>
  <c r="M134" i="17"/>
  <c r="N134" i="17"/>
  <c r="O134" i="17"/>
  <c r="P134" i="17"/>
  <c r="Q134" i="17"/>
  <c r="R134" i="17"/>
  <c r="S134" i="17"/>
  <c r="B135" i="17"/>
  <c r="J135" i="17"/>
  <c r="K135" i="17"/>
  <c r="L135" i="17"/>
  <c r="M135" i="17"/>
  <c r="N135" i="17"/>
  <c r="O135" i="17"/>
  <c r="P135" i="17"/>
  <c r="Q135" i="17"/>
  <c r="R135" i="17"/>
  <c r="S135" i="17"/>
  <c r="B136" i="17"/>
  <c r="J136" i="17"/>
  <c r="K136" i="17"/>
  <c r="L136" i="17"/>
  <c r="M136" i="17"/>
  <c r="N136" i="17"/>
  <c r="O136" i="17"/>
  <c r="P136" i="17"/>
  <c r="Q136" i="17"/>
  <c r="R136" i="17"/>
  <c r="S136" i="17"/>
  <c r="B137" i="17"/>
  <c r="J137" i="17"/>
  <c r="K137" i="17"/>
  <c r="L137" i="17"/>
  <c r="M137" i="17"/>
  <c r="N137" i="17"/>
  <c r="O137" i="17"/>
  <c r="P137" i="17"/>
  <c r="Q137" i="17"/>
  <c r="R137" i="17"/>
  <c r="S137" i="17"/>
  <c r="B138" i="17"/>
  <c r="J138" i="17"/>
  <c r="K138" i="17"/>
  <c r="L138" i="17"/>
  <c r="M138" i="17"/>
  <c r="N138" i="17"/>
  <c r="O138" i="17"/>
  <c r="P138" i="17"/>
  <c r="Q138" i="17"/>
  <c r="R138" i="17"/>
  <c r="S138" i="17"/>
  <c r="B139" i="17"/>
  <c r="J139" i="17"/>
  <c r="K139" i="17"/>
  <c r="L139" i="17"/>
  <c r="M139" i="17"/>
  <c r="N139" i="17"/>
  <c r="O139" i="17"/>
  <c r="P139" i="17"/>
  <c r="Q139" i="17"/>
  <c r="R139" i="17"/>
  <c r="S139" i="17"/>
  <c r="B140" i="17"/>
  <c r="J140" i="17"/>
  <c r="K140" i="17"/>
  <c r="L140" i="17"/>
  <c r="M140" i="17"/>
  <c r="N140" i="17"/>
  <c r="O140" i="17"/>
  <c r="P140" i="17"/>
  <c r="Q140" i="17"/>
  <c r="R140" i="17"/>
  <c r="S140" i="17"/>
  <c r="B141" i="17"/>
  <c r="J141" i="17"/>
  <c r="K141" i="17"/>
  <c r="L141" i="17"/>
  <c r="M141" i="17"/>
  <c r="N141" i="17"/>
  <c r="O141" i="17"/>
  <c r="P141" i="17"/>
  <c r="Q141" i="17"/>
  <c r="R141" i="17"/>
  <c r="S141" i="17"/>
  <c r="B142" i="17"/>
  <c r="J142" i="17"/>
  <c r="K142" i="17"/>
  <c r="L142" i="17"/>
  <c r="M142" i="17"/>
  <c r="N142" i="17"/>
  <c r="O142" i="17"/>
  <c r="P142" i="17"/>
  <c r="Q142" i="17"/>
  <c r="R142" i="17"/>
  <c r="S142" i="17"/>
  <c r="B143" i="17"/>
  <c r="J143" i="17"/>
  <c r="K143" i="17"/>
  <c r="L143" i="17"/>
  <c r="M143" i="17"/>
  <c r="N143" i="17"/>
  <c r="O143" i="17"/>
  <c r="P143" i="17"/>
  <c r="Q143" i="17"/>
  <c r="R143" i="17"/>
  <c r="S143" i="17"/>
  <c r="B144" i="17"/>
  <c r="J144" i="17"/>
  <c r="K144" i="17"/>
  <c r="L144" i="17"/>
  <c r="M144" i="17"/>
  <c r="N144" i="17"/>
  <c r="O144" i="17"/>
  <c r="P144" i="17"/>
  <c r="Q144" i="17"/>
  <c r="R144" i="17"/>
  <c r="S144" i="17"/>
  <c r="B145" i="17"/>
  <c r="J145" i="17"/>
  <c r="K145" i="17"/>
  <c r="L145" i="17"/>
  <c r="M145" i="17"/>
  <c r="N145" i="17"/>
  <c r="O145" i="17"/>
  <c r="P145" i="17"/>
  <c r="Q145" i="17"/>
  <c r="R145" i="17"/>
  <c r="S145" i="17"/>
  <c r="B146" i="17"/>
  <c r="J146" i="17"/>
  <c r="K146" i="17"/>
  <c r="L146" i="17"/>
  <c r="M146" i="17"/>
  <c r="N146" i="17"/>
  <c r="O146" i="17"/>
  <c r="P146" i="17"/>
  <c r="Q146" i="17"/>
  <c r="R146" i="17"/>
  <c r="S146" i="17"/>
  <c r="B147" i="17"/>
  <c r="J147" i="17"/>
  <c r="K147" i="17"/>
  <c r="L147" i="17"/>
  <c r="M147" i="17"/>
  <c r="N147" i="17"/>
  <c r="O147" i="17"/>
  <c r="P147" i="17"/>
  <c r="Q147" i="17"/>
  <c r="R147" i="17"/>
  <c r="S147" i="17"/>
  <c r="B148" i="17"/>
  <c r="J148" i="17"/>
  <c r="K148" i="17"/>
  <c r="L148" i="17"/>
  <c r="M148" i="17"/>
  <c r="N148" i="17"/>
  <c r="O148" i="17"/>
  <c r="P148" i="17"/>
  <c r="Q148" i="17"/>
  <c r="R148" i="17"/>
  <c r="S148" i="17"/>
  <c r="B149" i="17"/>
  <c r="J149" i="17"/>
  <c r="K149" i="17"/>
  <c r="L149" i="17"/>
  <c r="M149" i="17"/>
  <c r="N149" i="17"/>
  <c r="O149" i="17"/>
  <c r="P149" i="17"/>
  <c r="Q149" i="17"/>
  <c r="R149" i="17"/>
  <c r="S149" i="17"/>
  <c r="B150" i="17"/>
  <c r="J150" i="17"/>
  <c r="K150" i="17"/>
  <c r="L150" i="17"/>
  <c r="M150" i="17"/>
  <c r="N150" i="17"/>
  <c r="O150" i="17"/>
  <c r="P150" i="17"/>
  <c r="Q150" i="17"/>
  <c r="R150" i="17"/>
  <c r="S150" i="17"/>
  <c r="B151" i="17"/>
  <c r="J151" i="17"/>
  <c r="K151" i="17"/>
  <c r="L151" i="17"/>
  <c r="M151" i="17"/>
  <c r="N151" i="17"/>
  <c r="O151" i="17"/>
  <c r="P151" i="17"/>
  <c r="Q151" i="17"/>
  <c r="R151" i="17"/>
  <c r="S151" i="17"/>
  <c r="B152" i="17"/>
  <c r="J152" i="17"/>
  <c r="K152" i="17"/>
  <c r="L152" i="17"/>
  <c r="M152" i="17"/>
  <c r="N152" i="17"/>
  <c r="O152" i="17"/>
  <c r="P152" i="17"/>
  <c r="Q152" i="17"/>
  <c r="R152" i="17"/>
  <c r="S152" i="17"/>
  <c r="B153" i="17"/>
  <c r="J153" i="17"/>
  <c r="K153" i="17"/>
  <c r="L153" i="17"/>
  <c r="M153" i="17"/>
  <c r="N153" i="17"/>
  <c r="O153" i="17"/>
  <c r="P153" i="17"/>
  <c r="Q153" i="17"/>
  <c r="R153" i="17"/>
  <c r="S153" i="17"/>
  <c r="B154" i="17"/>
  <c r="J154" i="17"/>
  <c r="K154" i="17"/>
  <c r="L154" i="17"/>
  <c r="M154" i="17"/>
  <c r="N154" i="17"/>
  <c r="O154" i="17"/>
  <c r="P154" i="17"/>
  <c r="Q154" i="17"/>
  <c r="R154" i="17"/>
  <c r="S154" i="17"/>
  <c r="B155" i="17"/>
  <c r="J155" i="17"/>
  <c r="K155" i="17"/>
  <c r="L155" i="17"/>
  <c r="M155" i="17"/>
  <c r="N155" i="17"/>
  <c r="O155" i="17"/>
  <c r="P155" i="17"/>
  <c r="Q155" i="17"/>
  <c r="R155" i="17"/>
  <c r="S155" i="17"/>
  <c r="B156" i="17"/>
  <c r="J156" i="17"/>
  <c r="K156" i="17"/>
  <c r="L156" i="17"/>
  <c r="M156" i="17"/>
  <c r="N156" i="17"/>
  <c r="O156" i="17"/>
  <c r="P156" i="17"/>
  <c r="Q156" i="17"/>
  <c r="R156" i="17"/>
  <c r="S156" i="17"/>
  <c r="B157" i="17"/>
  <c r="J157" i="17"/>
  <c r="K157" i="17"/>
  <c r="L157" i="17"/>
  <c r="M157" i="17"/>
  <c r="N157" i="17"/>
  <c r="O157" i="17"/>
  <c r="P157" i="17"/>
  <c r="Q157" i="17"/>
  <c r="R157" i="17"/>
  <c r="S157" i="17"/>
  <c r="B158" i="17"/>
  <c r="J158" i="17"/>
  <c r="K158" i="17"/>
  <c r="L158" i="17"/>
  <c r="M158" i="17"/>
  <c r="N158" i="17"/>
  <c r="O158" i="17"/>
  <c r="P158" i="17"/>
  <c r="Q158" i="17"/>
  <c r="R158" i="17"/>
  <c r="S158" i="17"/>
  <c r="B159" i="17"/>
  <c r="J159" i="17"/>
  <c r="K159" i="17"/>
  <c r="L159" i="17"/>
  <c r="M159" i="17"/>
  <c r="N159" i="17"/>
  <c r="O159" i="17"/>
  <c r="P159" i="17"/>
  <c r="Q159" i="17"/>
  <c r="R159" i="17"/>
  <c r="S159" i="17"/>
  <c r="B160" i="17"/>
  <c r="J160" i="17"/>
  <c r="K160" i="17"/>
  <c r="L160" i="17"/>
  <c r="M160" i="17"/>
  <c r="N160" i="17"/>
  <c r="O160" i="17"/>
  <c r="P160" i="17"/>
  <c r="Q160" i="17"/>
  <c r="R160" i="17"/>
  <c r="S160" i="17"/>
  <c r="B161" i="17"/>
  <c r="J161" i="17"/>
  <c r="K161" i="17"/>
  <c r="L161" i="17"/>
  <c r="M161" i="17"/>
  <c r="N161" i="17"/>
  <c r="O161" i="17"/>
  <c r="P161" i="17"/>
  <c r="Q161" i="17"/>
  <c r="R161" i="17"/>
  <c r="S161" i="17"/>
  <c r="B162" i="17"/>
  <c r="J162" i="17"/>
  <c r="K162" i="17"/>
  <c r="L162" i="17"/>
  <c r="M162" i="17"/>
  <c r="N162" i="17"/>
  <c r="O162" i="17"/>
  <c r="P162" i="17"/>
  <c r="Q162" i="17"/>
  <c r="R162" i="17"/>
  <c r="S162" i="17"/>
  <c r="B163" i="17"/>
  <c r="J163" i="17"/>
  <c r="K163" i="17"/>
  <c r="L163" i="17"/>
  <c r="M163" i="17"/>
  <c r="N163" i="17"/>
  <c r="O163" i="17"/>
  <c r="P163" i="17"/>
  <c r="Q163" i="17"/>
  <c r="R163" i="17"/>
  <c r="S163" i="17"/>
  <c r="B164" i="17"/>
  <c r="J164" i="17"/>
  <c r="K164" i="17"/>
  <c r="L164" i="17"/>
  <c r="M164" i="17"/>
  <c r="N164" i="17"/>
  <c r="O164" i="17"/>
  <c r="P164" i="17"/>
  <c r="Q164" i="17"/>
  <c r="R164" i="17"/>
  <c r="S164" i="17"/>
  <c r="B165" i="17"/>
  <c r="J165" i="17"/>
  <c r="K165" i="17"/>
  <c r="L165" i="17"/>
  <c r="M165" i="17"/>
  <c r="N165" i="17"/>
  <c r="O165" i="17"/>
  <c r="P165" i="17"/>
  <c r="Q165" i="17"/>
  <c r="R165" i="17"/>
  <c r="S165" i="17"/>
  <c r="B166" i="17"/>
  <c r="J166" i="17"/>
  <c r="K166" i="17"/>
  <c r="L166" i="17"/>
  <c r="M166" i="17"/>
  <c r="N166" i="17"/>
  <c r="O166" i="17"/>
  <c r="P166" i="17"/>
  <c r="Q166" i="17"/>
  <c r="R166" i="17"/>
  <c r="S166" i="17"/>
  <c r="B167" i="17"/>
  <c r="J167" i="17"/>
  <c r="K167" i="17"/>
  <c r="L167" i="17"/>
  <c r="M167" i="17"/>
  <c r="N167" i="17"/>
  <c r="O167" i="17"/>
  <c r="P167" i="17"/>
  <c r="Q167" i="17"/>
  <c r="R167" i="17"/>
  <c r="S167" i="17"/>
  <c r="B168" i="17"/>
  <c r="J168" i="17"/>
  <c r="K168" i="17"/>
  <c r="L168" i="17"/>
  <c r="M168" i="17"/>
  <c r="N168" i="17"/>
  <c r="O168" i="17"/>
  <c r="P168" i="17"/>
  <c r="Q168" i="17"/>
  <c r="R168" i="17"/>
  <c r="S168" i="17"/>
  <c r="B169" i="17"/>
  <c r="J169" i="17"/>
  <c r="K169" i="17"/>
  <c r="L169" i="17"/>
  <c r="M169" i="17"/>
  <c r="N169" i="17"/>
  <c r="O169" i="17"/>
  <c r="P169" i="17"/>
  <c r="Q169" i="17"/>
  <c r="R169" i="17"/>
  <c r="S169" i="17"/>
  <c r="B170" i="17"/>
  <c r="J170" i="17"/>
  <c r="K170" i="17"/>
  <c r="L170" i="17"/>
  <c r="M170" i="17"/>
  <c r="N170" i="17"/>
  <c r="O170" i="17"/>
  <c r="P170" i="17"/>
  <c r="Q170" i="17"/>
  <c r="R170" i="17"/>
  <c r="S170" i="17"/>
  <c r="B171" i="17"/>
  <c r="J171" i="17"/>
  <c r="K171" i="17"/>
  <c r="L171" i="17"/>
  <c r="M171" i="17"/>
  <c r="N171" i="17"/>
  <c r="O171" i="17"/>
  <c r="P171" i="17"/>
  <c r="Q171" i="17"/>
  <c r="R171" i="17"/>
  <c r="S171" i="17"/>
  <c r="B172" i="17"/>
  <c r="J172" i="17"/>
  <c r="K172" i="17"/>
  <c r="L172" i="17"/>
  <c r="M172" i="17"/>
  <c r="N172" i="17"/>
  <c r="O172" i="17"/>
  <c r="P172" i="17"/>
  <c r="Q172" i="17"/>
  <c r="R172" i="17"/>
  <c r="S172" i="17"/>
  <c r="B173" i="17"/>
  <c r="J173" i="17"/>
  <c r="K173" i="17"/>
  <c r="L173" i="17"/>
  <c r="M173" i="17"/>
  <c r="N173" i="17"/>
  <c r="O173" i="17"/>
  <c r="P173" i="17"/>
  <c r="Q173" i="17"/>
  <c r="R173" i="17"/>
  <c r="S173" i="17"/>
  <c r="B174" i="17"/>
  <c r="J174" i="17"/>
  <c r="K174" i="17"/>
  <c r="L174" i="17"/>
  <c r="M174" i="17"/>
  <c r="N174" i="17"/>
  <c r="O174" i="17"/>
  <c r="P174" i="17"/>
  <c r="Q174" i="17"/>
  <c r="R174" i="17"/>
  <c r="S174" i="17"/>
  <c r="B175" i="17"/>
  <c r="J175" i="17"/>
  <c r="K175" i="17"/>
  <c r="L175" i="17"/>
  <c r="M175" i="17"/>
  <c r="N175" i="17"/>
  <c r="O175" i="17"/>
  <c r="P175" i="17"/>
  <c r="Q175" i="17"/>
  <c r="R175" i="17"/>
  <c r="S175" i="17"/>
  <c r="B176" i="17"/>
  <c r="J176" i="17"/>
  <c r="K176" i="17"/>
  <c r="L176" i="17"/>
  <c r="M176" i="17"/>
  <c r="N176" i="17"/>
  <c r="O176" i="17"/>
  <c r="P176" i="17"/>
  <c r="Q176" i="17"/>
  <c r="R176" i="17"/>
  <c r="S176" i="17"/>
  <c r="B177" i="17"/>
  <c r="J177" i="17"/>
  <c r="K177" i="17"/>
  <c r="L177" i="17"/>
  <c r="M177" i="17"/>
  <c r="N177" i="17"/>
  <c r="O177" i="17"/>
  <c r="P177" i="17"/>
  <c r="Q177" i="17"/>
  <c r="R177" i="17"/>
  <c r="S177" i="17"/>
  <c r="B178" i="17"/>
  <c r="J178" i="17"/>
  <c r="K178" i="17"/>
  <c r="L178" i="17"/>
  <c r="M178" i="17"/>
  <c r="N178" i="17"/>
  <c r="O178" i="17"/>
  <c r="P178" i="17"/>
  <c r="Q178" i="17"/>
  <c r="R178" i="17"/>
  <c r="S178" i="17"/>
  <c r="B179" i="17"/>
  <c r="J179" i="17"/>
  <c r="K179" i="17"/>
  <c r="L179" i="17"/>
  <c r="M179" i="17"/>
  <c r="N179" i="17"/>
  <c r="O179" i="17"/>
  <c r="P179" i="17"/>
  <c r="Q179" i="17"/>
  <c r="R179" i="17"/>
  <c r="S179" i="17"/>
  <c r="B180" i="17"/>
  <c r="J180" i="17"/>
  <c r="K180" i="17"/>
  <c r="L180" i="17"/>
  <c r="M180" i="17"/>
  <c r="N180" i="17"/>
  <c r="O180" i="17"/>
  <c r="P180" i="17"/>
  <c r="Q180" i="17"/>
  <c r="R180" i="17"/>
  <c r="S180" i="17"/>
  <c r="B181" i="17"/>
  <c r="J181" i="17"/>
  <c r="K181" i="17"/>
  <c r="L181" i="17"/>
  <c r="M181" i="17"/>
  <c r="N181" i="17"/>
  <c r="O181" i="17"/>
  <c r="P181" i="17"/>
  <c r="Q181" i="17"/>
  <c r="R181" i="17"/>
  <c r="S181" i="17"/>
  <c r="B182" i="17"/>
  <c r="J182" i="17"/>
  <c r="K182" i="17"/>
  <c r="L182" i="17"/>
  <c r="M182" i="17"/>
  <c r="N182" i="17"/>
  <c r="O182" i="17"/>
  <c r="P182" i="17"/>
  <c r="Q182" i="17"/>
  <c r="R182" i="17"/>
  <c r="S182" i="17"/>
  <c r="B183" i="17"/>
  <c r="J183" i="17"/>
  <c r="K183" i="17"/>
  <c r="L183" i="17"/>
  <c r="M183" i="17"/>
  <c r="N183" i="17"/>
  <c r="O183" i="17"/>
  <c r="P183" i="17"/>
  <c r="Q183" i="17"/>
  <c r="R183" i="17"/>
  <c r="S183" i="17"/>
  <c r="B184" i="17"/>
  <c r="J184" i="17"/>
  <c r="K184" i="17"/>
  <c r="L184" i="17"/>
  <c r="M184" i="17"/>
  <c r="N184" i="17"/>
  <c r="O184" i="17"/>
  <c r="P184" i="17"/>
  <c r="Q184" i="17"/>
  <c r="R184" i="17"/>
  <c r="S184" i="17"/>
  <c r="B185" i="17"/>
  <c r="J185" i="17"/>
  <c r="K185" i="17"/>
  <c r="L185" i="17"/>
  <c r="M185" i="17"/>
  <c r="N185" i="17"/>
  <c r="O185" i="17"/>
  <c r="P185" i="17"/>
  <c r="Q185" i="17"/>
  <c r="R185" i="17"/>
  <c r="S185" i="17"/>
  <c r="B186" i="17"/>
  <c r="J186" i="17"/>
  <c r="K186" i="17"/>
  <c r="L186" i="17"/>
  <c r="M186" i="17"/>
  <c r="N186" i="17"/>
  <c r="O186" i="17"/>
  <c r="P186" i="17"/>
  <c r="Q186" i="17"/>
  <c r="R186" i="17"/>
  <c r="S186" i="17"/>
  <c r="B187" i="17"/>
  <c r="J187" i="17"/>
  <c r="K187" i="17"/>
  <c r="L187" i="17"/>
  <c r="M187" i="17"/>
  <c r="N187" i="17"/>
  <c r="O187" i="17"/>
  <c r="P187" i="17"/>
  <c r="Q187" i="17"/>
  <c r="R187" i="17"/>
  <c r="S187" i="17"/>
  <c r="B188" i="17"/>
  <c r="J188" i="17"/>
  <c r="K188" i="17"/>
  <c r="L188" i="17"/>
  <c r="M188" i="17"/>
  <c r="N188" i="17"/>
  <c r="O188" i="17"/>
  <c r="P188" i="17"/>
  <c r="Q188" i="17"/>
  <c r="R188" i="17"/>
  <c r="S188" i="17"/>
  <c r="B189" i="17"/>
  <c r="J189" i="17"/>
  <c r="K189" i="17"/>
  <c r="L189" i="17"/>
  <c r="M189" i="17"/>
  <c r="N189" i="17"/>
  <c r="O189" i="17"/>
  <c r="P189" i="17"/>
  <c r="Q189" i="17"/>
  <c r="R189" i="17"/>
  <c r="S189" i="17"/>
  <c r="B190" i="17"/>
  <c r="J190" i="17"/>
  <c r="K190" i="17"/>
  <c r="L190" i="17"/>
  <c r="M190" i="17"/>
  <c r="N190" i="17"/>
  <c r="O190" i="17"/>
  <c r="P190" i="17"/>
  <c r="Q190" i="17"/>
  <c r="R190" i="17"/>
  <c r="S190" i="17"/>
  <c r="B191" i="17"/>
  <c r="J191" i="17"/>
  <c r="K191" i="17"/>
  <c r="L191" i="17"/>
  <c r="M191" i="17"/>
  <c r="N191" i="17"/>
  <c r="O191" i="17"/>
  <c r="P191" i="17"/>
  <c r="Q191" i="17"/>
  <c r="R191" i="17"/>
  <c r="S191" i="17"/>
  <c r="B192" i="17"/>
  <c r="J192" i="17"/>
  <c r="K192" i="17"/>
  <c r="L192" i="17"/>
  <c r="M192" i="17"/>
  <c r="N192" i="17"/>
  <c r="O192" i="17"/>
  <c r="P192" i="17"/>
  <c r="Q192" i="17"/>
  <c r="R192" i="17"/>
  <c r="S192" i="17"/>
  <c r="B193" i="17"/>
  <c r="J193" i="17"/>
  <c r="K193" i="17"/>
  <c r="L193" i="17"/>
  <c r="M193" i="17"/>
  <c r="N193" i="17"/>
  <c r="O193" i="17"/>
  <c r="P193" i="17"/>
  <c r="Q193" i="17"/>
  <c r="R193" i="17"/>
  <c r="S193" i="17"/>
  <c r="B194" i="17"/>
  <c r="J194" i="17"/>
  <c r="K194" i="17"/>
  <c r="L194" i="17"/>
  <c r="M194" i="17"/>
  <c r="N194" i="17"/>
  <c r="O194" i="17"/>
  <c r="P194" i="17"/>
  <c r="Q194" i="17"/>
  <c r="R194" i="17"/>
  <c r="S194" i="17"/>
  <c r="B195" i="17"/>
  <c r="J195" i="17"/>
  <c r="K195" i="17"/>
  <c r="L195" i="17"/>
  <c r="M195" i="17"/>
  <c r="N195" i="17"/>
  <c r="O195" i="17"/>
  <c r="P195" i="17"/>
  <c r="Q195" i="17"/>
  <c r="R195" i="17"/>
  <c r="S195" i="17"/>
  <c r="B196" i="17"/>
  <c r="J196" i="17"/>
  <c r="K196" i="17"/>
  <c r="L196" i="17"/>
  <c r="M196" i="17"/>
  <c r="N196" i="17"/>
  <c r="O196" i="17"/>
  <c r="P196" i="17"/>
  <c r="Q196" i="17"/>
  <c r="R196" i="17"/>
  <c r="S196" i="17"/>
  <c r="B197" i="17"/>
  <c r="J197" i="17"/>
  <c r="K197" i="17"/>
  <c r="L197" i="17"/>
  <c r="M197" i="17"/>
  <c r="N197" i="17"/>
  <c r="O197" i="17"/>
  <c r="P197" i="17"/>
  <c r="Q197" i="17"/>
  <c r="R197" i="17"/>
  <c r="S197" i="17"/>
  <c r="B198" i="17"/>
  <c r="J198" i="17"/>
  <c r="K198" i="17"/>
  <c r="L198" i="17"/>
  <c r="M198" i="17"/>
  <c r="N198" i="17"/>
  <c r="O198" i="17"/>
  <c r="P198" i="17"/>
  <c r="Q198" i="17"/>
  <c r="R198" i="17"/>
  <c r="S198" i="17"/>
  <c r="B199" i="17"/>
  <c r="J199" i="17"/>
  <c r="K199" i="17"/>
  <c r="L199" i="17"/>
  <c r="M199" i="17"/>
  <c r="N199" i="17"/>
  <c r="O199" i="17"/>
  <c r="P199" i="17"/>
  <c r="Q199" i="17"/>
  <c r="R199" i="17"/>
  <c r="S199" i="17"/>
  <c r="B200" i="17"/>
  <c r="J200" i="17"/>
  <c r="K200" i="17"/>
  <c r="L200" i="17"/>
  <c r="M200" i="17"/>
  <c r="N200" i="17"/>
  <c r="O200" i="17"/>
  <c r="P200" i="17"/>
  <c r="Q200" i="17"/>
  <c r="R200" i="17"/>
  <c r="S200" i="17"/>
  <c r="B201" i="17"/>
  <c r="J201" i="17"/>
  <c r="K201" i="17"/>
  <c r="L201" i="17"/>
  <c r="M201" i="17"/>
  <c r="N201" i="17"/>
  <c r="O201" i="17"/>
  <c r="P201" i="17"/>
  <c r="Q201" i="17"/>
  <c r="R201" i="17"/>
  <c r="S201" i="17"/>
  <c r="B202" i="17"/>
  <c r="K202" i="17"/>
  <c r="L202" i="17"/>
  <c r="M202" i="17"/>
  <c r="N202" i="17"/>
  <c r="O202" i="17"/>
  <c r="P202" i="17"/>
  <c r="Q202" i="17"/>
  <c r="R202" i="17"/>
  <c r="S202" i="17"/>
  <c r="B203" i="17"/>
  <c r="K203" i="17"/>
  <c r="L203" i="17"/>
  <c r="M203" i="17"/>
  <c r="N203" i="17"/>
  <c r="O203" i="17"/>
  <c r="P203" i="17"/>
  <c r="Q203" i="17"/>
  <c r="R203" i="17"/>
  <c r="S203" i="17"/>
  <c r="B204" i="17"/>
  <c r="K204" i="17"/>
  <c r="L204" i="17"/>
  <c r="M204" i="17"/>
  <c r="N204" i="17"/>
  <c r="O204" i="17"/>
  <c r="P204" i="17"/>
  <c r="Q204" i="17"/>
  <c r="R204" i="17"/>
  <c r="S204" i="17"/>
  <c r="B205" i="17"/>
  <c r="K205" i="17"/>
  <c r="L205" i="17"/>
  <c r="M205" i="17"/>
  <c r="N205" i="17"/>
  <c r="O205" i="17"/>
  <c r="P205" i="17"/>
  <c r="Q205" i="17"/>
  <c r="R205" i="17"/>
  <c r="S205" i="17"/>
  <c r="B206" i="17"/>
  <c r="K206" i="17"/>
  <c r="L206" i="17"/>
  <c r="M206" i="17"/>
  <c r="N206" i="17"/>
  <c r="O206" i="17"/>
  <c r="P206" i="17"/>
  <c r="Q206" i="17"/>
  <c r="R206" i="17"/>
  <c r="S206" i="17"/>
  <c r="B207" i="17"/>
  <c r="K207" i="17"/>
  <c r="L207" i="17"/>
  <c r="M207" i="17"/>
  <c r="N207" i="17"/>
  <c r="O207" i="17"/>
  <c r="P207" i="17"/>
  <c r="Q207" i="17"/>
  <c r="R207" i="17"/>
  <c r="S207" i="17"/>
  <c r="B208" i="17"/>
  <c r="K208" i="17"/>
  <c r="L208" i="17"/>
  <c r="M208" i="17"/>
  <c r="N208" i="17"/>
  <c r="O208" i="17"/>
  <c r="P208" i="17"/>
  <c r="Q208" i="17"/>
  <c r="R208" i="17"/>
  <c r="S208" i="17"/>
  <c r="B209" i="17"/>
  <c r="K209" i="17"/>
  <c r="L209" i="17"/>
  <c r="M209" i="17"/>
  <c r="N209" i="17"/>
  <c r="O209" i="17"/>
  <c r="P209" i="17"/>
  <c r="Q209" i="17"/>
  <c r="R209" i="17"/>
  <c r="S209" i="17"/>
  <c r="B210" i="17"/>
  <c r="K210" i="17"/>
  <c r="L210" i="17"/>
  <c r="M210" i="17"/>
  <c r="N210" i="17"/>
  <c r="O210" i="17"/>
  <c r="P210" i="17"/>
  <c r="Q210" i="17"/>
  <c r="R210" i="17"/>
  <c r="S210" i="17"/>
  <c r="B211" i="17"/>
  <c r="K211" i="17"/>
  <c r="L211" i="17"/>
  <c r="M211" i="17"/>
  <c r="N211" i="17"/>
  <c r="O211" i="17"/>
  <c r="P211" i="17"/>
  <c r="Q211" i="17"/>
  <c r="R211" i="17"/>
  <c r="S211" i="17"/>
  <c r="B212" i="17"/>
  <c r="K212" i="17"/>
  <c r="L212" i="17"/>
  <c r="M212" i="17"/>
  <c r="N212" i="17"/>
  <c r="O212" i="17"/>
  <c r="P212" i="17"/>
  <c r="Q212" i="17"/>
  <c r="R212" i="17"/>
  <c r="S212" i="17"/>
  <c r="B213" i="17"/>
  <c r="K213" i="17"/>
  <c r="L213" i="17"/>
  <c r="M213" i="17"/>
  <c r="N213" i="17"/>
  <c r="O213" i="17"/>
  <c r="P213" i="17"/>
  <c r="Q213" i="17"/>
  <c r="R213" i="17"/>
  <c r="S213" i="17"/>
  <c r="B214" i="17"/>
  <c r="K214" i="17"/>
  <c r="L214" i="17"/>
  <c r="M214" i="17"/>
  <c r="N214" i="17"/>
  <c r="O214" i="17"/>
  <c r="P214" i="17"/>
  <c r="Q214" i="17"/>
  <c r="R214" i="17"/>
  <c r="S214" i="17"/>
  <c r="B215" i="17"/>
  <c r="K215" i="17"/>
  <c r="L215" i="17"/>
  <c r="M215" i="17"/>
  <c r="N215" i="17"/>
  <c r="O215" i="17"/>
  <c r="P215" i="17"/>
  <c r="Q215" i="17"/>
  <c r="R215" i="17"/>
  <c r="S215" i="17"/>
  <c r="B216" i="17"/>
  <c r="K216" i="17"/>
  <c r="L216" i="17"/>
  <c r="M216" i="17"/>
  <c r="N216" i="17"/>
  <c r="O216" i="17"/>
  <c r="P216" i="17"/>
  <c r="Q216" i="17"/>
  <c r="R216" i="17"/>
  <c r="S216" i="17"/>
  <c r="B217" i="17"/>
  <c r="K217" i="17"/>
  <c r="L217" i="17"/>
  <c r="M217" i="17"/>
  <c r="N217" i="17"/>
  <c r="O217" i="17"/>
  <c r="P217" i="17"/>
  <c r="Q217" i="17"/>
  <c r="R217" i="17"/>
  <c r="S217" i="17"/>
  <c r="B218" i="17"/>
  <c r="K218" i="17"/>
  <c r="L218" i="17"/>
  <c r="M218" i="17"/>
  <c r="N218" i="17"/>
  <c r="O218" i="17"/>
  <c r="P218" i="17"/>
  <c r="Q218" i="17"/>
  <c r="R218" i="17"/>
  <c r="S218" i="17"/>
  <c r="B219" i="17"/>
  <c r="K219" i="17"/>
  <c r="L219" i="17"/>
  <c r="M219" i="17"/>
  <c r="N219" i="17"/>
  <c r="O219" i="17"/>
  <c r="P219" i="17"/>
  <c r="Q219" i="17"/>
  <c r="R219" i="17"/>
  <c r="S219" i="17"/>
  <c r="B220" i="17"/>
  <c r="K220" i="17"/>
  <c r="L220" i="17"/>
  <c r="M220" i="17"/>
  <c r="N220" i="17"/>
  <c r="O220" i="17"/>
  <c r="P220" i="17"/>
  <c r="Q220" i="17"/>
  <c r="R220" i="17"/>
  <c r="S220" i="17"/>
  <c r="B221" i="17"/>
  <c r="K221" i="17"/>
  <c r="L221" i="17"/>
  <c r="M221" i="17"/>
  <c r="N221" i="17"/>
  <c r="O221" i="17"/>
  <c r="P221" i="17"/>
  <c r="Q221" i="17"/>
  <c r="R221" i="17"/>
  <c r="S221" i="17"/>
  <c r="B222" i="17"/>
  <c r="K222" i="17"/>
  <c r="L222" i="17"/>
  <c r="M222" i="17"/>
  <c r="N222" i="17"/>
  <c r="O222" i="17"/>
  <c r="P222" i="17"/>
  <c r="Q222" i="17"/>
  <c r="R222" i="17"/>
  <c r="S222" i="17"/>
  <c r="B223" i="17"/>
  <c r="K223" i="17"/>
  <c r="L223" i="17"/>
  <c r="M223" i="17"/>
  <c r="N223" i="17"/>
  <c r="O223" i="17"/>
  <c r="P223" i="17"/>
  <c r="Q223" i="17"/>
  <c r="R223" i="17"/>
  <c r="S223" i="17"/>
  <c r="B224" i="17"/>
  <c r="K224" i="17"/>
  <c r="L224" i="17"/>
  <c r="M224" i="17"/>
  <c r="N224" i="17"/>
  <c r="O224" i="17"/>
  <c r="P224" i="17"/>
  <c r="Q224" i="17"/>
  <c r="R224" i="17"/>
  <c r="S224" i="17"/>
  <c r="B225" i="17"/>
  <c r="K225" i="17"/>
  <c r="L225" i="17"/>
  <c r="M225" i="17"/>
  <c r="N225" i="17"/>
  <c r="O225" i="17"/>
  <c r="P225" i="17"/>
  <c r="Q225" i="17"/>
  <c r="R225" i="17"/>
  <c r="S225" i="17"/>
  <c r="B226" i="17"/>
  <c r="K226" i="17"/>
  <c r="L226" i="17"/>
  <c r="M226" i="17"/>
  <c r="N226" i="17"/>
  <c r="O226" i="17"/>
  <c r="P226" i="17"/>
  <c r="Q226" i="17"/>
  <c r="R226" i="17"/>
  <c r="S226" i="17"/>
  <c r="B227" i="17"/>
  <c r="K227" i="17"/>
  <c r="L227" i="17"/>
  <c r="M227" i="17"/>
  <c r="N227" i="17"/>
  <c r="O227" i="17"/>
  <c r="P227" i="17"/>
  <c r="Q227" i="17"/>
  <c r="R227" i="17"/>
  <c r="S227" i="17"/>
  <c r="B228" i="17"/>
  <c r="K228" i="17"/>
  <c r="L228" i="17"/>
  <c r="M228" i="17"/>
  <c r="N228" i="17"/>
  <c r="O228" i="17"/>
  <c r="P228" i="17"/>
  <c r="Q228" i="17"/>
  <c r="R228" i="17"/>
  <c r="S228" i="17"/>
  <c r="B229" i="17"/>
  <c r="K229" i="17"/>
  <c r="L229" i="17"/>
  <c r="M229" i="17"/>
  <c r="N229" i="17"/>
  <c r="O229" i="17"/>
  <c r="P229" i="17"/>
  <c r="Q229" i="17"/>
  <c r="R229" i="17"/>
  <c r="S229" i="17"/>
  <c r="B230" i="17"/>
  <c r="K230" i="17"/>
  <c r="L230" i="17"/>
  <c r="M230" i="17"/>
  <c r="N230" i="17"/>
  <c r="O230" i="17"/>
  <c r="P230" i="17"/>
  <c r="Q230" i="17"/>
  <c r="R230" i="17"/>
  <c r="S230" i="17"/>
  <c r="B231" i="17"/>
  <c r="K231" i="17"/>
  <c r="L231" i="17"/>
  <c r="M231" i="17"/>
  <c r="N231" i="17"/>
  <c r="O231" i="17"/>
  <c r="P231" i="17"/>
  <c r="Q231" i="17"/>
  <c r="R231" i="17"/>
  <c r="S231" i="17"/>
  <c r="B232" i="17"/>
  <c r="K232" i="17"/>
  <c r="L232" i="17"/>
  <c r="M232" i="17"/>
  <c r="N232" i="17"/>
  <c r="O232" i="17"/>
  <c r="P232" i="17"/>
  <c r="Q232" i="17"/>
  <c r="R232" i="17"/>
  <c r="S232" i="17"/>
  <c r="B233" i="17"/>
  <c r="K233" i="17"/>
  <c r="L233" i="17"/>
  <c r="M233" i="17"/>
  <c r="N233" i="17"/>
  <c r="O233" i="17"/>
  <c r="P233" i="17"/>
  <c r="Q233" i="17"/>
  <c r="R233" i="17"/>
  <c r="S233" i="17"/>
  <c r="B234" i="17"/>
  <c r="K234" i="17"/>
  <c r="L234" i="17"/>
  <c r="M234" i="17"/>
  <c r="N234" i="17"/>
  <c r="O234" i="17"/>
  <c r="P234" i="17"/>
  <c r="Q234" i="17"/>
  <c r="R234" i="17"/>
  <c r="S234" i="17"/>
  <c r="B235" i="17"/>
  <c r="K235" i="17"/>
  <c r="L235" i="17"/>
  <c r="M235" i="17"/>
  <c r="N235" i="17"/>
  <c r="O235" i="17"/>
  <c r="P235" i="17"/>
  <c r="Q235" i="17"/>
  <c r="R235" i="17"/>
  <c r="S235" i="17"/>
  <c r="B236" i="17"/>
  <c r="K236" i="17"/>
  <c r="L236" i="17"/>
  <c r="M236" i="17"/>
  <c r="N236" i="17"/>
  <c r="O236" i="17"/>
  <c r="P236" i="17"/>
  <c r="Q236" i="17"/>
  <c r="R236" i="17"/>
  <c r="S236" i="17"/>
  <c r="B237" i="17"/>
  <c r="K237" i="17"/>
  <c r="L237" i="17"/>
  <c r="M237" i="17"/>
  <c r="N237" i="17"/>
  <c r="O237" i="17"/>
  <c r="P237" i="17"/>
  <c r="Q237" i="17"/>
  <c r="R237" i="17"/>
  <c r="S237" i="17"/>
  <c r="B238" i="17"/>
  <c r="K238" i="17"/>
  <c r="L238" i="17"/>
  <c r="M238" i="17"/>
  <c r="N238" i="17"/>
  <c r="O238" i="17"/>
  <c r="P238" i="17"/>
  <c r="Q238" i="17"/>
  <c r="R238" i="17"/>
  <c r="S238" i="17"/>
  <c r="B239" i="17"/>
  <c r="K239" i="17"/>
  <c r="L239" i="17"/>
  <c r="M239" i="17"/>
  <c r="N239" i="17"/>
  <c r="O239" i="17"/>
  <c r="P239" i="17"/>
  <c r="Q239" i="17"/>
  <c r="R239" i="17"/>
  <c r="S239" i="17"/>
  <c r="B240" i="17"/>
  <c r="K240" i="17"/>
  <c r="L240" i="17"/>
  <c r="M240" i="17"/>
  <c r="N240" i="17"/>
  <c r="O240" i="17"/>
  <c r="P240" i="17"/>
  <c r="Q240" i="17"/>
  <c r="R240" i="17"/>
  <c r="S240" i="17"/>
  <c r="B241" i="17"/>
  <c r="K241" i="17"/>
  <c r="L241" i="17"/>
  <c r="M241" i="17"/>
  <c r="N241" i="17"/>
  <c r="O241" i="17"/>
  <c r="P241" i="17"/>
  <c r="Q241" i="17"/>
  <c r="R241" i="17"/>
  <c r="S241" i="17"/>
  <c r="B242" i="17"/>
  <c r="K242" i="17"/>
  <c r="L242" i="17"/>
  <c r="M242" i="17"/>
  <c r="N242" i="17"/>
  <c r="O242" i="17"/>
  <c r="P242" i="17"/>
  <c r="Q242" i="17"/>
  <c r="R242" i="17"/>
  <c r="S242" i="17"/>
  <c r="B243" i="17"/>
  <c r="K243" i="17"/>
  <c r="L243" i="17"/>
  <c r="M243" i="17"/>
  <c r="N243" i="17"/>
  <c r="O243" i="17"/>
  <c r="P243" i="17"/>
  <c r="Q243" i="17"/>
  <c r="R243" i="17"/>
  <c r="S243" i="17"/>
  <c r="B244" i="17"/>
  <c r="K244" i="17"/>
  <c r="L244" i="17"/>
  <c r="M244" i="17"/>
  <c r="N244" i="17"/>
  <c r="O244" i="17"/>
  <c r="P244" i="17"/>
  <c r="Q244" i="17"/>
  <c r="R244" i="17"/>
  <c r="S244" i="17"/>
  <c r="B245" i="17"/>
  <c r="K245" i="17"/>
  <c r="L245" i="17"/>
  <c r="M245" i="17"/>
  <c r="N245" i="17"/>
  <c r="O245" i="17"/>
  <c r="P245" i="17"/>
  <c r="Q245" i="17"/>
  <c r="R245" i="17"/>
  <c r="S245" i="17"/>
  <c r="B246" i="17"/>
  <c r="K246" i="17"/>
  <c r="L246" i="17"/>
  <c r="M246" i="17"/>
  <c r="N246" i="17"/>
  <c r="O246" i="17"/>
  <c r="P246" i="17"/>
  <c r="Q246" i="17"/>
  <c r="R246" i="17"/>
  <c r="S246" i="17"/>
  <c r="B247" i="17"/>
  <c r="K247" i="17"/>
  <c r="L247" i="17"/>
  <c r="M247" i="17"/>
  <c r="N247" i="17"/>
  <c r="O247" i="17"/>
  <c r="P247" i="17"/>
  <c r="Q247" i="17"/>
  <c r="R247" i="17"/>
  <c r="S247" i="17"/>
  <c r="B248" i="17"/>
  <c r="K248" i="17"/>
  <c r="L248" i="17"/>
  <c r="M248" i="17"/>
  <c r="N248" i="17"/>
  <c r="O248" i="17"/>
  <c r="P248" i="17"/>
  <c r="Q248" i="17"/>
  <c r="R248" i="17"/>
  <c r="S248" i="17"/>
  <c r="B249" i="17"/>
  <c r="K249" i="17"/>
  <c r="L249" i="17"/>
  <c r="M249" i="17"/>
  <c r="N249" i="17"/>
  <c r="O249" i="17"/>
  <c r="P249" i="17"/>
  <c r="Q249" i="17"/>
  <c r="R249" i="17"/>
  <c r="S249" i="17"/>
  <c r="B250" i="17"/>
  <c r="K250" i="17"/>
  <c r="L250" i="17"/>
  <c r="M250" i="17"/>
  <c r="N250" i="17"/>
  <c r="O250" i="17"/>
  <c r="P250" i="17"/>
  <c r="Q250" i="17"/>
  <c r="R250" i="17"/>
  <c r="S250" i="17"/>
  <c r="B251" i="17"/>
  <c r="K251" i="17"/>
  <c r="L251" i="17"/>
  <c r="M251" i="17"/>
  <c r="N251" i="17"/>
  <c r="O251" i="17"/>
  <c r="P251" i="17"/>
  <c r="Q251" i="17"/>
  <c r="R251" i="17"/>
  <c r="S251" i="17"/>
  <c r="B252" i="17"/>
  <c r="K252" i="17"/>
  <c r="L252" i="17"/>
  <c r="M252" i="17"/>
  <c r="N252" i="17"/>
  <c r="O252" i="17"/>
  <c r="P252" i="17"/>
  <c r="Q252" i="17"/>
  <c r="R252" i="17"/>
  <c r="S252" i="17"/>
  <c r="B253" i="17"/>
  <c r="K253" i="17"/>
  <c r="L253" i="17"/>
  <c r="M253" i="17"/>
  <c r="N253" i="17"/>
  <c r="O253" i="17"/>
  <c r="P253" i="17"/>
  <c r="Q253" i="17"/>
  <c r="R253" i="17"/>
  <c r="S253" i="17"/>
  <c r="B254" i="17"/>
  <c r="K254" i="17"/>
  <c r="L254" i="17"/>
  <c r="M254" i="17"/>
  <c r="N254" i="17"/>
  <c r="O254" i="17"/>
  <c r="P254" i="17"/>
  <c r="Q254" i="17"/>
  <c r="R254" i="17"/>
  <c r="S254" i="17"/>
  <c r="B255" i="17"/>
  <c r="K255" i="17"/>
  <c r="L255" i="17"/>
  <c r="M255" i="17"/>
  <c r="N255" i="17"/>
  <c r="O255" i="17"/>
  <c r="P255" i="17"/>
  <c r="Q255" i="17"/>
  <c r="R255" i="17"/>
  <c r="S255" i="17"/>
  <c r="B256" i="17"/>
  <c r="K256" i="17"/>
  <c r="L256" i="17"/>
  <c r="M256" i="17"/>
  <c r="N256" i="17"/>
  <c r="O256" i="17"/>
  <c r="P256" i="17"/>
  <c r="Q256" i="17"/>
  <c r="R256" i="17"/>
  <c r="S256" i="17"/>
  <c r="B257" i="17"/>
  <c r="K257" i="17"/>
  <c r="L257" i="17"/>
  <c r="M257" i="17"/>
  <c r="N257" i="17"/>
  <c r="O257" i="17"/>
  <c r="P257" i="17"/>
  <c r="Q257" i="17"/>
  <c r="R257" i="17"/>
  <c r="S257" i="17"/>
  <c r="B258" i="17"/>
  <c r="K258" i="17"/>
  <c r="L258" i="17"/>
  <c r="M258" i="17"/>
  <c r="N258" i="17"/>
  <c r="O258" i="17"/>
  <c r="P258" i="17"/>
  <c r="Q258" i="17"/>
  <c r="R258" i="17"/>
  <c r="S258" i="17"/>
  <c r="B259" i="17"/>
  <c r="K259" i="17"/>
  <c r="L259" i="17"/>
  <c r="M259" i="17"/>
  <c r="N259" i="17"/>
  <c r="O259" i="17"/>
  <c r="P259" i="17"/>
  <c r="Q259" i="17"/>
  <c r="R259" i="17"/>
  <c r="S259" i="17"/>
  <c r="B260" i="17"/>
  <c r="K260" i="17"/>
  <c r="L260" i="17"/>
  <c r="M260" i="17"/>
  <c r="N260" i="17"/>
  <c r="O260" i="17"/>
  <c r="P260" i="17"/>
  <c r="Q260" i="17"/>
  <c r="R260" i="17"/>
  <c r="S260" i="17"/>
  <c r="B261" i="17"/>
  <c r="K261" i="17"/>
  <c r="L261" i="17"/>
  <c r="M261" i="17"/>
  <c r="N261" i="17"/>
  <c r="O261" i="17"/>
  <c r="P261" i="17"/>
  <c r="Q261" i="17"/>
  <c r="R261" i="17"/>
  <c r="S261" i="17"/>
  <c r="B262" i="17"/>
  <c r="K262" i="17"/>
  <c r="L262" i="17"/>
  <c r="M262" i="17"/>
  <c r="N262" i="17"/>
  <c r="O262" i="17"/>
  <c r="P262" i="17"/>
  <c r="Q262" i="17"/>
  <c r="R262" i="17"/>
  <c r="S262" i="17"/>
  <c r="B263" i="17"/>
  <c r="K263" i="17"/>
  <c r="L263" i="17"/>
  <c r="M263" i="17"/>
  <c r="N263" i="17"/>
  <c r="O263" i="17"/>
  <c r="P263" i="17"/>
  <c r="Q263" i="17"/>
  <c r="R263" i="17"/>
  <c r="S263" i="17"/>
  <c r="B264" i="17"/>
  <c r="K264" i="17"/>
  <c r="L264" i="17"/>
  <c r="M264" i="17"/>
  <c r="N264" i="17"/>
  <c r="O264" i="17"/>
  <c r="P264" i="17"/>
  <c r="Q264" i="17"/>
  <c r="R264" i="17"/>
  <c r="S264" i="17"/>
  <c r="B265" i="17"/>
  <c r="K265" i="17"/>
  <c r="L265" i="17"/>
  <c r="M265" i="17"/>
  <c r="N265" i="17"/>
  <c r="O265" i="17"/>
  <c r="P265" i="17"/>
  <c r="Q265" i="17"/>
  <c r="R265" i="17"/>
  <c r="S265" i="17"/>
  <c r="B266" i="17"/>
  <c r="K266" i="17"/>
  <c r="L266" i="17"/>
  <c r="M266" i="17"/>
  <c r="N266" i="17"/>
  <c r="O266" i="17"/>
  <c r="P266" i="17"/>
  <c r="Q266" i="17"/>
  <c r="R266" i="17"/>
  <c r="S266" i="17"/>
  <c r="B267" i="17"/>
  <c r="K267" i="17"/>
  <c r="L267" i="17"/>
  <c r="M267" i="17"/>
  <c r="N267" i="17"/>
  <c r="O267" i="17"/>
  <c r="P267" i="17"/>
  <c r="Q267" i="17"/>
  <c r="R267" i="17"/>
  <c r="S267" i="17"/>
  <c r="B268" i="17"/>
  <c r="K268" i="17"/>
  <c r="L268" i="17"/>
  <c r="M268" i="17"/>
  <c r="N268" i="17"/>
  <c r="O268" i="17"/>
  <c r="P268" i="17"/>
  <c r="Q268" i="17"/>
  <c r="R268" i="17"/>
  <c r="S268" i="17"/>
  <c r="B269" i="17"/>
  <c r="K269" i="17"/>
  <c r="L269" i="17"/>
  <c r="M269" i="17"/>
  <c r="N269" i="17"/>
  <c r="O269" i="17"/>
  <c r="P269" i="17"/>
  <c r="Q269" i="17"/>
  <c r="R269" i="17"/>
  <c r="S269" i="17"/>
  <c r="B270" i="17"/>
  <c r="K270" i="17"/>
  <c r="L270" i="17"/>
  <c r="M270" i="17"/>
  <c r="N270" i="17"/>
  <c r="O270" i="17"/>
  <c r="P270" i="17"/>
  <c r="Q270" i="17"/>
  <c r="R270" i="17"/>
  <c r="S270" i="17"/>
  <c r="B271" i="17"/>
  <c r="K271" i="17"/>
  <c r="L271" i="17"/>
  <c r="M271" i="17"/>
  <c r="N271" i="17"/>
  <c r="O271" i="17"/>
  <c r="P271" i="17"/>
  <c r="Q271" i="17"/>
  <c r="R271" i="17"/>
  <c r="S271" i="17"/>
  <c r="B272" i="17"/>
  <c r="K272" i="17"/>
  <c r="L272" i="17"/>
  <c r="M272" i="17"/>
  <c r="N272" i="17"/>
  <c r="O272" i="17"/>
  <c r="P272" i="17"/>
  <c r="Q272" i="17"/>
  <c r="R272" i="17"/>
  <c r="S272" i="17"/>
  <c r="B273" i="17"/>
  <c r="K273" i="17"/>
  <c r="L273" i="17"/>
  <c r="M273" i="17"/>
  <c r="N273" i="17"/>
  <c r="O273" i="17"/>
  <c r="P273" i="17"/>
  <c r="Q273" i="17"/>
  <c r="R273" i="17"/>
  <c r="S273" i="17"/>
  <c r="B274" i="17"/>
  <c r="K274" i="17"/>
  <c r="L274" i="17"/>
  <c r="M274" i="17"/>
  <c r="N274" i="17"/>
  <c r="O274" i="17"/>
  <c r="P274" i="17"/>
  <c r="Q274" i="17"/>
  <c r="R274" i="17"/>
  <c r="S274" i="17"/>
  <c r="B275" i="17"/>
  <c r="K275" i="17"/>
  <c r="L275" i="17"/>
  <c r="M275" i="17"/>
  <c r="N275" i="17"/>
  <c r="O275" i="17"/>
  <c r="P275" i="17"/>
  <c r="Q275" i="17"/>
  <c r="R275" i="17"/>
  <c r="S275" i="17"/>
  <c r="B276" i="17"/>
  <c r="K276" i="17"/>
  <c r="L276" i="17"/>
  <c r="M276" i="17"/>
  <c r="N276" i="17"/>
  <c r="O276" i="17"/>
  <c r="P276" i="17"/>
  <c r="Q276" i="17"/>
  <c r="R276" i="17"/>
  <c r="S276" i="17"/>
  <c r="B277" i="17"/>
  <c r="K277" i="17"/>
  <c r="L277" i="17"/>
  <c r="M277" i="17"/>
  <c r="N277" i="17"/>
  <c r="O277" i="17"/>
  <c r="P277" i="17"/>
  <c r="Q277" i="17"/>
  <c r="R277" i="17"/>
  <c r="S277" i="17"/>
  <c r="B278" i="17"/>
  <c r="K278" i="17"/>
  <c r="L278" i="17"/>
  <c r="M278" i="17"/>
  <c r="N278" i="17"/>
  <c r="O278" i="17"/>
  <c r="P278" i="17"/>
  <c r="Q278" i="17"/>
  <c r="R278" i="17"/>
  <c r="S278" i="17"/>
  <c r="B279" i="17"/>
  <c r="K279" i="17"/>
  <c r="L279" i="17"/>
  <c r="M279" i="17"/>
  <c r="N279" i="17"/>
  <c r="O279" i="17"/>
  <c r="P279" i="17"/>
  <c r="Q279" i="17"/>
  <c r="R279" i="17"/>
  <c r="S279" i="17"/>
  <c r="B280" i="17"/>
  <c r="K280" i="17"/>
  <c r="L280" i="17"/>
  <c r="M280" i="17"/>
  <c r="N280" i="17"/>
  <c r="O280" i="17"/>
  <c r="P280" i="17"/>
  <c r="Q280" i="17"/>
  <c r="R280" i="17"/>
  <c r="S280" i="17"/>
  <c r="B281" i="17"/>
  <c r="K281" i="17"/>
  <c r="L281" i="17"/>
  <c r="M281" i="17"/>
  <c r="N281" i="17"/>
  <c r="O281" i="17"/>
  <c r="P281" i="17"/>
  <c r="Q281" i="17"/>
  <c r="R281" i="17"/>
  <c r="S281" i="17"/>
  <c r="B282" i="17"/>
  <c r="K282" i="17"/>
  <c r="L282" i="17"/>
  <c r="M282" i="17"/>
  <c r="N282" i="17"/>
  <c r="O282" i="17"/>
  <c r="P282" i="17"/>
  <c r="Q282" i="17"/>
  <c r="R282" i="17"/>
  <c r="S282" i="17"/>
  <c r="B283" i="17"/>
  <c r="K283" i="17"/>
  <c r="L283" i="17"/>
  <c r="M283" i="17"/>
  <c r="N283" i="17"/>
  <c r="O283" i="17"/>
  <c r="P283" i="17"/>
  <c r="Q283" i="17"/>
  <c r="R283" i="17"/>
  <c r="S283" i="17"/>
  <c r="B284" i="17"/>
  <c r="K284" i="17"/>
  <c r="L284" i="17"/>
  <c r="M284" i="17"/>
  <c r="N284" i="17"/>
  <c r="O284" i="17"/>
  <c r="P284" i="17"/>
  <c r="Q284" i="17"/>
  <c r="R284" i="17"/>
  <c r="S284" i="17"/>
  <c r="B285" i="17"/>
  <c r="K285" i="17"/>
  <c r="L285" i="17"/>
  <c r="M285" i="17"/>
  <c r="N285" i="17"/>
  <c r="O285" i="17"/>
  <c r="P285" i="17"/>
  <c r="Q285" i="17"/>
  <c r="R285" i="17"/>
  <c r="S285" i="17"/>
  <c r="B286" i="17"/>
  <c r="K286" i="17"/>
  <c r="L286" i="17"/>
  <c r="M286" i="17"/>
  <c r="N286" i="17"/>
  <c r="O286" i="17"/>
  <c r="P286" i="17"/>
  <c r="Q286" i="17"/>
  <c r="R286" i="17"/>
  <c r="S286" i="17"/>
  <c r="B287" i="17"/>
  <c r="K287" i="17"/>
  <c r="L287" i="17"/>
  <c r="M287" i="17"/>
  <c r="N287" i="17"/>
  <c r="O287" i="17"/>
  <c r="P287" i="17"/>
  <c r="Q287" i="17"/>
  <c r="R287" i="17"/>
  <c r="S287" i="17"/>
  <c r="B288" i="17"/>
  <c r="K288" i="17"/>
  <c r="L288" i="17"/>
  <c r="M288" i="17"/>
  <c r="N288" i="17"/>
  <c r="O288" i="17"/>
  <c r="P288" i="17"/>
  <c r="Q288" i="17"/>
  <c r="R288" i="17"/>
  <c r="S288" i="17"/>
  <c r="B289" i="17"/>
  <c r="K289" i="17"/>
  <c r="L289" i="17"/>
  <c r="M289" i="17"/>
  <c r="N289" i="17"/>
  <c r="O289" i="17"/>
  <c r="P289" i="17"/>
  <c r="Q289" i="17"/>
  <c r="R289" i="17"/>
  <c r="S289" i="17"/>
  <c r="B290" i="17"/>
  <c r="K290" i="17"/>
  <c r="L290" i="17"/>
  <c r="M290" i="17"/>
  <c r="N290" i="17"/>
  <c r="O290" i="17"/>
  <c r="P290" i="17"/>
  <c r="Q290" i="17"/>
  <c r="R290" i="17"/>
  <c r="S290" i="17"/>
  <c r="B291" i="17"/>
  <c r="K291" i="17"/>
  <c r="L291" i="17"/>
  <c r="M291" i="17"/>
  <c r="N291" i="17"/>
  <c r="O291" i="17"/>
  <c r="P291" i="17"/>
  <c r="Q291" i="17"/>
  <c r="R291" i="17"/>
  <c r="S291" i="17"/>
  <c r="B292" i="17"/>
  <c r="K292" i="17"/>
  <c r="L292" i="17"/>
  <c r="M292" i="17"/>
  <c r="N292" i="17"/>
  <c r="O292" i="17"/>
  <c r="P292" i="17"/>
  <c r="Q292" i="17"/>
  <c r="R292" i="17"/>
  <c r="S292" i="17"/>
  <c r="B293" i="17"/>
  <c r="K293" i="17"/>
  <c r="L293" i="17"/>
  <c r="M293" i="17"/>
  <c r="N293" i="17"/>
  <c r="O293" i="17"/>
  <c r="P293" i="17"/>
  <c r="Q293" i="17"/>
  <c r="R293" i="17"/>
  <c r="S293" i="17"/>
  <c r="B294" i="17"/>
  <c r="K294" i="17"/>
  <c r="L294" i="17"/>
  <c r="M294" i="17"/>
  <c r="N294" i="17"/>
  <c r="O294" i="17"/>
  <c r="P294" i="17"/>
  <c r="Q294" i="17"/>
  <c r="R294" i="17"/>
  <c r="S294" i="17"/>
  <c r="B295" i="17"/>
  <c r="K295" i="17"/>
  <c r="L295" i="17"/>
  <c r="M295" i="17"/>
  <c r="N295" i="17"/>
  <c r="O295" i="17"/>
  <c r="P295" i="17"/>
  <c r="Q295" i="17"/>
  <c r="R295" i="17"/>
  <c r="S295" i="17"/>
  <c r="B296" i="17"/>
  <c r="K296" i="17"/>
  <c r="L296" i="17"/>
  <c r="M296" i="17"/>
  <c r="N296" i="17"/>
  <c r="O296" i="17"/>
  <c r="P296" i="17"/>
  <c r="Q296" i="17"/>
  <c r="R296" i="17"/>
  <c r="S296" i="17"/>
  <c r="B297" i="17"/>
  <c r="K297" i="17"/>
  <c r="L297" i="17"/>
  <c r="M297" i="17"/>
  <c r="N297" i="17"/>
  <c r="O297" i="17"/>
  <c r="P297" i="17"/>
  <c r="Q297" i="17"/>
  <c r="R297" i="17"/>
  <c r="S297" i="17"/>
  <c r="B298" i="17"/>
  <c r="K298" i="17"/>
  <c r="L298" i="17"/>
  <c r="M298" i="17"/>
  <c r="N298" i="17"/>
  <c r="O298" i="17"/>
  <c r="P298" i="17"/>
  <c r="Q298" i="17"/>
  <c r="R298" i="17"/>
  <c r="S298" i="17"/>
  <c r="B299" i="17"/>
  <c r="K299" i="17"/>
  <c r="L299" i="17"/>
  <c r="M299" i="17"/>
  <c r="N299" i="17"/>
  <c r="O299" i="17"/>
  <c r="P299" i="17"/>
  <c r="Q299" i="17"/>
  <c r="R299" i="17"/>
  <c r="S299" i="17"/>
  <c r="B300" i="17"/>
  <c r="K300" i="17"/>
  <c r="L300" i="17"/>
  <c r="M300" i="17"/>
  <c r="N300" i="17"/>
  <c r="O300" i="17"/>
  <c r="P300" i="17"/>
  <c r="Q300" i="17"/>
  <c r="R300" i="17"/>
  <c r="S300" i="17"/>
  <c r="B301" i="17"/>
  <c r="K301" i="17"/>
  <c r="L301" i="17"/>
  <c r="M301" i="17"/>
  <c r="N301" i="17"/>
  <c r="O301" i="17"/>
  <c r="P301" i="17"/>
  <c r="Q301" i="17"/>
  <c r="R301" i="17"/>
  <c r="S301" i="17"/>
  <c r="B302" i="17"/>
  <c r="K302" i="17"/>
  <c r="L302" i="17"/>
  <c r="M302" i="17"/>
  <c r="N302" i="17"/>
  <c r="O302" i="17"/>
  <c r="P302" i="17"/>
  <c r="Q302" i="17"/>
  <c r="R302" i="17"/>
  <c r="S302" i="17"/>
  <c r="B303" i="17"/>
  <c r="K303" i="17"/>
  <c r="L303" i="17"/>
  <c r="M303" i="17"/>
  <c r="N303" i="17"/>
  <c r="O303" i="17"/>
  <c r="P303" i="17"/>
  <c r="Q303" i="17"/>
  <c r="R303" i="17"/>
  <c r="S303" i="17"/>
  <c r="B304" i="17"/>
  <c r="K304" i="17"/>
  <c r="L304" i="17"/>
  <c r="M304" i="17"/>
  <c r="N304" i="17"/>
  <c r="O304" i="17"/>
  <c r="P304" i="17"/>
  <c r="Q304" i="17"/>
  <c r="R304" i="17"/>
  <c r="S304" i="17"/>
  <c r="B305" i="17"/>
  <c r="K305" i="17"/>
  <c r="L305" i="17"/>
  <c r="M305" i="17"/>
  <c r="N305" i="17"/>
  <c r="O305" i="17"/>
  <c r="P305" i="17"/>
  <c r="Q305" i="17"/>
  <c r="R305" i="17"/>
  <c r="S305" i="17"/>
  <c r="B306" i="17"/>
  <c r="K306" i="17"/>
  <c r="L306" i="17"/>
  <c r="M306" i="17"/>
  <c r="N306" i="17"/>
  <c r="O306" i="17"/>
  <c r="P306" i="17"/>
  <c r="Q306" i="17"/>
  <c r="R306" i="17"/>
  <c r="S306" i="17"/>
  <c r="B307" i="17"/>
  <c r="K307" i="17"/>
  <c r="L307" i="17"/>
  <c r="M307" i="17"/>
  <c r="N307" i="17"/>
  <c r="O307" i="17"/>
  <c r="P307" i="17"/>
  <c r="Q307" i="17"/>
  <c r="R307" i="17"/>
  <c r="S307" i="17"/>
  <c r="B308" i="17"/>
  <c r="K308" i="17"/>
  <c r="L308" i="17"/>
  <c r="M308" i="17"/>
  <c r="N308" i="17"/>
  <c r="O308" i="17"/>
  <c r="P308" i="17"/>
  <c r="Q308" i="17"/>
  <c r="R308" i="17"/>
  <c r="S308" i="17"/>
  <c r="B309" i="17"/>
  <c r="K309" i="17"/>
  <c r="L309" i="17"/>
  <c r="M309" i="17"/>
  <c r="N309" i="17"/>
  <c r="O309" i="17"/>
  <c r="P309" i="17"/>
  <c r="Q309" i="17"/>
  <c r="R309" i="17"/>
  <c r="S309" i="17"/>
  <c r="B310" i="17"/>
  <c r="K310" i="17"/>
  <c r="L310" i="17"/>
  <c r="M310" i="17"/>
  <c r="N310" i="17"/>
  <c r="O310" i="17"/>
  <c r="P310" i="17"/>
  <c r="Q310" i="17"/>
  <c r="R310" i="17"/>
  <c r="S310" i="17"/>
  <c r="B311" i="17"/>
  <c r="K311" i="17"/>
  <c r="L311" i="17"/>
  <c r="M311" i="17"/>
  <c r="N311" i="17"/>
  <c r="O311" i="17"/>
  <c r="P311" i="17"/>
  <c r="Q311" i="17"/>
  <c r="R311" i="17"/>
  <c r="S311" i="17"/>
  <c r="B312" i="17"/>
  <c r="K312" i="17"/>
  <c r="L312" i="17"/>
  <c r="M312" i="17"/>
  <c r="N312" i="17"/>
  <c r="O312" i="17"/>
  <c r="P312" i="17"/>
  <c r="Q312" i="17"/>
  <c r="R312" i="17"/>
  <c r="S312" i="17"/>
  <c r="B313" i="17"/>
  <c r="K313" i="17"/>
  <c r="L313" i="17"/>
  <c r="M313" i="17"/>
  <c r="N313" i="17"/>
  <c r="O313" i="17"/>
  <c r="P313" i="17"/>
  <c r="Q313" i="17"/>
  <c r="R313" i="17"/>
  <c r="S313" i="17"/>
  <c r="B314" i="17"/>
  <c r="K314" i="17"/>
  <c r="L314" i="17"/>
  <c r="M314" i="17"/>
  <c r="N314" i="17"/>
  <c r="O314" i="17"/>
  <c r="P314" i="17"/>
  <c r="Q314" i="17"/>
  <c r="R314" i="17"/>
  <c r="S314" i="17"/>
  <c r="B315" i="17"/>
  <c r="K315" i="17"/>
  <c r="L315" i="17"/>
  <c r="M315" i="17"/>
  <c r="N315" i="17"/>
  <c r="O315" i="17"/>
  <c r="P315" i="17"/>
  <c r="Q315" i="17"/>
  <c r="R315" i="17"/>
  <c r="S315" i="17"/>
  <c r="B316" i="17"/>
  <c r="K316" i="17"/>
  <c r="L316" i="17"/>
  <c r="M316" i="17"/>
  <c r="N316" i="17"/>
  <c r="O316" i="17"/>
  <c r="P316" i="17"/>
  <c r="Q316" i="17"/>
  <c r="R316" i="17"/>
  <c r="S316" i="17"/>
  <c r="B317" i="17"/>
  <c r="K317" i="17"/>
  <c r="L317" i="17"/>
  <c r="M317" i="17"/>
  <c r="N317" i="17"/>
  <c r="O317" i="17"/>
  <c r="P317" i="17"/>
  <c r="Q317" i="17"/>
  <c r="R317" i="17"/>
  <c r="S317" i="17"/>
  <c r="B318" i="17"/>
  <c r="K318" i="17"/>
  <c r="L318" i="17"/>
  <c r="M318" i="17"/>
  <c r="N318" i="17"/>
  <c r="O318" i="17"/>
  <c r="P318" i="17"/>
  <c r="Q318" i="17"/>
  <c r="R318" i="17"/>
  <c r="S318" i="17"/>
  <c r="B319" i="17"/>
  <c r="K319" i="17"/>
  <c r="L319" i="17"/>
  <c r="M319" i="17"/>
  <c r="N319" i="17"/>
  <c r="O319" i="17"/>
  <c r="P319" i="17"/>
  <c r="Q319" i="17"/>
  <c r="R319" i="17"/>
  <c r="S319" i="17"/>
  <c r="B320" i="17"/>
  <c r="K320" i="17"/>
  <c r="L320" i="17"/>
  <c r="M320" i="17"/>
  <c r="N320" i="17"/>
  <c r="O320" i="17"/>
  <c r="P320" i="17"/>
  <c r="Q320" i="17"/>
  <c r="R320" i="17"/>
  <c r="S320" i="17"/>
  <c r="B321" i="17"/>
  <c r="K321" i="17"/>
  <c r="L321" i="17"/>
  <c r="M321" i="17"/>
  <c r="N321" i="17"/>
  <c r="O321" i="17"/>
  <c r="P321" i="17"/>
  <c r="Q321" i="17"/>
  <c r="R321" i="17"/>
  <c r="S321" i="17"/>
  <c r="B322" i="17"/>
  <c r="K322" i="17"/>
  <c r="L322" i="17"/>
  <c r="M322" i="17"/>
  <c r="N322" i="17"/>
  <c r="O322" i="17"/>
  <c r="P322" i="17"/>
  <c r="Q322" i="17"/>
  <c r="R322" i="17"/>
  <c r="S322" i="17"/>
  <c r="B323" i="17"/>
  <c r="K323" i="17"/>
  <c r="L323" i="17"/>
  <c r="M323" i="17"/>
  <c r="N323" i="17"/>
  <c r="O323" i="17"/>
  <c r="P323" i="17"/>
  <c r="Q323" i="17"/>
  <c r="R323" i="17"/>
  <c r="S323" i="17"/>
  <c r="B324" i="17"/>
  <c r="K324" i="17"/>
  <c r="L324" i="17"/>
  <c r="M324" i="17"/>
  <c r="N324" i="17"/>
  <c r="O324" i="17"/>
  <c r="P324" i="17"/>
  <c r="Q324" i="17"/>
  <c r="R324" i="17"/>
  <c r="S324" i="17"/>
  <c r="B325" i="17"/>
  <c r="K325" i="17"/>
  <c r="L325" i="17"/>
  <c r="M325" i="17"/>
  <c r="N325" i="17"/>
  <c r="O325" i="17"/>
  <c r="P325" i="17"/>
  <c r="Q325" i="17"/>
  <c r="R325" i="17"/>
  <c r="S325" i="17"/>
  <c r="B326" i="17"/>
  <c r="K326" i="17"/>
  <c r="L326" i="17"/>
  <c r="M326" i="17"/>
  <c r="N326" i="17"/>
  <c r="O326" i="17"/>
  <c r="P326" i="17"/>
  <c r="Q326" i="17"/>
  <c r="R326" i="17"/>
  <c r="S326" i="17"/>
  <c r="B327" i="17"/>
  <c r="K327" i="17"/>
  <c r="L327" i="17"/>
  <c r="M327" i="17"/>
  <c r="N327" i="17"/>
  <c r="O327" i="17"/>
  <c r="P327" i="17"/>
  <c r="Q327" i="17"/>
  <c r="R327" i="17"/>
  <c r="S327" i="17"/>
  <c r="B328" i="17"/>
  <c r="K328" i="17"/>
  <c r="L328" i="17"/>
  <c r="M328" i="17"/>
  <c r="N328" i="17"/>
  <c r="O328" i="17"/>
  <c r="P328" i="17"/>
  <c r="Q328" i="17"/>
  <c r="R328" i="17"/>
  <c r="S328" i="17"/>
  <c r="B329" i="17"/>
  <c r="K329" i="17"/>
  <c r="L329" i="17"/>
  <c r="M329" i="17"/>
  <c r="N329" i="17"/>
  <c r="O329" i="17"/>
  <c r="P329" i="17"/>
  <c r="Q329" i="17"/>
  <c r="R329" i="17"/>
  <c r="S329" i="17"/>
  <c r="B330" i="17"/>
  <c r="K330" i="17"/>
  <c r="L330" i="17"/>
  <c r="M330" i="17"/>
  <c r="N330" i="17"/>
  <c r="O330" i="17"/>
  <c r="P330" i="17"/>
  <c r="Q330" i="17"/>
  <c r="R330" i="17"/>
  <c r="S330" i="17"/>
  <c r="B331" i="17"/>
  <c r="K331" i="17"/>
  <c r="L331" i="17"/>
  <c r="M331" i="17"/>
  <c r="N331" i="17"/>
  <c r="O331" i="17"/>
  <c r="P331" i="17"/>
  <c r="Q331" i="17"/>
  <c r="R331" i="17"/>
  <c r="S331" i="17"/>
  <c r="B332" i="17"/>
  <c r="K332" i="17"/>
  <c r="L332" i="17"/>
  <c r="M332" i="17"/>
  <c r="N332" i="17"/>
  <c r="O332" i="17"/>
  <c r="P332" i="17"/>
  <c r="Q332" i="17"/>
  <c r="R332" i="17"/>
  <c r="S332" i="17"/>
  <c r="B333" i="17"/>
  <c r="K333" i="17"/>
  <c r="L333" i="17"/>
  <c r="M333" i="17"/>
  <c r="N333" i="17"/>
  <c r="O333" i="17"/>
  <c r="P333" i="17"/>
  <c r="Q333" i="17"/>
  <c r="R333" i="17"/>
  <c r="S333" i="17"/>
  <c r="B334" i="17"/>
  <c r="K334" i="17"/>
  <c r="L334" i="17"/>
  <c r="M334" i="17"/>
  <c r="N334" i="17"/>
  <c r="O334" i="17"/>
  <c r="P334" i="17"/>
  <c r="Q334" i="17"/>
  <c r="R334" i="17"/>
  <c r="S334" i="17"/>
  <c r="B335" i="17"/>
  <c r="K335" i="17"/>
  <c r="L335" i="17"/>
  <c r="M335" i="17"/>
  <c r="N335" i="17"/>
  <c r="O335" i="17"/>
  <c r="P335" i="17"/>
  <c r="Q335" i="17"/>
  <c r="R335" i="17"/>
  <c r="S335" i="17"/>
  <c r="B336" i="17"/>
  <c r="K336" i="17"/>
  <c r="L336" i="17"/>
  <c r="M336" i="17"/>
  <c r="N336" i="17"/>
  <c r="O336" i="17"/>
  <c r="P336" i="17"/>
  <c r="Q336" i="17"/>
  <c r="R336" i="17"/>
  <c r="S336" i="17"/>
  <c r="B337" i="17"/>
  <c r="K337" i="17"/>
  <c r="L337" i="17"/>
  <c r="M337" i="17"/>
  <c r="N337" i="17"/>
  <c r="O337" i="17"/>
  <c r="P337" i="17"/>
  <c r="Q337" i="17"/>
  <c r="R337" i="17"/>
  <c r="S337" i="17"/>
  <c r="B338" i="17"/>
  <c r="K338" i="17"/>
  <c r="L338" i="17"/>
  <c r="M338" i="17"/>
  <c r="N338" i="17"/>
  <c r="O338" i="17"/>
  <c r="P338" i="17"/>
  <c r="Q338" i="17"/>
  <c r="R338" i="17"/>
  <c r="S338" i="17"/>
  <c r="B339" i="17"/>
  <c r="K339" i="17"/>
  <c r="L339" i="17"/>
  <c r="M339" i="17"/>
  <c r="N339" i="17"/>
  <c r="O339" i="17"/>
  <c r="P339" i="17"/>
  <c r="Q339" i="17"/>
  <c r="R339" i="17"/>
  <c r="S339" i="17"/>
  <c r="B340" i="17"/>
  <c r="K340" i="17"/>
  <c r="L340" i="17"/>
  <c r="M340" i="17"/>
  <c r="N340" i="17"/>
  <c r="O340" i="17"/>
  <c r="P340" i="17"/>
  <c r="Q340" i="17"/>
  <c r="R340" i="17"/>
  <c r="S340" i="17"/>
  <c r="B341" i="17"/>
  <c r="K341" i="17"/>
  <c r="L341" i="17"/>
  <c r="M341" i="17"/>
  <c r="N341" i="17"/>
  <c r="O341" i="17"/>
  <c r="P341" i="17"/>
  <c r="Q341" i="17"/>
  <c r="R341" i="17"/>
  <c r="S341" i="17"/>
  <c r="B342" i="17"/>
  <c r="K342" i="17"/>
  <c r="L342" i="17"/>
  <c r="M342" i="17"/>
  <c r="N342" i="17"/>
  <c r="O342" i="17"/>
  <c r="P342" i="17"/>
  <c r="Q342" i="17"/>
  <c r="R342" i="17"/>
  <c r="S342" i="17"/>
  <c r="B343" i="17"/>
  <c r="K343" i="17"/>
  <c r="L343" i="17"/>
  <c r="M343" i="17"/>
  <c r="N343" i="17"/>
  <c r="O343" i="17"/>
  <c r="P343" i="17"/>
  <c r="Q343" i="17"/>
  <c r="R343" i="17"/>
  <c r="S343" i="17"/>
  <c r="B344" i="17"/>
  <c r="K344" i="17"/>
  <c r="L344" i="17"/>
  <c r="M344" i="17"/>
  <c r="N344" i="17"/>
  <c r="O344" i="17"/>
  <c r="P344" i="17"/>
  <c r="Q344" i="17"/>
  <c r="R344" i="17"/>
  <c r="S344" i="17"/>
  <c r="B345" i="17"/>
  <c r="K345" i="17"/>
  <c r="L345" i="17"/>
  <c r="M345" i="17"/>
  <c r="N345" i="17"/>
  <c r="O345" i="17"/>
  <c r="P345" i="17"/>
  <c r="Q345" i="17"/>
  <c r="R345" i="17"/>
  <c r="S345" i="17"/>
  <c r="B346" i="17"/>
  <c r="K346" i="17"/>
  <c r="L346" i="17"/>
  <c r="M346" i="17"/>
  <c r="N346" i="17"/>
  <c r="O346" i="17"/>
  <c r="P346" i="17"/>
  <c r="Q346" i="17"/>
  <c r="R346" i="17"/>
  <c r="S346" i="17"/>
  <c r="B347" i="17"/>
  <c r="K347" i="17"/>
  <c r="L347" i="17"/>
  <c r="M347" i="17"/>
  <c r="N347" i="17"/>
  <c r="O347" i="17"/>
  <c r="P347" i="17"/>
  <c r="Q347" i="17"/>
  <c r="R347" i="17"/>
  <c r="S347" i="17"/>
  <c r="B348" i="17"/>
  <c r="K348" i="17"/>
  <c r="L348" i="17"/>
  <c r="M348" i="17"/>
  <c r="N348" i="17"/>
  <c r="O348" i="17"/>
  <c r="P348" i="17"/>
  <c r="Q348" i="17"/>
  <c r="R348" i="17"/>
  <c r="S348" i="17"/>
  <c r="B349" i="17"/>
  <c r="K349" i="17"/>
  <c r="L349" i="17"/>
  <c r="M349" i="17"/>
  <c r="N349" i="17"/>
  <c r="O349" i="17"/>
  <c r="P349" i="17"/>
  <c r="Q349" i="17"/>
  <c r="R349" i="17"/>
  <c r="S349" i="17"/>
  <c r="B350" i="17"/>
  <c r="K350" i="17"/>
  <c r="L350" i="17"/>
  <c r="M350" i="17"/>
  <c r="N350" i="17"/>
  <c r="O350" i="17"/>
  <c r="P350" i="17"/>
  <c r="Q350" i="17"/>
  <c r="R350" i="17"/>
  <c r="S350" i="17"/>
  <c r="B351" i="17"/>
  <c r="K351" i="17"/>
  <c r="L351" i="17"/>
  <c r="M351" i="17"/>
  <c r="N351" i="17"/>
  <c r="O351" i="17"/>
  <c r="P351" i="17"/>
  <c r="Q351" i="17"/>
  <c r="R351" i="17"/>
  <c r="S351" i="17"/>
  <c r="B352" i="17"/>
  <c r="K352" i="17"/>
  <c r="L352" i="17"/>
  <c r="M352" i="17"/>
  <c r="N352" i="17"/>
  <c r="O352" i="17"/>
  <c r="P352" i="17"/>
  <c r="Q352" i="17"/>
  <c r="R352" i="17"/>
  <c r="S352" i="17"/>
  <c r="B353" i="17"/>
  <c r="K353" i="17"/>
  <c r="L353" i="17"/>
  <c r="M353" i="17"/>
  <c r="N353" i="17"/>
  <c r="O353" i="17"/>
  <c r="P353" i="17"/>
  <c r="Q353" i="17"/>
  <c r="R353" i="17"/>
  <c r="S353" i="17"/>
  <c r="B354" i="17"/>
  <c r="K354" i="17"/>
  <c r="L354" i="17"/>
  <c r="M354" i="17"/>
  <c r="N354" i="17"/>
  <c r="O354" i="17"/>
  <c r="P354" i="17"/>
  <c r="Q354" i="17"/>
  <c r="R354" i="17"/>
  <c r="S354" i="17"/>
  <c r="B355" i="17"/>
  <c r="K355" i="17"/>
  <c r="L355" i="17"/>
  <c r="M355" i="17"/>
  <c r="N355" i="17"/>
  <c r="O355" i="17"/>
  <c r="P355" i="17"/>
  <c r="Q355" i="17"/>
  <c r="R355" i="17"/>
  <c r="S355" i="17"/>
  <c r="B356" i="17"/>
  <c r="K356" i="17"/>
  <c r="L356" i="17"/>
  <c r="M356" i="17"/>
  <c r="N356" i="17"/>
  <c r="O356" i="17"/>
  <c r="P356" i="17"/>
  <c r="Q356" i="17"/>
  <c r="R356" i="17"/>
  <c r="S356" i="17"/>
  <c r="B357" i="17"/>
  <c r="K357" i="17"/>
  <c r="L357" i="17"/>
  <c r="M357" i="17"/>
  <c r="N357" i="17"/>
  <c r="O357" i="17"/>
  <c r="P357" i="17"/>
  <c r="Q357" i="17"/>
  <c r="R357" i="17"/>
  <c r="S357" i="17"/>
  <c r="B358" i="17"/>
  <c r="K358" i="17"/>
  <c r="L358" i="17"/>
  <c r="M358" i="17"/>
  <c r="N358" i="17"/>
  <c r="O358" i="17"/>
  <c r="P358" i="17"/>
  <c r="Q358" i="17"/>
  <c r="R358" i="17"/>
  <c r="S358" i="17"/>
  <c r="B359" i="17"/>
  <c r="K359" i="17"/>
  <c r="L359" i="17"/>
  <c r="M359" i="17"/>
  <c r="N359" i="17"/>
  <c r="O359" i="17"/>
  <c r="P359" i="17"/>
  <c r="Q359" i="17"/>
  <c r="R359" i="17"/>
  <c r="S359" i="17"/>
  <c r="B360" i="17"/>
  <c r="K360" i="17"/>
  <c r="L360" i="17"/>
  <c r="M360" i="17"/>
  <c r="N360" i="17"/>
  <c r="O360" i="17"/>
  <c r="P360" i="17"/>
  <c r="Q360" i="17"/>
  <c r="R360" i="17"/>
  <c r="S360" i="17"/>
  <c r="B361" i="17"/>
  <c r="K361" i="17"/>
  <c r="L361" i="17"/>
  <c r="M361" i="17"/>
  <c r="N361" i="17"/>
  <c r="O361" i="17"/>
  <c r="P361" i="17"/>
  <c r="Q361" i="17"/>
  <c r="R361" i="17"/>
  <c r="S361" i="17"/>
  <c r="B362" i="17"/>
  <c r="K362" i="17"/>
  <c r="L362" i="17"/>
  <c r="M362" i="17"/>
  <c r="N362" i="17"/>
  <c r="O362" i="17"/>
  <c r="P362" i="17"/>
  <c r="Q362" i="17"/>
  <c r="R362" i="17"/>
  <c r="S362" i="17"/>
  <c r="B363" i="17"/>
  <c r="K363" i="17"/>
  <c r="L363" i="17"/>
  <c r="M363" i="17"/>
  <c r="N363" i="17"/>
  <c r="O363" i="17"/>
  <c r="P363" i="17"/>
  <c r="Q363" i="17"/>
  <c r="R363" i="17"/>
  <c r="S363" i="17"/>
  <c r="B364" i="17"/>
  <c r="K364" i="17"/>
  <c r="L364" i="17"/>
  <c r="M364" i="17"/>
  <c r="N364" i="17"/>
  <c r="O364" i="17"/>
  <c r="P364" i="17"/>
  <c r="Q364" i="17"/>
  <c r="R364" i="17"/>
  <c r="S364" i="17"/>
  <c r="B365" i="17"/>
  <c r="K365" i="17"/>
  <c r="L365" i="17"/>
  <c r="M365" i="17"/>
  <c r="N365" i="17"/>
  <c r="O365" i="17"/>
  <c r="P365" i="17"/>
  <c r="Q365" i="17"/>
  <c r="R365" i="17"/>
  <c r="S365" i="17"/>
  <c r="B366" i="17"/>
  <c r="K366" i="17"/>
  <c r="L366" i="17"/>
  <c r="M366" i="17"/>
  <c r="N366" i="17"/>
  <c r="O366" i="17"/>
  <c r="P366" i="17"/>
  <c r="Q366" i="17"/>
  <c r="R366" i="17"/>
  <c r="S366" i="17"/>
  <c r="B367" i="17"/>
  <c r="K367" i="17"/>
  <c r="L367" i="17"/>
  <c r="M367" i="17"/>
  <c r="N367" i="17"/>
  <c r="O367" i="17"/>
  <c r="P367" i="17"/>
  <c r="Q367" i="17"/>
  <c r="R367" i="17"/>
  <c r="S367" i="17"/>
  <c r="B368" i="17"/>
  <c r="K368" i="17"/>
  <c r="L368" i="17"/>
  <c r="M368" i="17"/>
  <c r="N368" i="17"/>
  <c r="O368" i="17"/>
  <c r="P368" i="17"/>
  <c r="Q368" i="17"/>
  <c r="R368" i="17"/>
  <c r="S368" i="17"/>
  <c r="B369" i="17"/>
  <c r="K369" i="17"/>
  <c r="L369" i="17"/>
  <c r="M369" i="17"/>
  <c r="N369" i="17"/>
  <c r="O369" i="17"/>
  <c r="P369" i="17"/>
  <c r="Q369" i="17"/>
  <c r="R369" i="17"/>
  <c r="S369" i="17"/>
  <c r="B370" i="17"/>
  <c r="K370" i="17"/>
  <c r="L370" i="17"/>
  <c r="M370" i="17"/>
  <c r="N370" i="17"/>
  <c r="O370" i="17"/>
  <c r="P370" i="17"/>
  <c r="Q370" i="17"/>
  <c r="R370" i="17"/>
  <c r="S370" i="17"/>
  <c r="B371" i="17"/>
  <c r="K371" i="17"/>
  <c r="L371" i="17"/>
  <c r="M371" i="17"/>
  <c r="N371" i="17"/>
  <c r="O371" i="17"/>
  <c r="P371" i="17"/>
  <c r="Q371" i="17"/>
  <c r="R371" i="17"/>
  <c r="S371" i="17"/>
  <c r="B372" i="17"/>
  <c r="K372" i="17"/>
  <c r="L372" i="17"/>
  <c r="M372" i="17"/>
  <c r="N372" i="17"/>
  <c r="O372" i="17"/>
  <c r="P372" i="17"/>
  <c r="Q372" i="17"/>
  <c r="R372" i="17"/>
  <c r="S372" i="17"/>
  <c r="B373" i="17"/>
  <c r="K373" i="17"/>
  <c r="L373" i="17"/>
  <c r="M373" i="17"/>
  <c r="N373" i="17"/>
  <c r="O373" i="17"/>
  <c r="P373" i="17"/>
  <c r="Q373" i="17"/>
  <c r="R373" i="17"/>
  <c r="S373" i="17"/>
  <c r="B374" i="17"/>
  <c r="K374" i="17"/>
  <c r="L374" i="17"/>
  <c r="M374" i="17"/>
  <c r="N374" i="17"/>
  <c r="O374" i="17"/>
  <c r="P374" i="17"/>
  <c r="Q374" i="17"/>
  <c r="R374" i="17"/>
  <c r="S374" i="17"/>
  <c r="B375" i="17"/>
  <c r="K375" i="17"/>
  <c r="L375" i="17"/>
  <c r="M375" i="17"/>
  <c r="N375" i="17"/>
  <c r="O375" i="17"/>
  <c r="P375" i="17"/>
  <c r="Q375" i="17"/>
  <c r="R375" i="17"/>
  <c r="S375" i="17"/>
  <c r="B376" i="17"/>
  <c r="K376" i="17"/>
  <c r="L376" i="17"/>
  <c r="M376" i="17"/>
  <c r="N376" i="17"/>
  <c r="O376" i="17"/>
  <c r="P376" i="17"/>
  <c r="Q376" i="17"/>
  <c r="R376" i="17"/>
  <c r="S376" i="17"/>
  <c r="B377" i="17"/>
  <c r="K377" i="17"/>
  <c r="L377" i="17"/>
  <c r="M377" i="17"/>
  <c r="N377" i="17"/>
  <c r="O377" i="17"/>
  <c r="P377" i="17"/>
  <c r="Q377" i="17"/>
  <c r="R377" i="17"/>
  <c r="S377" i="17"/>
  <c r="B378" i="17"/>
  <c r="K378" i="17"/>
  <c r="L378" i="17"/>
  <c r="M378" i="17"/>
  <c r="N378" i="17"/>
  <c r="O378" i="17"/>
  <c r="P378" i="17"/>
  <c r="Q378" i="17"/>
  <c r="R378" i="17"/>
  <c r="S378" i="17"/>
  <c r="B379" i="17"/>
  <c r="K379" i="17"/>
  <c r="L379" i="17"/>
  <c r="M379" i="17"/>
  <c r="N379" i="17"/>
  <c r="O379" i="17"/>
  <c r="P379" i="17"/>
  <c r="Q379" i="17"/>
  <c r="R379" i="17"/>
  <c r="S379" i="17"/>
  <c r="B380" i="17"/>
  <c r="K380" i="17"/>
  <c r="L380" i="17"/>
  <c r="M380" i="17"/>
  <c r="N380" i="17"/>
  <c r="O380" i="17"/>
  <c r="P380" i="17"/>
  <c r="Q380" i="17"/>
  <c r="R380" i="17"/>
  <c r="S380" i="17"/>
  <c r="B381" i="17"/>
  <c r="K381" i="17"/>
  <c r="L381" i="17"/>
  <c r="M381" i="17"/>
  <c r="N381" i="17"/>
  <c r="O381" i="17"/>
  <c r="P381" i="17"/>
  <c r="Q381" i="17"/>
  <c r="R381" i="17"/>
  <c r="S381" i="17"/>
  <c r="B382" i="17"/>
  <c r="K382" i="17"/>
  <c r="L382" i="17"/>
  <c r="M382" i="17"/>
  <c r="N382" i="17"/>
  <c r="O382" i="17"/>
  <c r="P382" i="17"/>
  <c r="Q382" i="17"/>
  <c r="R382" i="17"/>
  <c r="S382" i="17"/>
  <c r="B383" i="17"/>
  <c r="K383" i="17"/>
  <c r="L383" i="17"/>
  <c r="M383" i="17"/>
  <c r="N383" i="17"/>
  <c r="O383" i="17"/>
  <c r="P383" i="17"/>
  <c r="Q383" i="17"/>
  <c r="R383" i="17"/>
  <c r="S383" i="17"/>
  <c r="B384" i="17"/>
  <c r="K384" i="17"/>
  <c r="L384" i="17"/>
  <c r="M384" i="17"/>
  <c r="N384" i="17"/>
  <c r="O384" i="17"/>
  <c r="P384" i="17"/>
  <c r="Q384" i="17"/>
  <c r="R384" i="17"/>
  <c r="S384" i="17"/>
  <c r="B385" i="17"/>
  <c r="K385" i="17"/>
  <c r="L385" i="17"/>
  <c r="M385" i="17"/>
  <c r="N385" i="17"/>
  <c r="O385" i="17"/>
  <c r="P385" i="17"/>
  <c r="Q385" i="17"/>
  <c r="R385" i="17"/>
  <c r="S385" i="17"/>
  <c r="B386" i="17"/>
  <c r="K386" i="17"/>
  <c r="L386" i="17"/>
  <c r="M386" i="17"/>
  <c r="N386" i="17"/>
  <c r="O386" i="17"/>
  <c r="P386" i="17"/>
  <c r="Q386" i="17"/>
  <c r="R386" i="17"/>
  <c r="S386" i="17"/>
  <c r="B387" i="17"/>
  <c r="K387" i="17"/>
  <c r="L387" i="17"/>
  <c r="M387" i="17"/>
  <c r="N387" i="17"/>
  <c r="O387" i="17"/>
  <c r="P387" i="17"/>
  <c r="Q387" i="17"/>
  <c r="R387" i="17"/>
  <c r="S387" i="17"/>
  <c r="B388" i="17"/>
  <c r="K388" i="17"/>
  <c r="L388" i="17"/>
  <c r="M388" i="17"/>
  <c r="N388" i="17"/>
  <c r="O388" i="17"/>
  <c r="P388" i="17"/>
  <c r="Q388" i="17"/>
  <c r="R388" i="17"/>
  <c r="S388" i="17"/>
  <c r="B389" i="17"/>
  <c r="K389" i="17"/>
  <c r="L389" i="17"/>
  <c r="M389" i="17"/>
  <c r="N389" i="17"/>
  <c r="O389" i="17"/>
  <c r="P389" i="17"/>
  <c r="Q389" i="17"/>
  <c r="R389" i="17"/>
  <c r="S389" i="17"/>
  <c r="B390" i="17"/>
  <c r="K390" i="17"/>
  <c r="L390" i="17"/>
  <c r="M390" i="17"/>
  <c r="N390" i="17"/>
  <c r="O390" i="17"/>
  <c r="P390" i="17"/>
  <c r="Q390" i="17"/>
  <c r="R390" i="17"/>
  <c r="S390" i="17"/>
  <c r="B391" i="17"/>
  <c r="K391" i="17"/>
  <c r="L391" i="17"/>
  <c r="M391" i="17"/>
  <c r="N391" i="17"/>
  <c r="O391" i="17"/>
  <c r="P391" i="17"/>
  <c r="Q391" i="17"/>
  <c r="R391" i="17"/>
  <c r="S391" i="17"/>
  <c r="B392" i="17"/>
  <c r="K392" i="17"/>
  <c r="L392" i="17"/>
  <c r="M392" i="17"/>
  <c r="N392" i="17"/>
  <c r="O392" i="17"/>
  <c r="P392" i="17"/>
  <c r="Q392" i="17"/>
  <c r="R392" i="17"/>
  <c r="S392" i="17"/>
  <c r="B393" i="17"/>
  <c r="K393" i="17"/>
  <c r="L393" i="17"/>
  <c r="M393" i="17"/>
  <c r="N393" i="17"/>
  <c r="O393" i="17"/>
  <c r="P393" i="17"/>
  <c r="Q393" i="17"/>
  <c r="R393" i="17"/>
  <c r="S393" i="17"/>
  <c r="B394" i="17"/>
  <c r="K394" i="17"/>
  <c r="L394" i="17"/>
  <c r="M394" i="17"/>
  <c r="N394" i="17"/>
  <c r="O394" i="17"/>
  <c r="P394" i="17"/>
  <c r="Q394" i="17"/>
  <c r="R394" i="17"/>
  <c r="S394" i="17"/>
  <c r="B395" i="17"/>
  <c r="K395" i="17"/>
  <c r="L395" i="17"/>
  <c r="M395" i="17"/>
  <c r="N395" i="17"/>
  <c r="O395" i="17"/>
  <c r="P395" i="17"/>
  <c r="Q395" i="17"/>
  <c r="R395" i="17"/>
  <c r="S395" i="17"/>
  <c r="B396" i="17"/>
  <c r="K396" i="17"/>
  <c r="L396" i="17"/>
  <c r="M396" i="17"/>
  <c r="N396" i="17"/>
  <c r="O396" i="17"/>
  <c r="P396" i="17"/>
  <c r="Q396" i="17"/>
  <c r="R396" i="17"/>
  <c r="S396" i="17"/>
  <c r="B397" i="17"/>
  <c r="K397" i="17"/>
  <c r="L397" i="17"/>
  <c r="M397" i="17"/>
  <c r="N397" i="17"/>
  <c r="O397" i="17"/>
  <c r="P397" i="17"/>
  <c r="Q397" i="17"/>
  <c r="R397" i="17"/>
  <c r="S397" i="17"/>
  <c r="B398" i="17"/>
  <c r="K398" i="17"/>
  <c r="L398" i="17"/>
  <c r="M398" i="17"/>
  <c r="N398" i="17"/>
  <c r="O398" i="17"/>
  <c r="P398" i="17"/>
  <c r="Q398" i="17"/>
  <c r="R398" i="17"/>
  <c r="S398" i="17"/>
  <c r="B399" i="17"/>
  <c r="K399" i="17"/>
  <c r="L399" i="17"/>
  <c r="M399" i="17"/>
  <c r="N399" i="17"/>
  <c r="O399" i="17"/>
  <c r="P399" i="17"/>
  <c r="Q399" i="17"/>
  <c r="R399" i="17"/>
  <c r="S399" i="17"/>
  <c r="B400" i="17"/>
  <c r="K400" i="17"/>
  <c r="L400" i="17"/>
  <c r="M400" i="17"/>
  <c r="N400" i="17"/>
  <c r="O400" i="17"/>
  <c r="P400" i="17"/>
  <c r="Q400" i="17"/>
  <c r="R400" i="17"/>
  <c r="S400" i="17"/>
  <c r="B401" i="17"/>
  <c r="K401" i="17"/>
  <c r="L401" i="17"/>
  <c r="M401" i="17"/>
  <c r="N401" i="17"/>
  <c r="O401" i="17"/>
  <c r="P401" i="17"/>
  <c r="Q401" i="17"/>
  <c r="R401" i="17"/>
  <c r="S401" i="17"/>
  <c r="B402" i="17"/>
  <c r="K402" i="17"/>
  <c r="L402" i="17"/>
  <c r="M402" i="17"/>
  <c r="N402" i="17"/>
  <c r="O402" i="17"/>
  <c r="P402" i="17"/>
  <c r="Q402" i="17"/>
  <c r="R402" i="17"/>
  <c r="S402" i="17"/>
  <c r="B403" i="17"/>
  <c r="K403" i="17"/>
  <c r="L403" i="17"/>
  <c r="M403" i="17"/>
  <c r="N403" i="17"/>
  <c r="O403" i="17"/>
  <c r="P403" i="17"/>
  <c r="Q403" i="17"/>
  <c r="R403" i="17"/>
  <c r="S403" i="17"/>
  <c r="B404" i="17"/>
  <c r="K404" i="17"/>
  <c r="L404" i="17"/>
  <c r="M404" i="17"/>
  <c r="N404" i="17"/>
  <c r="O404" i="17"/>
  <c r="P404" i="17"/>
  <c r="Q404" i="17"/>
  <c r="R404" i="17"/>
  <c r="S404" i="17"/>
  <c r="B405" i="17"/>
  <c r="K405" i="17"/>
  <c r="L405" i="17"/>
  <c r="M405" i="17"/>
  <c r="N405" i="17"/>
  <c r="O405" i="17"/>
  <c r="P405" i="17"/>
  <c r="Q405" i="17"/>
  <c r="R405" i="17"/>
  <c r="S405" i="17"/>
  <c r="B406" i="17"/>
  <c r="K406" i="17"/>
  <c r="L406" i="17"/>
  <c r="M406" i="17"/>
  <c r="N406" i="17"/>
  <c r="O406" i="17"/>
  <c r="P406" i="17"/>
  <c r="Q406" i="17"/>
  <c r="R406" i="17"/>
  <c r="S406" i="17"/>
  <c r="B407" i="17"/>
  <c r="K407" i="17"/>
  <c r="L407" i="17"/>
  <c r="M407" i="17"/>
  <c r="N407" i="17"/>
  <c r="O407" i="17"/>
  <c r="P407" i="17"/>
  <c r="Q407" i="17"/>
  <c r="R407" i="17"/>
  <c r="S407" i="17"/>
  <c r="B408" i="17"/>
  <c r="K408" i="17"/>
  <c r="L408" i="17"/>
  <c r="M408" i="17"/>
  <c r="N408" i="17"/>
  <c r="O408" i="17"/>
  <c r="P408" i="17"/>
  <c r="Q408" i="17"/>
  <c r="R408" i="17"/>
  <c r="S408" i="17"/>
  <c r="B409" i="17"/>
  <c r="K409" i="17"/>
  <c r="L409" i="17"/>
  <c r="M409" i="17"/>
  <c r="N409" i="17"/>
  <c r="O409" i="17"/>
  <c r="P409" i="17"/>
  <c r="Q409" i="17"/>
  <c r="R409" i="17"/>
  <c r="S409" i="17"/>
  <c r="B410" i="17"/>
  <c r="K410" i="17"/>
  <c r="L410" i="17"/>
  <c r="M410" i="17"/>
  <c r="N410" i="17"/>
  <c r="O410" i="17"/>
  <c r="P410" i="17"/>
  <c r="Q410" i="17"/>
  <c r="R410" i="17"/>
  <c r="S410" i="17"/>
  <c r="B411" i="17"/>
  <c r="K411" i="17"/>
  <c r="L411" i="17"/>
  <c r="M411" i="17"/>
  <c r="N411" i="17"/>
  <c r="O411" i="17"/>
  <c r="P411" i="17"/>
  <c r="Q411" i="17"/>
  <c r="R411" i="17"/>
  <c r="S411" i="17"/>
  <c r="B412" i="17"/>
  <c r="K412" i="17"/>
  <c r="L412" i="17"/>
  <c r="M412" i="17"/>
  <c r="N412" i="17"/>
  <c r="O412" i="17"/>
  <c r="P412" i="17"/>
  <c r="Q412" i="17"/>
  <c r="R412" i="17"/>
  <c r="S412" i="17"/>
  <c r="N413" i="17"/>
  <c r="O413" i="17"/>
  <c r="P413" i="17"/>
  <c r="Q413" i="17"/>
  <c r="R413" i="17"/>
  <c r="S413" i="17"/>
  <c r="AM111" i="19"/>
  <c r="E6" i="19"/>
  <c r="AE82" i="19"/>
  <c r="E5" i="19"/>
  <c r="D65" i="15"/>
  <c r="D67" i="15"/>
  <c r="D68" i="15"/>
  <c r="D7" i="15"/>
  <c r="C45" i="15"/>
  <c r="AJ60" i="19"/>
  <c r="AJ58" i="19"/>
  <c r="AJ61" i="19"/>
  <c r="AJ62" i="19"/>
  <c r="AJ59" i="19"/>
  <c r="C88" i="15" a="1"/>
  <c r="C88" i="15"/>
  <c r="AI82" i="19"/>
  <c r="AJ57" i="19"/>
  <c r="AJ82" i="19"/>
  <c r="AH82" i="19"/>
  <c r="J5" i="19"/>
  <c r="AC390" i="4"/>
  <c r="AC386" i="4"/>
  <c r="L5" i="19"/>
  <c r="L12" i="19"/>
  <c r="J12" i="19"/>
  <c r="AC387" i="4"/>
  <c r="AC389" i="4"/>
  <c r="AC391" i="4"/>
  <c r="G22" i="8"/>
  <c r="I22" i="8"/>
  <c r="G20" i="8"/>
  <c r="I20" i="8"/>
  <c r="G19" i="8"/>
  <c r="I19" i="8"/>
  <c r="G18" i="8"/>
  <c r="I18" i="8"/>
  <c r="G14" i="8"/>
  <c r="I14" i="8"/>
  <c r="G12" i="8"/>
  <c r="I12" i="8"/>
  <c r="G11" i="8"/>
  <c r="I11" i="8"/>
  <c r="G10" i="8"/>
  <c r="I10" i="8"/>
  <c r="G6" i="8"/>
  <c r="I6" i="8"/>
  <c r="G4" i="8"/>
  <c r="F23" i="8"/>
  <c r="G23" i="8"/>
  <c r="I23" i="8"/>
  <c r="F22" i="8"/>
  <c r="F21" i="8"/>
  <c r="G21" i="8"/>
  <c r="I21" i="8"/>
  <c r="F20" i="8"/>
  <c r="F19" i="8"/>
  <c r="F18" i="8"/>
  <c r="F17" i="8"/>
  <c r="G17" i="8"/>
  <c r="I17" i="8"/>
  <c r="F16" i="8"/>
  <c r="G16" i="8"/>
  <c r="I16" i="8"/>
  <c r="F15" i="8"/>
  <c r="G15" i="8"/>
  <c r="I15" i="8"/>
  <c r="F14" i="8"/>
  <c r="F13" i="8"/>
  <c r="G13" i="8"/>
  <c r="I13" i="8"/>
  <c r="F12" i="8"/>
  <c r="F11" i="8"/>
  <c r="F10" i="8"/>
  <c r="F9" i="8"/>
  <c r="G9" i="8"/>
  <c r="I9" i="8"/>
  <c r="F8" i="8"/>
  <c r="G8" i="8"/>
  <c r="I8" i="8"/>
  <c r="F7" i="8"/>
  <c r="F24" i="8"/>
  <c r="F6" i="8"/>
  <c r="I5" i="8"/>
  <c r="F4" i="8"/>
  <c r="G7" i="8"/>
  <c r="I7" i="8"/>
  <c r="K35" i="7"/>
  <c r="L35" i="7"/>
  <c r="N35" i="7"/>
  <c r="K34" i="7"/>
  <c r="L34" i="7"/>
  <c r="N34" i="7"/>
  <c r="K33" i="7"/>
  <c r="K32" i="7"/>
  <c r="L32" i="7"/>
  <c r="N32" i="7"/>
  <c r="K31" i="7"/>
  <c r="K30" i="7"/>
  <c r="K29" i="7"/>
  <c r="L29" i="7"/>
  <c r="N29" i="7"/>
  <c r="K28" i="7"/>
  <c r="L28" i="7"/>
  <c r="N28" i="7"/>
  <c r="K27" i="7"/>
  <c r="L27" i="7"/>
  <c r="N27" i="7"/>
  <c r="K26" i="7"/>
  <c r="L26" i="7"/>
  <c r="N26" i="7"/>
  <c r="K25" i="7"/>
  <c r="K24" i="7"/>
  <c r="K23" i="7"/>
  <c r="K22" i="7"/>
  <c r="K21" i="7"/>
  <c r="L21" i="7"/>
  <c r="N21" i="7"/>
  <c r="K20" i="7"/>
  <c r="L20" i="7"/>
  <c r="N20" i="7"/>
  <c r="K19" i="7"/>
  <c r="L19" i="7"/>
  <c r="N19" i="7"/>
  <c r="K18" i="7"/>
  <c r="K17" i="7"/>
  <c r="K16" i="7"/>
  <c r="L16" i="7"/>
  <c r="N16" i="7"/>
  <c r="K15" i="7"/>
  <c r="L15" i="7"/>
  <c r="N15" i="7"/>
  <c r="K14" i="7"/>
  <c r="K13" i="7"/>
  <c r="K12" i="7"/>
  <c r="L12" i="7"/>
  <c r="N12" i="7"/>
  <c r="K11" i="7"/>
  <c r="L11" i="7"/>
  <c r="N11" i="7"/>
  <c r="K10" i="7"/>
  <c r="L10" i="7"/>
  <c r="N10" i="7"/>
  <c r="K9" i="7"/>
  <c r="K8" i="7"/>
  <c r="L8" i="7"/>
  <c r="N8" i="7"/>
  <c r="K7" i="7"/>
  <c r="K6" i="7"/>
  <c r="K5" i="7"/>
  <c r="K4" i="7"/>
  <c r="L4" i="7"/>
  <c r="J37" i="7"/>
  <c r="L18" i="7"/>
  <c r="N18" i="7"/>
  <c r="I37" i="7"/>
  <c r="L6" i="7"/>
  <c r="N6" i="7"/>
  <c r="L7" i="7"/>
  <c r="N7" i="7"/>
  <c r="L9" i="7"/>
  <c r="N9" i="7"/>
  <c r="L13" i="7"/>
  <c r="N13" i="7"/>
  <c r="L14" i="7"/>
  <c r="N14" i="7"/>
  <c r="L17" i="7"/>
  <c r="N17" i="7"/>
  <c r="L22" i="7"/>
  <c r="N22" i="7"/>
  <c r="L23" i="7"/>
  <c r="N23" i="7"/>
  <c r="L24" i="7"/>
  <c r="N24" i="7"/>
  <c r="L25" i="7"/>
  <c r="N25" i="7"/>
  <c r="L30" i="7"/>
  <c r="N30" i="7"/>
  <c r="L31" i="7"/>
  <c r="N31" i="7"/>
  <c r="L33" i="7"/>
  <c r="N33" i="7"/>
  <c r="Q5" i="9"/>
  <c r="H30" i="9"/>
  <c r="J30" i="9"/>
  <c r="I30" i="9"/>
  <c r="B1" i="7"/>
  <c r="B1" i="4"/>
  <c r="B1" i="8"/>
  <c r="B1" i="9"/>
  <c r="B1" i="10"/>
  <c r="L30" i="9"/>
  <c r="K24" i="10"/>
  <c r="C90" i="15"/>
  <c r="C91" i="15" a="1"/>
  <c r="C91" i="15"/>
  <c r="C93" i="15"/>
  <c r="C94" i="15"/>
  <c r="C9" i="15"/>
  <c r="S754" i="4"/>
  <c r="B5" i="10"/>
  <c r="B6" i="10"/>
  <c r="B7" i="10"/>
  <c r="B8" i="10"/>
  <c r="B9" i="10"/>
  <c r="B10" i="10"/>
  <c r="B11" i="10"/>
  <c r="B12" i="10"/>
  <c r="B13" i="10"/>
  <c r="B14" i="10"/>
  <c r="B15" i="10"/>
  <c r="B16" i="10"/>
  <c r="B17" i="10"/>
  <c r="B18" i="10"/>
  <c r="B19" i="10"/>
  <c r="B20" i="10"/>
  <c r="B21" i="10"/>
  <c r="B22" i="10"/>
  <c r="B23" i="10"/>
  <c r="N30" i="9"/>
  <c r="G30" i="9"/>
  <c r="B6" i="9"/>
  <c r="B7" i="9"/>
  <c r="B8" i="9"/>
  <c r="B9" i="9"/>
  <c r="B10" i="9"/>
  <c r="B11" i="9"/>
  <c r="B12" i="9"/>
  <c r="B13" i="9"/>
  <c r="B14" i="9" s="1"/>
  <c r="B15" i="9" s="1"/>
  <c r="B16" i="9" s="1"/>
  <c r="B17" i="9" s="1"/>
  <c r="B18" i="9" s="1"/>
  <c r="B19" i="9" s="1"/>
  <c r="B20" i="9" s="1"/>
  <c r="B21" i="9" s="1"/>
  <c r="B22" i="9" s="1"/>
  <c r="B23" i="9"/>
  <c r="B24" i="9"/>
  <c r="B25" i="9"/>
  <c r="B26" i="9"/>
  <c r="B27" i="9"/>
  <c r="B28" i="9"/>
  <c r="B29" i="9"/>
  <c r="D24" i="8"/>
  <c r="B5" i="8"/>
  <c r="B6" i="8"/>
  <c r="B7" i="8"/>
  <c r="B8" i="8"/>
  <c r="B9" i="8"/>
  <c r="B10" i="8"/>
  <c r="B11" i="8"/>
  <c r="B12" i="8"/>
  <c r="B13" i="8"/>
  <c r="B14" i="8"/>
  <c r="B15" i="8"/>
  <c r="B16" i="8"/>
  <c r="B17" i="8"/>
  <c r="B18" i="8"/>
  <c r="B19" i="8"/>
  <c r="B20" i="8"/>
  <c r="B21" i="8"/>
  <c r="B22" i="8"/>
  <c r="B23" i="8"/>
  <c r="M37" i="7"/>
  <c r="E37"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L5" i="7"/>
  <c r="L37" i="7"/>
  <c r="K37" i="7"/>
  <c r="M24" i="10"/>
  <c r="E18" i="12" s="1"/>
  <c r="M30" i="9"/>
  <c r="D15" i="12" s="1"/>
  <c r="Q30" i="9"/>
  <c r="H24" i="8"/>
  <c r="E24" i="8"/>
  <c r="H37" i="7"/>
  <c r="N4" i="7"/>
  <c r="J5" i="4"/>
  <c r="J6" i="4"/>
  <c r="X6" i="4" s="1"/>
  <c r="N6" i="4"/>
  <c r="J7" i="4"/>
  <c r="X7" i="4" s="1"/>
  <c r="N7" i="4"/>
  <c r="J8" i="4"/>
  <c r="X8" i="4" s="1"/>
  <c r="N8" i="4"/>
  <c r="J9" i="4"/>
  <c r="X9" i="4" s="1"/>
  <c r="N9" i="4"/>
  <c r="J10" i="4"/>
  <c r="X10" i="4" s="1"/>
  <c r="N10" i="4"/>
  <c r="J11" i="4"/>
  <c r="X11" i="4" s="1"/>
  <c r="N11" i="4"/>
  <c r="J12" i="4"/>
  <c r="X12" i="4" s="1"/>
  <c r="N12" i="4"/>
  <c r="J13" i="4"/>
  <c r="X13" i="4" s="1"/>
  <c r="N13" i="4"/>
  <c r="J14" i="4"/>
  <c r="X14" i="4" s="1"/>
  <c r="N14" i="4"/>
  <c r="J15" i="4"/>
  <c r="X15" i="4" s="1"/>
  <c r="N15" i="4"/>
  <c r="J4" i="4"/>
  <c r="Q4" i="4" s="1"/>
  <c r="V4" i="4" s="1"/>
  <c r="V754" i="4" s="1"/>
  <c r="N5" i="7"/>
  <c r="I4" i="8"/>
  <c r="I24" i="8"/>
  <c r="G24" i="8"/>
  <c r="N37" i="7"/>
  <c r="AC5" i="4"/>
  <c r="AC392" i="4"/>
  <c r="AC394" i="4"/>
  <c r="O13" i="4"/>
  <c r="O6" i="4"/>
  <c r="O12" i="4"/>
  <c r="O11" i="4"/>
  <c r="O9" i="4"/>
  <c r="O15" i="4"/>
  <c r="O14" i="4"/>
  <c r="O10" i="4"/>
  <c r="O8" i="4"/>
  <c r="O7"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C47" i="15"/>
  <c r="C48" i="15"/>
  <c r="C6" i="15"/>
  <c r="V58" i="23"/>
  <c r="W58" i="23"/>
  <c r="X58" i="23"/>
  <c r="V59" i="23"/>
  <c r="W59" i="23"/>
  <c r="X59" i="23"/>
  <c r="Y100" i="23"/>
  <c r="AA100" i="23"/>
  <c r="Y102" i="23"/>
  <c r="Y148" i="23"/>
  <c r="AA148" i="23"/>
  <c r="Y150" i="23"/>
  <c r="Y152" i="23"/>
  <c r="AA152" i="23"/>
  <c r="Y154" i="23"/>
  <c r="Y156" i="23"/>
  <c r="AA156" i="23"/>
  <c r="Y158" i="23"/>
  <c r="Y160" i="23"/>
  <c r="AA160" i="23"/>
  <c r="Y162" i="23"/>
  <c r="Y164" i="23"/>
  <c r="AA164" i="23"/>
  <c r="Y166" i="23"/>
  <c r="Y168" i="23"/>
  <c r="AA168" i="23"/>
  <c r="Y170" i="23"/>
  <c r="Y172" i="23"/>
  <c r="AA172" i="23"/>
  <c r="Y174" i="23"/>
  <c r="Y176" i="23"/>
  <c r="AA176" i="23"/>
  <c r="Y178" i="23"/>
  <c r="Y180" i="23"/>
  <c r="AA180" i="23"/>
  <c r="Y182" i="23"/>
  <c r="Y184" i="23"/>
  <c r="AA184" i="23"/>
  <c r="Y186" i="23"/>
  <c r="Y188" i="23"/>
  <c r="AA188" i="23"/>
  <c r="Y190" i="23"/>
  <c r="Y192" i="23"/>
  <c r="AA192" i="23"/>
  <c r="Y194" i="23"/>
  <c r="Y196" i="23"/>
  <c r="AA196" i="23"/>
  <c r="Y198" i="23"/>
  <c r="Y200" i="23"/>
  <c r="AA200" i="23"/>
  <c r="Y202" i="23"/>
  <c r="Y204" i="23"/>
  <c r="AA204" i="23"/>
  <c r="Y206" i="23"/>
  <c r="Y208" i="23"/>
  <c r="AA208" i="23"/>
  <c r="Y210" i="23"/>
  <c r="Y212" i="23"/>
  <c r="AA212" i="23"/>
  <c r="Y214" i="23"/>
  <c r="Y216" i="23"/>
  <c r="AA216" i="23"/>
  <c r="Y218" i="23"/>
  <c r="Y220" i="23"/>
  <c r="AA220" i="23"/>
  <c r="Y222" i="23"/>
  <c r="Y252" i="23"/>
  <c r="Y253" i="23"/>
  <c r="AA253" i="23"/>
  <c r="Y254" i="23"/>
  <c r="AA254" i="23"/>
  <c r="Y256" i="23"/>
  <c r="Y258" i="23"/>
  <c r="Y260" i="23"/>
  <c r="AA260" i="23"/>
  <c r="Y261" i="23"/>
  <c r="AA261" i="23"/>
  <c r="Y262" i="23"/>
  <c r="AA262" i="23"/>
  <c r="Y263" i="23"/>
  <c r="AA263" i="23"/>
  <c r="Y264" i="23"/>
  <c r="AA264" i="23"/>
  <c r="Y265" i="23"/>
  <c r="AA265" i="23"/>
  <c r="Y266" i="23"/>
  <c r="AA266" i="23"/>
  <c r="Y267" i="23"/>
  <c r="AA267" i="23"/>
  <c r="Y268" i="23"/>
  <c r="AA268" i="23"/>
  <c r="Y269" i="23"/>
  <c r="AA269" i="23"/>
  <c r="Y270" i="23"/>
  <c r="AA270" i="23"/>
  <c r="Y271" i="23"/>
  <c r="AA271" i="23"/>
  <c r="Y272" i="23"/>
  <c r="AA272" i="23"/>
  <c r="Y273" i="23"/>
  <c r="AA273" i="23"/>
  <c r="Y274" i="23"/>
  <c r="AA274" i="23"/>
  <c r="Y276" i="23"/>
  <c r="Y278" i="23"/>
  <c r="AA278" i="23"/>
  <c r="Y280" i="23"/>
  <c r="Y305" i="23"/>
  <c r="AA305" i="23"/>
  <c r="Y306" i="23"/>
  <c r="AA306" i="23"/>
  <c r="Y307" i="23"/>
  <c r="AA307" i="23"/>
  <c r="Y308" i="23"/>
  <c r="AA308" i="23"/>
  <c r="Y309" i="23"/>
  <c r="AA309" i="23"/>
  <c r="Y310" i="23"/>
  <c r="AA310" i="23"/>
  <c r="Y311" i="23"/>
  <c r="AA311" i="23"/>
  <c r="Y312" i="23"/>
  <c r="AA312" i="23"/>
  <c r="Y313" i="23"/>
  <c r="AA313" i="23"/>
  <c r="Y314" i="23"/>
  <c r="AA314" i="23"/>
  <c r="Y315" i="23"/>
  <c r="AA315" i="23"/>
  <c r="Y319" i="23"/>
  <c r="Y320" i="23"/>
  <c r="AA320" i="23"/>
  <c r="Y321" i="23"/>
  <c r="AA321" i="23"/>
  <c r="Y322" i="23"/>
  <c r="AA322" i="23"/>
  <c r="Y323" i="23"/>
  <c r="AA323" i="23"/>
  <c r="Y324" i="23"/>
  <c r="AA324" i="23"/>
  <c r="Y325" i="23"/>
  <c r="AA325" i="23"/>
  <c r="Y326" i="23"/>
  <c r="AA326" i="23"/>
  <c r="Y327" i="23"/>
  <c r="AA327" i="23"/>
  <c r="Y328" i="23"/>
  <c r="AA328" i="23"/>
  <c r="Y329" i="23"/>
  <c r="AA329" i="23"/>
  <c r="Y330" i="23"/>
  <c r="AA330" i="23"/>
  <c r="Y334" i="23"/>
  <c r="Y336" i="23"/>
  <c r="AA336" i="23"/>
  <c r="Y338" i="23"/>
  <c r="Y340" i="23"/>
  <c r="AA340" i="23"/>
  <c r="Y342" i="23"/>
  <c r="Y348" i="23"/>
  <c r="AA348" i="23"/>
  <c r="Y350" i="23"/>
  <c r="Y352" i="23"/>
  <c r="AA352" i="23"/>
  <c r="Y354" i="23"/>
  <c r="Y356" i="23"/>
  <c r="AA356" i="23"/>
  <c r="Y358" i="23"/>
  <c r="Y360" i="23"/>
  <c r="AA360" i="23"/>
  <c r="Y361" i="23"/>
  <c r="AA361" i="23"/>
  <c r="Y362" i="23"/>
  <c r="AA362" i="23"/>
  <c r="Y363" i="23"/>
  <c r="AA363" i="23"/>
  <c r="Y364" i="23"/>
  <c r="AA364" i="23"/>
  <c r="Y365" i="23"/>
  <c r="AA365" i="23"/>
  <c r="Y366" i="23"/>
  <c r="AA366" i="23"/>
  <c r="Y367" i="23"/>
  <c r="AA367" i="23"/>
  <c r="Y368" i="23"/>
  <c r="AA368" i="23"/>
  <c r="Y369" i="23"/>
  <c r="AA369" i="23"/>
  <c r="Y370" i="23"/>
  <c r="AA370" i="23"/>
  <c r="F371" i="23"/>
  <c r="G371" i="23"/>
  <c r="H371" i="23"/>
  <c r="I371" i="23"/>
  <c r="J371" i="23"/>
  <c r="K371" i="23"/>
  <c r="L371" i="23"/>
  <c r="M371" i="23"/>
  <c r="N371" i="23"/>
  <c r="O371" i="23"/>
  <c r="P371" i="23"/>
  <c r="Q371" i="23"/>
  <c r="R371" i="23"/>
  <c r="S371" i="23"/>
  <c r="T371" i="23"/>
  <c r="U371" i="23"/>
  <c r="V371" i="23"/>
  <c r="W371" i="23"/>
  <c r="X371" i="23"/>
  <c r="F372" i="23"/>
  <c r="G372" i="23"/>
  <c r="H372" i="23"/>
  <c r="I372" i="23"/>
  <c r="J372" i="23"/>
  <c r="K372" i="23"/>
  <c r="L372" i="23"/>
  <c r="M372" i="23"/>
  <c r="N372" i="23"/>
  <c r="O372" i="23"/>
  <c r="P372" i="23"/>
  <c r="Q372" i="23"/>
  <c r="R372" i="23"/>
  <c r="S372" i="23"/>
  <c r="T372" i="23"/>
  <c r="U372" i="23"/>
  <c r="V372" i="23"/>
  <c r="W372" i="23"/>
  <c r="X372" i="23"/>
  <c r="Y372" i="23"/>
  <c r="AA372" i="23"/>
  <c r="Y374" i="23"/>
  <c r="AA374" i="23"/>
  <c r="Y375" i="23"/>
  <c r="AA375" i="23"/>
  <c r="Y376" i="23"/>
  <c r="AA376" i="23"/>
  <c r="Y377" i="23"/>
  <c r="AA377" i="23"/>
  <c r="Y378" i="23"/>
  <c r="AA378" i="23"/>
  <c r="Y379" i="23"/>
  <c r="AA379" i="23"/>
  <c r="Y380" i="23"/>
  <c r="AA380" i="23"/>
  <c r="Y381" i="23"/>
  <c r="AA381" i="23"/>
  <c r="Y382" i="23"/>
  <c r="AA382" i="23"/>
  <c r="Y383" i="23"/>
  <c r="AA383" i="23"/>
  <c r="Y384" i="23"/>
  <c r="AA384" i="23"/>
  <c r="Y385" i="23"/>
  <c r="AA385" i="23"/>
  <c r="Y386" i="23"/>
  <c r="AA386" i="23"/>
  <c r="Y387" i="23"/>
  <c r="AA387" i="23"/>
  <c r="Y388" i="23"/>
  <c r="AA388" i="23"/>
  <c r="Y390" i="23"/>
  <c r="Y392" i="23"/>
  <c r="AA392" i="23"/>
  <c r="Y393" i="23"/>
  <c r="AA393" i="23"/>
  <c r="Y394" i="23"/>
  <c r="AA394" i="23"/>
  <c r="Y395" i="23"/>
  <c r="AA395" i="23"/>
  <c r="Y396" i="23"/>
  <c r="AA396" i="23"/>
  <c r="Y397" i="23"/>
  <c r="AA397" i="23"/>
  <c r="Y398" i="23"/>
  <c r="AA398" i="23"/>
  <c r="Y399" i="23"/>
  <c r="AA399" i="23"/>
  <c r="Y400" i="23"/>
  <c r="AA400" i="23"/>
  <c r="Y401" i="23"/>
  <c r="AA401" i="23"/>
  <c r="Y402" i="23"/>
  <c r="AA402" i="23"/>
  <c r="Y403" i="23"/>
  <c r="AA403" i="23"/>
  <c r="Y404" i="23"/>
  <c r="AA404" i="23"/>
  <c r="Y405" i="23"/>
  <c r="AA405" i="23"/>
  <c r="Y406" i="23"/>
  <c r="AA406" i="23"/>
  <c r="Y408" i="23"/>
  <c r="Y410" i="23"/>
  <c r="AA410" i="23"/>
  <c r="Y411" i="23"/>
  <c r="AA411" i="23"/>
  <c r="Y412" i="23"/>
  <c r="AA412" i="23"/>
  <c r="Y413" i="23"/>
  <c r="AA413" i="23"/>
  <c r="Y414" i="23"/>
  <c r="AA414" i="23"/>
  <c r="Y415" i="23"/>
  <c r="AA415" i="23"/>
  <c r="Y416" i="23"/>
  <c r="AA416" i="23"/>
  <c r="Y417" i="23"/>
  <c r="AA417" i="23"/>
  <c r="Y418" i="23"/>
  <c r="AA418" i="23"/>
  <c r="Y419" i="23"/>
  <c r="AA419" i="23"/>
  <c r="Y420" i="23"/>
  <c r="AA420" i="23"/>
  <c r="Y421" i="23"/>
  <c r="AA421" i="23"/>
  <c r="Y422" i="23"/>
  <c r="AA422" i="23"/>
  <c r="Y423" i="23"/>
  <c r="AA423" i="23"/>
  <c r="Y424" i="23"/>
  <c r="AA424" i="23"/>
  <c r="F425" i="23"/>
  <c r="G425" i="23"/>
  <c r="H425" i="23"/>
  <c r="I425" i="23"/>
  <c r="J425" i="23"/>
  <c r="K425" i="23"/>
  <c r="L425" i="23"/>
  <c r="M425" i="23"/>
  <c r="N425" i="23"/>
  <c r="O425" i="23"/>
  <c r="P425" i="23"/>
  <c r="Q425" i="23"/>
  <c r="R425" i="23"/>
  <c r="S425" i="23"/>
  <c r="T425" i="23"/>
  <c r="U425" i="23"/>
  <c r="V425" i="23"/>
  <c r="W425" i="23"/>
  <c r="X425" i="23"/>
  <c r="F426" i="23"/>
  <c r="G426" i="23"/>
  <c r="H426" i="23"/>
  <c r="I426" i="23"/>
  <c r="J426" i="23"/>
  <c r="K426" i="23"/>
  <c r="L426" i="23"/>
  <c r="M426" i="23"/>
  <c r="N426" i="23"/>
  <c r="O426" i="23"/>
  <c r="P426" i="23"/>
  <c r="Q426" i="23"/>
  <c r="R426" i="23"/>
  <c r="S426" i="23"/>
  <c r="T426" i="23"/>
  <c r="U426" i="23"/>
  <c r="V426" i="23"/>
  <c r="W426" i="23"/>
  <c r="X426" i="23"/>
  <c r="Y426" i="23"/>
  <c r="AA426" i="23"/>
  <c r="Y428" i="23"/>
  <c r="AA428" i="23"/>
  <c r="Y430" i="23"/>
  <c r="Y432" i="23"/>
  <c r="AA432" i="23"/>
  <c r="Y433" i="23"/>
  <c r="AA433" i="23"/>
  <c r="Y434" i="23"/>
  <c r="AA434" i="23"/>
  <c r="Y435" i="23"/>
  <c r="AA435" i="23"/>
  <c r="Y436" i="23"/>
  <c r="AA436" i="23"/>
  <c r="Y438" i="23"/>
  <c r="Y440" i="23"/>
  <c r="AA440" i="23"/>
  <c r="Y442" i="23"/>
  <c r="Y444" i="23"/>
  <c r="AA444" i="23"/>
  <c r="Y446" i="23"/>
  <c r="V449" i="23"/>
  <c r="W449" i="23"/>
  <c r="X449" i="23"/>
  <c r="V450" i="23"/>
  <c r="W450" i="23"/>
  <c r="X450" i="23"/>
  <c r="V455" i="23"/>
  <c r="W455" i="23"/>
  <c r="X455" i="23"/>
  <c r="V456" i="23"/>
  <c r="W456" i="23"/>
  <c r="X456" i="23"/>
  <c r="F33" i="21"/>
  <c r="H33" i="21"/>
  <c r="I33" i="21"/>
  <c r="F34" i="21"/>
  <c r="F63" i="21"/>
  <c r="H63" i="21"/>
  <c r="I63" i="21"/>
  <c r="F64" i="21"/>
  <c r="F66" i="21"/>
  <c r="H66" i="21"/>
  <c r="I66" i="21"/>
  <c r="F67" i="21"/>
  <c r="F69" i="21"/>
  <c r="H69" i="21"/>
  <c r="I69" i="21"/>
  <c r="F70" i="21"/>
  <c r="F72" i="21"/>
  <c r="H72" i="21"/>
  <c r="I72" i="21"/>
  <c r="F73" i="21"/>
  <c r="F75" i="21"/>
  <c r="H75" i="21"/>
  <c r="I75" i="21"/>
  <c r="F76" i="21"/>
  <c r="F78" i="21"/>
  <c r="H78" i="21"/>
  <c r="I78" i="21"/>
  <c r="F79" i="21"/>
  <c r="F81" i="21"/>
  <c r="H81" i="21"/>
  <c r="I81" i="21"/>
  <c r="F82" i="21"/>
  <c r="F84" i="21"/>
  <c r="H84" i="21"/>
  <c r="I84" i="21"/>
  <c r="F85" i="21"/>
  <c r="F87" i="21"/>
  <c r="H87" i="21"/>
  <c r="I87" i="21"/>
  <c r="F88" i="21"/>
  <c r="F90" i="21"/>
  <c r="H90" i="21"/>
  <c r="I90" i="21"/>
  <c r="F91" i="21"/>
  <c r="F93" i="21"/>
  <c r="H93" i="21"/>
  <c r="I93" i="21"/>
  <c r="F94" i="21"/>
  <c r="F96" i="21"/>
  <c r="H96" i="21"/>
  <c r="I96" i="21"/>
  <c r="F97" i="21"/>
  <c r="F99" i="21"/>
  <c r="H99" i="21"/>
  <c r="I99" i="21"/>
  <c r="F100" i="21"/>
  <c r="F102" i="21"/>
  <c r="H102" i="21"/>
  <c r="I102" i="21"/>
  <c r="F103" i="21"/>
  <c r="F105" i="21"/>
  <c r="H105" i="21"/>
  <c r="I105" i="21"/>
  <c r="F106" i="21"/>
  <c r="F108" i="21"/>
  <c r="H108" i="21"/>
  <c r="I108" i="21"/>
  <c r="F109" i="21"/>
  <c r="F111" i="21"/>
  <c r="H111" i="21"/>
  <c r="I111" i="21"/>
  <c r="F112" i="21"/>
  <c r="F114" i="21"/>
  <c r="H114" i="21"/>
  <c r="I114" i="21"/>
  <c r="F115" i="21"/>
  <c r="F117" i="21"/>
  <c r="H117" i="21"/>
  <c r="I117" i="21"/>
  <c r="F118" i="21"/>
  <c r="F120" i="21"/>
  <c r="I120" i="21"/>
  <c r="F121" i="21"/>
  <c r="H121" i="21"/>
  <c r="I121" i="21"/>
  <c r="F122" i="21"/>
  <c r="H122" i="21"/>
  <c r="I122" i="21"/>
  <c r="F123" i="21"/>
  <c r="F124" i="21"/>
  <c r="F126" i="21"/>
  <c r="H126" i="21"/>
  <c r="I126" i="21"/>
  <c r="F127" i="21"/>
  <c r="H127" i="21"/>
  <c r="I127" i="21"/>
  <c r="F128" i="21"/>
  <c r="H128" i="21"/>
  <c r="I128" i="21"/>
  <c r="F129" i="21"/>
  <c r="H129" i="21"/>
  <c r="I129" i="21"/>
  <c r="F130" i="21"/>
  <c r="H130" i="21"/>
  <c r="I130" i="21"/>
  <c r="F131" i="21"/>
  <c r="H131" i="21"/>
  <c r="I131" i="21"/>
  <c r="F132" i="21"/>
  <c r="H132" i="21"/>
  <c r="I132" i="21"/>
  <c r="F133" i="21"/>
  <c r="H133" i="21"/>
  <c r="I133" i="21"/>
  <c r="F134" i="21"/>
  <c r="H134" i="21"/>
  <c r="I134" i="21"/>
  <c r="F135" i="21"/>
  <c r="H135" i="21"/>
  <c r="I135" i="21"/>
  <c r="F136" i="21"/>
  <c r="H136" i="21"/>
  <c r="I136" i="21"/>
  <c r="F137" i="21"/>
  <c r="H137" i="21"/>
  <c r="I137" i="21"/>
  <c r="F138" i="21"/>
  <c r="H138" i="21"/>
  <c r="I138" i="21"/>
  <c r="F139" i="21"/>
  <c r="H139" i="21"/>
  <c r="I139" i="21"/>
  <c r="F140" i="21"/>
  <c r="H140" i="21"/>
  <c r="I140" i="21"/>
  <c r="F141" i="21"/>
  <c r="F143" i="21"/>
  <c r="H143" i="21"/>
  <c r="I143" i="21"/>
  <c r="F144" i="21"/>
  <c r="F146" i="21"/>
  <c r="H146" i="21"/>
  <c r="I146" i="21"/>
  <c r="F147" i="21"/>
  <c r="H147" i="21"/>
  <c r="I147" i="21"/>
  <c r="F148" i="21"/>
  <c r="H148" i="21"/>
  <c r="I148" i="21"/>
  <c r="F149" i="21"/>
  <c r="H149" i="21"/>
  <c r="I149" i="21"/>
  <c r="F150" i="21"/>
  <c r="H150" i="21"/>
  <c r="I150" i="21"/>
  <c r="F151" i="21"/>
  <c r="H151" i="21"/>
  <c r="I151" i="21"/>
  <c r="F152" i="21"/>
  <c r="H152" i="21"/>
  <c r="I152" i="21"/>
  <c r="F153" i="21"/>
  <c r="H153" i="21"/>
  <c r="I153" i="21"/>
  <c r="F154" i="21"/>
  <c r="H154" i="21"/>
  <c r="I154" i="21"/>
  <c r="F155" i="21"/>
  <c r="H155" i="21"/>
  <c r="I155" i="21"/>
  <c r="F156" i="21"/>
  <c r="H156" i="21"/>
  <c r="I156" i="21"/>
  <c r="F157" i="21"/>
  <c r="F158" i="21"/>
  <c r="H158" i="21"/>
  <c r="I158" i="21"/>
  <c r="F159" i="21"/>
  <c r="H159" i="21"/>
  <c r="I159" i="21"/>
  <c r="F160" i="21"/>
  <c r="H160" i="21"/>
  <c r="I160" i="21"/>
  <c r="F161" i="21"/>
  <c r="H161" i="21"/>
  <c r="I161" i="21"/>
  <c r="F162" i="21"/>
  <c r="H162" i="21"/>
  <c r="I162" i="21"/>
  <c r="F163" i="21"/>
  <c r="H163" i="21"/>
  <c r="I163" i="21"/>
  <c r="F164" i="21"/>
  <c r="H164" i="21"/>
  <c r="I164" i="21"/>
  <c r="F165" i="21"/>
  <c r="H165" i="21"/>
  <c r="I165" i="21"/>
  <c r="F166" i="21"/>
  <c r="H166" i="21"/>
  <c r="I166" i="21"/>
  <c r="F167" i="21"/>
  <c r="H167" i="21"/>
  <c r="I167" i="21"/>
  <c r="F168" i="21"/>
  <c r="H168" i="21"/>
  <c r="I168" i="21"/>
  <c r="F169" i="21"/>
  <c r="F171" i="21"/>
  <c r="H171" i="21"/>
  <c r="F173" i="21"/>
  <c r="H173" i="21"/>
  <c r="I173" i="21"/>
  <c r="F174" i="21"/>
  <c r="F179" i="21"/>
  <c r="H179" i="21"/>
  <c r="I179" i="21"/>
  <c r="F180" i="21"/>
  <c r="F182" i="21"/>
  <c r="H182" i="21"/>
  <c r="I182" i="21"/>
  <c r="F183" i="21"/>
  <c r="F185" i="21"/>
  <c r="H185" i="21"/>
  <c r="I185" i="21"/>
  <c r="F186" i="21"/>
  <c r="F188" i="21"/>
  <c r="H188" i="21"/>
  <c r="I188" i="21"/>
  <c r="F189" i="21"/>
  <c r="H189" i="21"/>
  <c r="I189" i="21"/>
  <c r="F190" i="21"/>
  <c r="H190" i="21"/>
  <c r="I190" i="21"/>
  <c r="F191" i="21"/>
  <c r="H191" i="21"/>
  <c r="I191" i="21"/>
  <c r="F192" i="21"/>
  <c r="H192" i="21"/>
  <c r="I192" i="21"/>
  <c r="F193" i="21"/>
  <c r="H193" i="21"/>
  <c r="I193" i="21"/>
  <c r="F194" i="21"/>
  <c r="H194" i="21"/>
  <c r="I194" i="21"/>
  <c r="F195" i="21"/>
  <c r="H195" i="21"/>
  <c r="I195" i="21"/>
  <c r="F196" i="21"/>
  <c r="H196" i="21"/>
  <c r="I196" i="21"/>
  <c r="F197" i="21"/>
  <c r="H197" i="21"/>
  <c r="I197" i="21"/>
  <c r="F198" i="21"/>
  <c r="H198" i="21"/>
  <c r="I198" i="21"/>
  <c r="F199" i="21"/>
  <c r="H199" i="21"/>
  <c r="F201" i="21"/>
  <c r="H201" i="21"/>
  <c r="I201" i="21"/>
  <c r="F202" i="21"/>
  <c r="H202" i="21"/>
  <c r="I202" i="21"/>
  <c r="F203" i="21"/>
  <c r="H203" i="21"/>
  <c r="I203" i="21"/>
  <c r="F204" i="21"/>
  <c r="H204" i="21"/>
  <c r="I204" i="21"/>
  <c r="F205" i="21"/>
  <c r="H205" i="21"/>
  <c r="I205" i="21"/>
  <c r="F206" i="21"/>
  <c r="H206" i="21"/>
  <c r="I206" i="21"/>
  <c r="F207" i="21"/>
  <c r="H207" i="21"/>
  <c r="I207" i="21"/>
  <c r="F208" i="21"/>
  <c r="H208" i="21"/>
  <c r="I208" i="21"/>
  <c r="F209" i="21"/>
  <c r="H209" i="21"/>
  <c r="I209" i="21"/>
  <c r="F210" i="21"/>
  <c r="H210" i="21"/>
  <c r="I210" i="21"/>
  <c r="F211" i="21"/>
  <c r="H211" i="21"/>
  <c r="I211" i="21"/>
  <c r="F212" i="21"/>
  <c r="H212" i="21"/>
  <c r="I212" i="21"/>
  <c r="F213" i="21"/>
  <c r="H213" i="21"/>
  <c r="I213" i="21"/>
  <c r="F214" i="21"/>
  <c r="H214" i="21"/>
  <c r="I214" i="21"/>
  <c r="F215" i="21"/>
  <c r="H215" i="21"/>
  <c r="I215" i="21"/>
  <c r="F216" i="21"/>
  <c r="F218" i="21"/>
  <c r="H218" i="21"/>
  <c r="I218" i="21"/>
  <c r="F219" i="21"/>
  <c r="H219" i="21"/>
  <c r="I219" i="21"/>
  <c r="F220" i="21"/>
  <c r="H220" i="21"/>
  <c r="I220" i="21"/>
  <c r="F221" i="21"/>
  <c r="H221" i="21"/>
  <c r="I221" i="21"/>
  <c r="F222" i="21"/>
  <c r="H222" i="21"/>
  <c r="I222" i="21"/>
  <c r="F223" i="21"/>
  <c r="H223" i="21"/>
  <c r="I223" i="21"/>
  <c r="F224" i="21"/>
  <c r="H224" i="21"/>
  <c r="I224" i="21"/>
  <c r="F225" i="21"/>
  <c r="H225" i="21"/>
  <c r="I225" i="21"/>
  <c r="F226" i="21"/>
  <c r="H226" i="21"/>
  <c r="I226" i="21"/>
  <c r="F227" i="21"/>
  <c r="H227" i="21"/>
  <c r="I227" i="21"/>
  <c r="F228" i="21"/>
  <c r="H228" i="21"/>
  <c r="I228" i="21"/>
  <c r="F229" i="21"/>
  <c r="H229" i="21"/>
  <c r="I229" i="21"/>
  <c r="F230" i="21"/>
  <c r="H230" i="21"/>
  <c r="I230" i="21"/>
  <c r="F231" i="21"/>
  <c r="H231" i="21"/>
  <c r="I231" i="21"/>
  <c r="F232" i="21"/>
  <c r="H232" i="21"/>
  <c r="I232" i="21"/>
  <c r="F233" i="21"/>
  <c r="F235" i="21"/>
  <c r="H235" i="21"/>
  <c r="I235" i="21"/>
  <c r="F236" i="21"/>
  <c r="H236" i="21"/>
  <c r="I236" i="21"/>
  <c r="F237" i="21"/>
  <c r="H237" i="21"/>
  <c r="I237" i="21"/>
  <c r="F238" i="21"/>
  <c r="H238" i="21"/>
  <c r="I238" i="21"/>
  <c r="F239" i="21"/>
  <c r="H239" i="21"/>
  <c r="I239" i="21"/>
  <c r="F240" i="21"/>
  <c r="H240" i="21"/>
  <c r="I240" i="21"/>
  <c r="F241" i="21"/>
  <c r="H241" i="21"/>
  <c r="I241" i="21"/>
  <c r="F242" i="21"/>
  <c r="H242" i="21"/>
  <c r="I242" i="21"/>
  <c r="F243" i="21"/>
  <c r="H243" i="21"/>
  <c r="I243" i="21"/>
  <c r="F244" i="21"/>
  <c r="H244" i="21"/>
  <c r="I244" i="21"/>
  <c r="F245" i="21"/>
  <c r="H245" i="21"/>
  <c r="I245" i="21"/>
  <c r="F246" i="21"/>
  <c r="H246" i="21"/>
  <c r="I246" i="21"/>
  <c r="F247" i="21"/>
  <c r="H247" i="21"/>
  <c r="I247" i="21"/>
  <c r="F248" i="21"/>
  <c r="H248" i="21"/>
  <c r="I248" i="21"/>
  <c r="F249" i="21"/>
  <c r="H249" i="21"/>
  <c r="I249" i="21"/>
  <c r="F250" i="21"/>
  <c r="H250" i="21"/>
  <c r="F252" i="21"/>
  <c r="H252" i="21"/>
  <c r="I252" i="21"/>
  <c r="F253" i="21"/>
  <c r="H253" i="21"/>
  <c r="I253" i="21"/>
  <c r="F254" i="21"/>
  <c r="H254" i="21"/>
  <c r="I254" i="21"/>
  <c r="F255" i="21"/>
  <c r="H255" i="21"/>
  <c r="I255" i="21"/>
  <c r="F256" i="21"/>
  <c r="H256" i="21"/>
  <c r="I256" i="21"/>
  <c r="F257" i="21"/>
  <c r="I257" i="21"/>
  <c r="T10" i="20" l="1"/>
  <c r="T52" i="20" s="1"/>
  <c r="T54" i="20" s="1"/>
  <c r="T9" i="20"/>
  <c r="T46" i="20" s="1"/>
  <c r="T48" i="20" s="1"/>
  <c r="T8" i="20"/>
  <c r="T40" i="20" s="1"/>
  <c r="T42" i="20" s="1"/>
  <c r="T7" i="20"/>
  <c r="T34" i="20" s="1"/>
  <c r="T36" i="20" s="1"/>
  <c r="T6" i="20"/>
  <c r="T27" i="20" s="1"/>
  <c r="T29" i="20" s="1"/>
  <c r="T5" i="20"/>
  <c r="T21" i="20" s="1"/>
  <c r="T23" i="20" s="1"/>
  <c r="T4" i="20"/>
  <c r="T14" i="20" s="1"/>
  <c r="T16" i="20" s="1"/>
  <c r="T57" i="20" s="1"/>
  <c r="T59" i="20" s="1"/>
  <c r="U3" i="20"/>
  <c r="H15" i="12"/>
  <c r="F41" i="23"/>
  <c r="F23" i="23"/>
  <c r="F332" i="23" s="1"/>
  <c r="F33" i="23"/>
  <c r="F15" i="23"/>
  <c r="F32" i="23"/>
  <c r="F14" i="23"/>
  <c r="F31" i="23"/>
  <c r="F12" i="23"/>
  <c r="F40" i="23"/>
  <c r="F16" i="23"/>
  <c r="F48" i="23" s="1"/>
  <c r="F29" i="23"/>
  <c r="F21" i="23"/>
  <c r="F38" i="23"/>
  <c r="S38" i="12"/>
  <c r="I36" i="22"/>
  <c r="F9" i="23"/>
  <c r="J36" i="22"/>
  <c r="B37" i="22" a="1"/>
  <c r="B37" i="22" s="1"/>
  <c r="B38" i="22" s="1" a="1"/>
  <c r="B38" i="22" s="1"/>
  <c r="H38" i="23" s="1"/>
  <c r="F39" i="23"/>
  <c r="F30" i="23"/>
  <c r="F22" i="23"/>
  <c r="F13" i="23"/>
  <c r="G17" i="23"/>
  <c r="F37" i="23"/>
  <c r="F28" i="23"/>
  <c r="F20" i="23"/>
  <c r="F11" i="23"/>
  <c r="F36" i="23"/>
  <c r="F27" i="23"/>
  <c r="F19" i="23"/>
  <c r="F35" i="23"/>
  <c r="F25" i="23"/>
  <c r="F17" i="23"/>
  <c r="I9" i="30"/>
  <c r="J9" i="30" s="1"/>
  <c r="H9" i="30"/>
  <c r="Y14" i="30"/>
  <c r="M9" i="30"/>
  <c r="Y15" i="30" s="1"/>
  <c r="Y20" i="30"/>
  <c r="O9" i="30"/>
  <c r="P9" i="30" s="1"/>
  <c r="I10" i="30"/>
  <c r="J10" i="30" s="1"/>
  <c r="K10" i="30" s="1"/>
  <c r="H10" i="30"/>
  <c r="I11" i="30"/>
  <c r="J11" i="30" s="1"/>
  <c r="K11" i="30" s="1"/>
  <c r="H11" i="30"/>
  <c r="I12" i="30"/>
  <c r="J12" i="30" s="1"/>
  <c r="K12" i="30" s="1"/>
  <c r="H12" i="30"/>
  <c r="I13" i="30"/>
  <c r="J13" i="30" s="1"/>
  <c r="K13" i="30" s="1"/>
  <c r="H13" i="30"/>
  <c r="I14" i="30"/>
  <c r="J14" i="30" s="1"/>
  <c r="K14" i="30" s="1"/>
  <c r="H14" i="30"/>
  <c r="I15" i="30"/>
  <c r="J15" i="30" s="1"/>
  <c r="K15" i="30" s="1"/>
  <c r="H15" i="30"/>
  <c r="I16" i="30"/>
  <c r="J16" i="30" s="1"/>
  <c r="K16" i="30" s="1"/>
  <c r="H16" i="30"/>
  <c r="I17" i="30"/>
  <c r="J17" i="30" s="1"/>
  <c r="K17" i="30" s="1"/>
  <c r="H17" i="30"/>
  <c r="I18" i="30"/>
  <c r="J18" i="30" s="1"/>
  <c r="K18" i="30" s="1"/>
  <c r="H18" i="30"/>
  <c r="I19" i="30"/>
  <c r="J19" i="30" s="1"/>
  <c r="K19" i="30" s="1"/>
  <c r="H19" i="30"/>
  <c r="I20" i="30"/>
  <c r="J20" i="30" s="1"/>
  <c r="K20" i="30" s="1"/>
  <c r="H20" i="30"/>
  <c r="I21" i="30"/>
  <c r="J21" i="30" s="1"/>
  <c r="K21" i="30" s="1"/>
  <c r="H21" i="30"/>
  <c r="I22" i="30"/>
  <c r="J22" i="30" s="1"/>
  <c r="K22" i="30" s="1"/>
  <c r="H22" i="30"/>
  <c r="I9" i="31"/>
  <c r="J9" i="31" s="1"/>
  <c r="H9" i="31"/>
  <c r="Y14" i="31"/>
  <c r="M9" i="31"/>
  <c r="Y15" i="31" s="1"/>
  <c r="Y20" i="31"/>
  <c r="O9" i="31"/>
  <c r="P9" i="31" s="1"/>
  <c r="I10" i="31"/>
  <c r="J10" i="31" s="1"/>
  <c r="K10" i="31" s="1"/>
  <c r="H10" i="31"/>
  <c r="I11" i="31"/>
  <c r="J11" i="31" s="1"/>
  <c r="K11" i="31" s="1"/>
  <c r="H11" i="31"/>
  <c r="I12" i="31"/>
  <c r="J12" i="31" s="1"/>
  <c r="K12" i="31" s="1"/>
  <c r="H12" i="31"/>
  <c r="I13" i="31"/>
  <c r="J13" i="31" s="1"/>
  <c r="K13" i="31" s="1"/>
  <c r="H13" i="31"/>
  <c r="I14" i="31"/>
  <c r="J14" i="31" s="1"/>
  <c r="K14" i="31" s="1"/>
  <c r="H14" i="31"/>
  <c r="I15" i="31"/>
  <c r="J15" i="31" s="1"/>
  <c r="K15" i="31" s="1"/>
  <c r="H15" i="31"/>
  <c r="I16" i="31"/>
  <c r="J16" i="31" s="1"/>
  <c r="K16" i="31" s="1"/>
  <c r="H16" i="31"/>
  <c r="I17" i="31"/>
  <c r="J17" i="31" s="1"/>
  <c r="K17" i="31" s="1"/>
  <c r="H17" i="31"/>
  <c r="I18" i="31"/>
  <c r="J18" i="31" s="1"/>
  <c r="K18" i="31" s="1"/>
  <c r="H18" i="31"/>
  <c r="I19" i="31"/>
  <c r="J19" i="31" s="1"/>
  <c r="K19" i="31" s="1"/>
  <c r="H19" i="31"/>
  <c r="I20" i="31"/>
  <c r="J20" i="31" s="1"/>
  <c r="K20" i="31" s="1"/>
  <c r="H20" i="31"/>
  <c r="I21" i="31"/>
  <c r="J21" i="31" s="1"/>
  <c r="K21" i="31" s="1"/>
  <c r="H21" i="31"/>
  <c r="I22" i="31"/>
  <c r="J22" i="31" s="1"/>
  <c r="K22" i="31" s="1"/>
  <c r="H22" i="31"/>
  <c r="I23" i="31"/>
  <c r="J23" i="31" s="1"/>
  <c r="K23" i="31" s="1"/>
  <c r="H23" i="31"/>
  <c r="I24" i="31"/>
  <c r="J24" i="31" s="1"/>
  <c r="K24" i="31" s="1"/>
  <c r="H24" i="31"/>
  <c r="I25" i="31"/>
  <c r="J25" i="31" s="1"/>
  <c r="K25" i="31" s="1"/>
  <c r="H25" i="31"/>
  <c r="I26" i="31"/>
  <c r="J26" i="31" s="1"/>
  <c r="K26" i="31" s="1"/>
  <c r="H26" i="31"/>
  <c r="I27" i="31"/>
  <c r="J27" i="31" s="1"/>
  <c r="K27" i="31" s="1"/>
  <c r="H27" i="31"/>
  <c r="I28" i="31"/>
  <c r="J28" i="31" s="1"/>
  <c r="K28" i="31" s="1"/>
  <c r="H28" i="31"/>
  <c r="I29" i="31"/>
  <c r="J29" i="31" s="1"/>
  <c r="K29" i="31" s="1"/>
  <c r="H29" i="31"/>
  <c r="I30" i="31"/>
  <c r="J30" i="31" s="1"/>
  <c r="K30" i="31" s="1"/>
  <c r="H30" i="31"/>
  <c r="I31" i="31"/>
  <c r="J31" i="31" s="1"/>
  <c r="K31" i="31" s="1"/>
  <c r="H31" i="31"/>
  <c r="I32" i="31"/>
  <c r="J32" i="31" s="1"/>
  <c r="K32" i="31" s="1"/>
  <c r="H32" i="31"/>
  <c r="I33" i="31"/>
  <c r="J33" i="31" s="1"/>
  <c r="K33" i="31" s="1"/>
  <c r="H33" i="31"/>
  <c r="I34" i="31"/>
  <c r="J34" i="31" s="1"/>
  <c r="K34" i="31" s="1"/>
  <c r="H34" i="31"/>
  <c r="I35" i="31"/>
  <c r="J35" i="31" s="1"/>
  <c r="K35" i="31" s="1"/>
  <c r="H35" i="31"/>
  <c r="I36" i="31"/>
  <c r="J36" i="31" s="1"/>
  <c r="K36" i="31" s="1"/>
  <c r="H36" i="31"/>
  <c r="I39" i="31"/>
  <c r="J39" i="31" s="1"/>
  <c r="K39" i="31" s="1"/>
  <c r="H39" i="31"/>
  <c r="I40" i="31"/>
  <c r="J40" i="31" s="1"/>
  <c r="K40" i="31" s="1"/>
  <c r="H40" i="31"/>
  <c r="I41" i="31"/>
  <c r="J41" i="31" s="1"/>
  <c r="K41" i="31" s="1"/>
  <c r="H41" i="31"/>
  <c r="I42" i="31"/>
  <c r="J42" i="31" s="1"/>
  <c r="K42" i="31" s="1"/>
  <c r="H42" i="31"/>
  <c r="I43" i="31"/>
  <c r="J43" i="31" s="1"/>
  <c r="K43" i="31" s="1"/>
  <c r="H43" i="31"/>
  <c r="I44" i="31"/>
  <c r="J44" i="31" s="1"/>
  <c r="K44" i="31" s="1"/>
  <c r="H44" i="31"/>
  <c r="I45" i="31"/>
  <c r="J45" i="31" s="1"/>
  <c r="K45" i="31" s="1"/>
  <c r="H45" i="31"/>
  <c r="I46" i="31"/>
  <c r="J46" i="31" s="1"/>
  <c r="K46" i="31" s="1"/>
  <c r="H46" i="31"/>
  <c r="I47" i="31"/>
  <c r="J47" i="31" s="1"/>
  <c r="K47" i="31" s="1"/>
  <c r="H47" i="31"/>
  <c r="I48" i="31"/>
  <c r="J48" i="31" s="1"/>
  <c r="K48" i="31" s="1"/>
  <c r="H48" i="31"/>
  <c r="I49" i="31"/>
  <c r="J49" i="31" s="1"/>
  <c r="K49" i="31" s="1"/>
  <c r="H49" i="31"/>
  <c r="I50" i="31"/>
  <c r="J50" i="31" s="1"/>
  <c r="K50" i="31" s="1"/>
  <c r="H50" i="31"/>
  <c r="I51" i="31"/>
  <c r="J51" i="31" s="1"/>
  <c r="K51" i="31" s="1"/>
  <c r="H51" i="31"/>
  <c r="I52" i="31"/>
  <c r="J52" i="31" s="1"/>
  <c r="K52" i="31" s="1"/>
  <c r="H52" i="31"/>
  <c r="I53" i="31"/>
  <c r="J53" i="31" s="1"/>
  <c r="K53" i="31" s="1"/>
  <c r="H53" i="31"/>
  <c r="I54" i="31"/>
  <c r="J54" i="31" s="1"/>
  <c r="K54" i="31" s="1"/>
  <c r="H54" i="31"/>
  <c r="I55" i="31"/>
  <c r="J55" i="31" s="1"/>
  <c r="K55" i="31" s="1"/>
  <c r="H55" i="31"/>
  <c r="I56" i="31"/>
  <c r="J56" i="31" s="1"/>
  <c r="K56" i="31" s="1"/>
  <c r="H56" i="31"/>
  <c r="I57" i="31"/>
  <c r="J57" i="31" s="1"/>
  <c r="K57" i="31" s="1"/>
  <c r="H57" i="31"/>
  <c r="I58" i="31"/>
  <c r="J58" i="31" s="1"/>
  <c r="K58" i="31" s="1"/>
  <c r="H58" i="31"/>
  <c r="I59" i="31"/>
  <c r="J59" i="31" s="1"/>
  <c r="K59" i="31" s="1"/>
  <c r="H59" i="31"/>
  <c r="I60" i="31"/>
  <c r="J60" i="31" s="1"/>
  <c r="K60" i="31" s="1"/>
  <c r="H60" i="31"/>
  <c r="I61" i="31"/>
  <c r="J61" i="31" s="1"/>
  <c r="K61" i="31" s="1"/>
  <c r="H61" i="31"/>
  <c r="I62" i="31"/>
  <c r="J62" i="31" s="1"/>
  <c r="K62" i="31" s="1"/>
  <c r="H62" i="31"/>
  <c r="I5" i="10"/>
  <c r="L5" i="10" s="1"/>
  <c r="I6" i="10"/>
  <c r="L6" i="10" s="1"/>
  <c r="N4" i="10"/>
  <c r="N5" i="10"/>
  <c r="N6" i="10"/>
  <c r="N7" i="10"/>
  <c r="N8" i="10"/>
  <c r="N9" i="10"/>
  <c r="N10" i="10"/>
  <c r="N11" i="10"/>
  <c r="N12" i="10"/>
  <c r="N13" i="10"/>
  <c r="N14" i="10"/>
  <c r="N15" i="10"/>
  <c r="N16" i="10"/>
  <c r="N17" i="10"/>
  <c r="N18" i="10"/>
  <c r="N19" i="10"/>
  <c r="N20" i="10"/>
  <c r="N21" i="10"/>
  <c r="N22" i="10"/>
  <c r="N23" i="10"/>
  <c r="K30" i="28"/>
  <c r="O30" i="28"/>
  <c r="P5" i="28"/>
  <c r="P30" i="28" s="1"/>
  <c r="E16" i="12" s="1"/>
  <c r="H16" i="12" s="1"/>
  <c r="H12" i="12"/>
  <c r="G12" i="12"/>
  <c r="H13" i="12"/>
  <c r="G13" i="12"/>
  <c r="H14" i="12"/>
  <c r="G14" i="12"/>
  <c r="H18" i="12"/>
  <c r="H19" i="12"/>
  <c r="G19" i="12"/>
  <c r="H20" i="12"/>
  <c r="G20" i="12"/>
  <c r="AF57" i="19"/>
  <c r="AF62" i="19"/>
  <c r="AG62" i="19" s="1"/>
  <c r="AF61" i="19"/>
  <c r="AG61" i="19" s="1"/>
  <c r="AF60" i="19"/>
  <c r="AG60" i="19" s="1"/>
  <c r="AF59" i="19"/>
  <c r="AG59" i="19" s="1"/>
  <c r="AF58" i="19"/>
  <c r="AG58" i="19" s="1"/>
  <c r="AN86" i="19"/>
  <c r="AN87" i="19"/>
  <c r="AO87" i="19" s="1"/>
  <c r="AN88" i="19"/>
  <c r="AO88" i="19" s="1"/>
  <c r="AN89" i="19"/>
  <c r="AO89" i="19" s="1"/>
  <c r="AN90" i="19"/>
  <c r="AO90" i="19" s="1"/>
  <c r="AN91" i="19"/>
  <c r="AO91" i="19" s="1"/>
  <c r="AA115" i="19"/>
  <c r="AA116" i="19"/>
  <c r="AB116" i="19" s="1"/>
  <c r="AA117" i="19"/>
  <c r="AB117" i="19" s="1"/>
  <c r="AA118" i="19"/>
  <c r="AB118" i="19" s="1"/>
  <c r="AA119" i="19"/>
  <c r="AB119" i="19" s="1"/>
  <c r="AA120" i="19"/>
  <c r="AB120" i="19" s="1"/>
  <c r="X144" i="19"/>
  <c r="Y144" i="19"/>
  <c r="AJ144" i="19"/>
  <c r="AL144" i="19"/>
  <c r="AM144" i="19"/>
  <c r="AN144" i="19"/>
  <c r="AP144" i="19"/>
  <c r="AO144" i="19"/>
  <c r="AR144" i="19"/>
  <c r="AQ144" i="19"/>
  <c r="AK144" i="19"/>
  <c r="X145" i="19"/>
  <c r="Y145" i="19"/>
  <c r="AJ145" i="19"/>
  <c r="AL145" i="19"/>
  <c r="AM145" i="19"/>
  <c r="AN145" i="19"/>
  <c r="AP145" i="19"/>
  <c r="AO145" i="19"/>
  <c r="AQ145" i="19"/>
  <c r="AR145" i="19"/>
  <c r="AK145" i="19"/>
  <c r="X146" i="19"/>
  <c r="Y146" i="19"/>
  <c r="AJ146" i="19"/>
  <c r="AL146" i="19"/>
  <c r="AM146" i="19"/>
  <c r="AN146" i="19"/>
  <c r="AP146" i="19"/>
  <c r="AO146" i="19"/>
  <c r="AQ146" i="19"/>
  <c r="AR146" i="19"/>
  <c r="AK146" i="19"/>
  <c r="X147" i="19"/>
  <c r="Y147" i="19"/>
  <c r="AJ147" i="19"/>
  <c r="AL147" i="19"/>
  <c r="AM147" i="19"/>
  <c r="AN147" i="19"/>
  <c r="AP147" i="19"/>
  <c r="AO147" i="19"/>
  <c r="AQ147" i="19"/>
  <c r="AR147" i="19"/>
  <c r="AK147" i="19"/>
  <c r="X148" i="19"/>
  <c r="Y148" i="19"/>
  <c r="AJ148" i="19"/>
  <c r="AL148" i="19"/>
  <c r="AM148" i="19"/>
  <c r="AN148" i="19"/>
  <c r="AP148" i="19"/>
  <c r="AO148" i="19"/>
  <c r="AQ148" i="19"/>
  <c r="AR148" i="19"/>
  <c r="AK148" i="19"/>
  <c r="X149" i="19"/>
  <c r="Y149" i="19"/>
  <c r="AJ149" i="19"/>
  <c r="AL149" i="19"/>
  <c r="AM149" i="19"/>
  <c r="AN149" i="19"/>
  <c r="AP149" i="19"/>
  <c r="AO149" i="19"/>
  <c r="AQ149" i="19"/>
  <c r="AR149" i="19"/>
  <c r="AK149" i="19"/>
  <c r="X150" i="19"/>
  <c r="Y150" i="19"/>
  <c r="AJ150" i="19"/>
  <c r="AL150" i="19"/>
  <c r="AM150" i="19"/>
  <c r="AN150" i="19"/>
  <c r="AP150" i="19"/>
  <c r="AO150" i="19"/>
  <c r="AQ150" i="19"/>
  <c r="AR150" i="19"/>
  <c r="AK150" i="19"/>
  <c r="X151" i="19"/>
  <c r="Y151" i="19"/>
  <c r="AJ151" i="19"/>
  <c r="AL151" i="19"/>
  <c r="AM151" i="19"/>
  <c r="AN151" i="19"/>
  <c r="AP151" i="19"/>
  <c r="AO151" i="19"/>
  <c r="AQ151" i="19"/>
  <c r="AR151" i="19"/>
  <c r="AK151" i="19"/>
  <c r="X152" i="19"/>
  <c r="Y152" i="19"/>
  <c r="AJ152" i="19"/>
  <c r="AL152" i="19"/>
  <c r="AM152" i="19"/>
  <c r="AN152" i="19"/>
  <c r="AP152" i="19"/>
  <c r="AO152" i="19"/>
  <c r="AQ152" i="19"/>
  <c r="AR152" i="19"/>
  <c r="AK152" i="19"/>
  <c r="X153" i="19"/>
  <c r="Y153" i="19"/>
  <c r="AJ153" i="19"/>
  <c r="AL153" i="19"/>
  <c r="AM153" i="19"/>
  <c r="AN153" i="19"/>
  <c r="AP153" i="19"/>
  <c r="AO153" i="19"/>
  <c r="AQ153" i="19"/>
  <c r="AR153" i="19"/>
  <c r="AK153" i="19"/>
  <c r="X154" i="19"/>
  <c r="Y154" i="19"/>
  <c r="AJ154" i="19"/>
  <c r="AL154" i="19"/>
  <c r="AM154" i="19"/>
  <c r="AN154" i="19"/>
  <c r="AP154" i="19"/>
  <c r="AO154" i="19"/>
  <c r="AQ154" i="19"/>
  <c r="AR154" i="19"/>
  <c r="AK154" i="19"/>
  <c r="X155" i="19"/>
  <c r="Y155" i="19"/>
  <c r="AJ155" i="19"/>
  <c r="AL155" i="19"/>
  <c r="AM155" i="19"/>
  <c r="AN155" i="19"/>
  <c r="AP155" i="19"/>
  <c r="AO155" i="19"/>
  <c r="AQ155" i="19"/>
  <c r="AR155" i="19"/>
  <c r="AK155" i="19"/>
  <c r="X156" i="19"/>
  <c r="Y156" i="19"/>
  <c r="AJ156" i="19"/>
  <c r="AL156" i="19"/>
  <c r="AM156" i="19"/>
  <c r="AN156" i="19"/>
  <c r="AP156" i="19"/>
  <c r="AO156" i="19"/>
  <c r="AQ156" i="19"/>
  <c r="AR156" i="19"/>
  <c r="AK156" i="19"/>
  <c r="X157" i="19"/>
  <c r="Y157" i="19"/>
  <c r="AJ157" i="19"/>
  <c r="AL157" i="19"/>
  <c r="AM157" i="19"/>
  <c r="AN157" i="19"/>
  <c r="AP157" i="19"/>
  <c r="AO157" i="19"/>
  <c r="AQ157" i="19"/>
  <c r="AR157" i="19"/>
  <c r="AK157" i="19"/>
  <c r="X158" i="19"/>
  <c r="Y158" i="19"/>
  <c r="AJ158" i="19"/>
  <c r="AL158" i="19"/>
  <c r="AM158" i="19"/>
  <c r="AN158" i="19"/>
  <c r="AP158" i="19"/>
  <c r="AO158" i="19"/>
  <c r="AQ158" i="19"/>
  <c r="AR158" i="19"/>
  <c r="AK158" i="19"/>
  <c r="X159" i="19"/>
  <c r="Y159" i="19"/>
  <c r="AJ159" i="19"/>
  <c r="AL159" i="19"/>
  <c r="AM159" i="19"/>
  <c r="AN159" i="19"/>
  <c r="AP159" i="19"/>
  <c r="AO159" i="19"/>
  <c r="AQ159" i="19"/>
  <c r="AR159" i="19"/>
  <c r="AK159" i="19"/>
  <c r="X160" i="19"/>
  <c r="Y160" i="19"/>
  <c r="AJ160" i="19"/>
  <c r="AL160" i="19"/>
  <c r="AM160" i="19"/>
  <c r="AN160" i="19"/>
  <c r="AP160" i="19"/>
  <c r="AO160" i="19"/>
  <c r="AQ160" i="19"/>
  <c r="AR160" i="19"/>
  <c r="AK160" i="19"/>
  <c r="X161" i="19"/>
  <c r="Y161" i="19"/>
  <c r="AJ161" i="19"/>
  <c r="AL161" i="19"/>
  <c r="AM161" i="19"/>
  <c r="AN161" i="19"/>
  <c r="AP161" i="19"/>
  <c r="AO161" i="19"/>
  <c r="AQ161" i="19"/>
  <c r="AR161" i="19"/>
  <c r="AK161" i="19"/>
  <c r="X162" i="19"/>
  <c r="Y162" i="19"/>
  <c r="AJ162" i="19"/>
  <c r="AL162" i="19"/>
  <c r="AM162" i="19"/>
  <c r="AN162" i="19"/>
  <c r="AP162" i="19"/>
  <c r="AO162" i="19"/>
  <c r="AQ162" i="19"/>
  <c r="AR162" i="19"/>
  <c r="AK162" i="19"/>
  <c r="X163" i="19"/>
  <c r="Y163" i="19"/>
  <c r="AJ163" i="19"/>
  <c r="AL163" i="19"/>
  <c r="AM163" i="19"/>
  <c r="AN163" i="19"/>
  <c r="AP163" i="19"/>
  <c r="AO163" i="19"/>
  <c r="AQ163" i="19"/>
  <c r="AR163" i="19"/>
  <c r="AK163" i="19"/>
  <c r="X164" i="19"/>
  <c r="Y164" i="19"/>
  <c r="AJ164" i="19"/>
  <c r="AL164" i="19"/>
  <c r="AM164" i="19"/>
  <c r="AN164" i="19"/>
  <c r="AP164" i="19"/>
  <c r="AO164" i="19"/>
  <c r="AQ164" i="19"/>
  <c r="AR164" i="19"/>
  <c r="AK164" i="19"/>
  <c r="X165" i="19"/>
  <c r="Y165" i="19"/>
  <c r="AJ165" i="19"/>
  <c r="AL165" i="19"/>
  <c r="AM165" i="19"/>
  <c r="AN165" i="19"/>
  <c r="AP165" i="19"/>
  <c r="AO165" i="19"/>
  <c r="AQ165" i="19"/>
  <c r="AR165" i="19"/>
  <c r="AK165" i="19"/>
  <c r="X166" i="19"/>
  <c r="Y166" i="19"/>
  <c r="AJ166" i="19"/>
  <c r="AL166" i="19"/>
  <c r="AM166" i="19"/>
  <c r="AN166" i="19"/>
  <c r="AP166" i="19"/>
  <c r="AO166" i="19"/>
  <c r="AQ166" i="19"/>
  <c r="AR166" i="19"/>
  <c r="AK166" i="19"/>
  <c r="X167" i="19"/>
  <c r="Y167" i="19"/>
  <c r="AJ167" i="19"/>
  <c r="AL167" i="19"/>
  <c r="AM167" i="19"/>
  <c r="AN167" i="19"/>
  <c r="AP167" i="19"/>
  <c r="AO167" i="19"/>
  <c r="AQ167" i="19"/>
  <c r="AR167" i="19"/>
  <c r="AK167" i="19"/>
  <c r="X168" i="19"/>
  <c r="Y168" i="19"/>
  <c r="AJ168" i="19"/>
  <c r="AL168" i="19"/>
  <c r="AM168" i="19"/>
  <c r="AN168" i="19"/>
  <c r="AP168" i="19"/>
  <c r="AO168" i="19"/>
  <c r="AQ168" i="19"/>
  <c r="AR168" i="19"/>
  <c r="AK168" i="19"/>
  <c r="F15" i="12"/>
  <c r="G15" i="12"/>
  <c r="I15" i="12" s="1"/>
  <c r="AR5" i="4"/>
  <c r="AP5" i="4"/>
  <c r="AR16" i="4"/>
  <c r="AP16" i="4"/>
  <c r="AR15" i="4"/>
  <c r="AP15" i="4"/>
  <c r="AR14" i="4"/>
  <c r="AP14" i="4"/>
  <c r="AR13" i="4"/>
  <c r="AP13" i="4"/>
  <c r="AR12" i="4"/>
  <c r="AP12" i="4"/>
  <c r="AR11" i="4"/>
  <c r="AP11" i="4"/>
  <c r="Q5" i="4"/>
  <c r="AR9" i="4"/>
  <c r="AP9" i="4"/>
  <c r="AR8" i="4"/>
  <c r="AP8" i="4"/>
  <c r="AR7" i="4"/>
  <c r="AP7" i="4"/>
  <c r="AR6" i="4"/>
  <c r="AP6" i="4"/>
  <c r="N4" i="4"/>
  <c r="R4" i="4" s="1"/>
  <c r="X4" i="4" s="1"/>
  <c r="N5" i="4"/>
  <c r="R5" i="4" s="1"/>
  <c r="X5" i="4" s="1"/>
  <c r="T754" i="4"/>
  <c r="AR10" i="4"/>
  <c r="Y6" i="4"/>
  <c r="Y8" i="4"/>
  <c r="Y9" i="4"/>
  <c r="Y11" i="4"/>
  <c r="Y12" i="4"/>
  <c r="Y13" i="4"/>
  <c r="Y14" i="4"/>
  <c r="Y15" i="4"/>
  <c r="Y10" i="4"/>
  <c r="Y728" i="4"/>
  <c r="Y727" i="4"/>
  <c r="Y726" i="4"/>
  <c r="Y725" i="4"/>
  <c r="Y724" i="4"/>
  <c r="Y723" i="4"/>
  <c r="Y722" i="4"/>
  <c r="Y721" i="4"/>
  <c r="Y720" i="4"/>
  <c r="Y719" i="4"/>
  <c r="Y718" i="4"/>
  <c r="Y717" i="4"/>
  <c r="Y716" i="4"/>
  <c r="Y715" i="4"/>
  <c r="Y714" i="4"/>
  <c r="Y713" i="4"/>
  <c r="Y712" i="4"/>
  <c r="Y711" i="4"/>
  <c r="Y710" i="4"/>
  <c r="Y709" i="4"/>
  <c r="Y708" i="4"/>
  <c r="Y707" i="4"/>
  <c r="Y706" i="4"/>
  <c r="Y705" i="4"/>
  <c r="Y704" i="4"/>
  <c r="Y703" i="4"/>
  <c r="Y702" i="4"/>
  <c r="Y701" i="4"/>
  <c r="Y700" i="4"/>
  <c r="Y699" i="4"/>
  <c r="Y698" i="4"/>
  <c r="Y697" i="4"/>
  <c r="Y696" i="4"/>
  <c r="Y695" i="4"/>
  <c r="Y694" i="4"/>
  <c r="Y693" i="4"/>
  <c r="Y692" i="4"/>
  <c r="Y691" i="4"/>
  <c r="Y690" i="4"/>
  <c r="Y689" i="4"/>
  <c r="Y688" i="4"/>
  <c r="Y687" i="4"/>
  <c r="Y686" i="4"/>
  <c r="Y685" i="4"/>
  <c r="Y684" i="4"/>
  <c r="Y683" i="4"/>
  <c r="Y682" i="4"/>
  <c r="Y681" i="4"/>
  <c r="Y680" i="4"/>
  <c r="Y679" i="4"/>
  <c r="Y678" i="4"/>
  <c r="Y677" i="4"/>
  <c r="Y676" i="4"/>
  <c r="Y675" i="4"/>
  <c r="Y674" i="4"/>
  <c r="Y673" i="4"/>
  <c r="Y672" i="4"/>
  <c r="Y671" i="4"/>
  <c r="Y670" i="4"/>
  <c r="Y669" i="4"/>
  <c r="Y668" i="4"/>
  <c r="Y667" i="4"/>
  <c r="Y666" i="4"/>
  <c r="Y665" i="4"/>
  <c r="Y664" i="4"/>
  <c r="Y663" i="4"/>
  <c r="Y662" i="4"/>
  <c r="Y661" i="4"/>
  <c r="Y660" i="4"/>
  <c r="Y659" i="4"/>
  <c r="Y658" i="4"/>
  <c r="Y657" i="4"/>
  <c r="Y656" i="4"/>
  <c r="Y655" i="4"/>
  <c r="Y654" i="4"/>
  <c r="Y653" i="4"/>
  <c r="Y652" i="4"/>
  <c r="Y651" i="4"/>
  <c r="Y650" i="4"/>
  <c r="Y649" i="4"/>
  <c r="Y648" i="4"/>
  <c r="Y647" i="4"/>
  <c r="Y646" i="4"/>
  <c r="Y645" i="4"/>
  <c r="Y644" i="4"/>
  <c r="Y643" i="4"/>
  <c r="Y642" i="4"/>
  <c r="Y641" i="4"/>
  <c r="Y640" i="4"/>
  <c r="Y639" i="4"/>
  <c r="Y638" i="4"/>
  <c r="Y637" i="4"/>
  <c r="Y636" i="4"/>
  <c r="Y635" i="4"/>
  <c r="Y634" i="4"/>
  <c r="Y633" i="4"/>
  <c r="Y632" i="4"/>
  <c r="Y631" i="4"/>
  <c r="Y630" i="4"/>
  <c r="Y629" i="4"/>
  <c r="Y628" i="4"/>
  <c r="Y627" i="4"/>
  <c r="Y626" i="4"/>
  <c r="Y625" i="4"/>
  <c r="Y624" i="4"/>
  <c r="Y623" i="4"/>
  <c r="Y622" i="4"/>
  <c r="Y621" i="4"/>
  <c r="Y620" i="4"/>
  <c r="Y619" i="4"/>
  <c r="Y618" i="4"/>
  <c r="Y617" i="4"/>
  <c r="Y616" i="4"/>
  <c r="Y615" i="4"/>
  <c r="Y614" i="4"/>
  <c r="Y613" i="4"/>
  <c r="Y612" i="4"/>
  <c r="Y611" i="4"/>
  <c r="Y610" i="4"/>
  <c r="Y609" i="4"/>
  <c r="Y608" i="4"/>
  <c r="Y607" i="4"/>
  <c r="Y606" i="4"/>
  <c r="Y605" i="4"/>
  <c r="Y604" i="4"/>
  <c r="Y603" i="4"/>
  <c r="Y602" i="4"/>
  <c r="Y601" i="4"/>
  <c r="Y600" i="4"/>
  <c r="Y599" i="4"/>
  <c r="Y598" i="4"/>
  <c r="Y597" i="4"/>
  <c r="Y596" i="4"/>
  <c r="Y595" i="4"/>
  <c r="Y594" i="4"/>
  <c r="Y593" i="4"/>
  <c r="Y592" i="4"/>
  <c r="Y591" i="4"/>
  <c r="Y590" i="4"/>
  <c r="Y589" i="4"/>
  <c r="Y588" i="4"/>
  <c r="Y587" i="4"/>
  <c r="Y586" i="4"/>
  <c r="Y585" i="4"/>
  <c r="Y584" i="4"/>
  <c r="Y583" i="4"/>
  <c r="Y582" i="4"/>
  <c r="Y581" i="4"/>
  <c r="Y580" i="4"/>
  <c r="Y579" i="4"/>
  <c r="Y578" i="4"/>
  <c r="Y577" i="4"/>
  <c r="Y576" i="4"/>
  <c r="Y575" i="4"/>
  <c r="Y574" i="4"/>
  <c r="Y573" i="4"/>
  <c r="Y572" i="4"/>
  <c r="Y571" i="4"/>
  <c r="Y570" i="4"/>
  <c r="Y569" i="4"/>
  <c r="Y568" i="4"/>
  <c r="Y567" i="4"/>
  <c r="Y566" i="4"/>
  <c r="Y565" i="4"/>
  <c r="Y564" i="4"/>
  <c r="Y563" i="4"/>
  <c r="Y562" i="4"/>
  <c r="Y561" i="4"/>
  <c r="Y560" i="4"/>
  <c r="Y559" i="4"/>
  <c r="Y558" i="4"/>
  <c r="Y557" i="4"/>
  <c r="Y556" i="4"/>
  <c r="Y555" i="4"/>
  <c r="Y554" i="4"/>
  <c r="Y553" i="4"/>
  <c r="Y552" i="4"/>
  <c r="Y551" i="4"/>
  <c r="Y550" i="4"/>
  <c r="Y549" i="4"/>
  <c r="Y548" i="4"/>
  <c r="Y547" i="4"/>
  <c r="Y546" i="4"/>
  <c r="Y545" i="4"/>
  <c r="Y544" i="4"/>
  <c r="Y543" i="4"/>
  <c r="Y542" i="4"/>
  <c r="Y541" i="4"/>
  <c r="Y540" i="4"/>
  <c r="Y539" i="4"/>
  <c r="Y538" i="4"/>
  <c r="Y537" i="4"/>
  <c r="Y536" i="4"/>
  <c r="Y535" i="4"/>
  <c r="Y534" i="4"/>
  <c r="Y533" i="4"/>
  <c r="Y532" i="4"/>
  <c r="Y531" i="4"/>
  <c r="Y530" i="4"/>
  <c r="Y529" i="4"/>
  <c r="Y528" i="4"/>
  <c r="Y527" i="4"/>
  <c r="Y526" i="4"/>
  <c r="Y525" i="4"/>
  <c r="Y524" i="4"/>
  <c r="Y523" i="4"/>
  <c r="Y522" i="4"/>
  <c r="Y521" i="4"/>
  <c r="Y520" i="4"/>
  <c r="Y519" i="4"/>
  <c r="Y518" i="4"/>
  <c r="Y517" i="4"/>
  <c r="Y516" i="4"/>
  <c r="Y515" i="4"/>
  <c r="Y514" i="4"/>
  <c r="Y513" i="4"/>
  <c r="Y512" i="4"/>
  <c r="Y511" i="4"/>
  <c r="Y510" i="4"/>
  <c r="Y509" i="4"/>
  <c r="Y508" i="4"/>
  <c r="Y507" i="4"/>
  <c r="Y506" i="4"/>
  <c r="Y505" i="4"/>
  <c r="Y504" i="4"/>
  <c r="Y503" i="4"/>
  <c r="Y502" i="4"/>
  <c r="Y501" i="4"/>
  <c r="Y500" i="4"/>
  <c r="Y499" i="4"/>
  <c r="Y498" i="4"/>
  <c r="Y497" i="4"/>
  <c r="Y496" i="4"/>
  <c r="Y495" i="4"/>
  <c r="Y494" i="4"/>
  <c r="Y493" i="4"/>
  <c r="Y492" i="4"/>
  <c r="Y491" i="4"/>
  <c r="Y490" i="4"/>
  <c r="Y489" i="4"/>
  <c r="Y488" i="4"/>
  <c r="Y487" i="4"/>
  <c r="Y486" i="4"/>
  <c r="Y485" i="4"/>
  <c r="Y484" i="4"/>
  <c r="Y483" i="4"/>
  <c r="Y482" i="4"/>
  <c r="Y481" i="4"/>
  <c r="Y480" i="4"/>
  <c r="Y479" i="4"/>
  <c r="Y478" i="4"/>
  <c r="Y477" i="4"/>
  <c r="Y476" i="4"/>
  <c r="Y475" i="4"/>
  <c r="Y474" i="4"/>
  <c r="Y473" i="4"/>
  <c r="Y472" i="4"/>
  <c r="Y471" i="4"/>
  <c r="Y470" i="4"/>
  <c r="Y469" i="4"/>
  <c r="Y468" i="4"/>
  <c r="Y467" i="4"/>
  <c r="Y466" i="4"/>
  <c r="Y465" i="4"/>
  <c r="Y464" i="4"/>
  <c r="Y463" i="4"/>
  <c r="Y462" i="4"/>
  <c r="Y461" i="4"/>
  <c r="Y460" i="4"/>
  <c r="Y459" i="4"/>
  <c r="Y458" i="4"/>
  <c r="Y457" i="4"/>
  <c r="Y456" i="4"/>
  <c r="Y455" i="4"/>
  <c r="Y454" i="4"/>
  <c r="Y453" i="4"/>
  <c r="Y452" i="4"/>
  <c r="Y451" i="4"/>
  <c r="Y450" i="4"/>
  <c r="Y449" i="4"/>
  <c r="Y448" i="4"/>
  <c r="Y447" i="4"/>
  <c r="Y446" i="4"/>
  <c r="Y445" i="4"/>
  <c r="Y444" i="4"/>
  <c r="Y443" i="4"/>
  <c r="Y442" i="4"/>
  <c r="Y441" i="4"/>
  <c r="Y440" i="4"/>
  <c r="Y439" i="4"/>
  <c r="Y438" i="4"/>
  <c r="Y437" i="4"/>
  <c r="Y436" i="4"/>
  <c r="Y435" i="4"/>
  <c r="Y434" i="4"/>
  <c r="Y433" i="4"/>
  <c r="Y432" i="4"/>
  <c r="Y431" i="4"/>
  <c r="Y430" i="4"/>
  <c r="Y429" i="4"/>
  <c r="Y428" i="4"/>
  <c r="Y427" i="4"/>
  <c r="Y426" i="4"/>
  <c r="Y425" i="4"/>
  <c r="Y424" i="4"/>
  <c r="Y423" i="4"/>
  <c r="Y422" i="4"/>
  <c r="Y421" i="4"/>
  <c r="Y420" i="4"/>
  <c r="Y419" i="4"/>
  <c r="Y418" i="4"/>
  <c r="Y417" i="4"/>
  <c r="Y416" i="4"/>
  <c r="Y415" i="4"/>
  <c r="Y414" i="4"/>
  <c r="Y413" i="4"/>
  <c r="Y412" i="4"/>
  <c r="Y411" i="4"/>
  <c r="Y410" i="4"/>
  <c r="Y409" i="4"/>
  <c r="Y408" i="4"/>
  <c r="Y407" i="4"/>
  <c r="Y406" i="4"/>
  <c r="Y405" i="4"/>
  <c r="Y404" i="4"/>
  <c r="Y403" i="4"/>
  <c r="Y402" i="4"/>
  <c r="Y401" i="4"/>
  <c r="Y400" i="4"/>
  <c r="Y399" i="4"/>
  <c r="Y398" i="4"/>
  <c r="Y397" i="4"/>
  <c r="Y396" i="4"/>
  <c r="Y395" i="4"/>
  <c r="Y394" i="4"/>
  <c r="Y393" i="4"/>
  <c r="Y392" i="4"/>
  <c r="Y391" i="4"/>
  <c r="Y390" i="4"/>
  <c r="Y389" i="4"/>
  <c r="Y388" i="4"/>
  <c r="Y387" i="4"/>
  <c r="Y386" i="4"/>
  <c r="Y385" i="4"/>
  <c r="Y384" i="4"/>
  <c r="Y383" i="4"/>
  <c r="Y382" i="4"/>
  <c r="Y381" i="4"/>
  <c r="Y380" i="4"/>
  <c r="Y379" i="4"/>
  <c r="Y378" i="4"/>
  <c r="Y377" i="4"/>
  <c r="Y376" i="4"/>
  <c r="Y375" i="4"/>
  <c r="Y374" i="4"/>
  <c r="Y373" i="4"/>
  <c r="Y372" i="4"/>
  <c r="Y371" i="4"/>
  <c r="Y370" i="4"/>
  <c r="Y369" i="4"/>
  <c r="Y368" i="4"/>
  <c r="Y367" i="4"/>
  <c r="Y366" i="4"/>
  <c r="Y365" i="4"/>
  <c r="Y364" i="4"/>
  <c r="Y363" i="4"/>
  <c r="Y362" i="4"/>
  <c r="Y361" i="4"/>
  <c r="Y360" i="4"/>
  <c r="Y359" i="4"/>
  <c r="Y358" i="4"/>
  <c r="Y357" i="4"/>
  <c r="Y356" i="4"/>
  <c r="Y355" i="4"/>
  <c r="Y354" i="4"/>
  <c r="Y353" i="4"/>
  <c r="Y352" i="4"/>
  <c r="Y351" i="4"/>
  <c r="Y350" i="4"/>
  <c r="Y349" i="4"/>
  <c r="Y348" i="4"/>
  <c r="Y347" i="4"/>
  <c r="Y346" i="4"/>
  <c r="Y345" i="4"/>
  <c r="Y344" i="4"/>
  <c r="Y343" i="4"/>
  <c r="Y342" i="4"/>
  <c r="Y341" i="4"/>
  <c r="Y340" i="4"/>
  <c r="Y339" i="4"/>
  <c r="Y338" i="4"/>
  <c r="Y337" i="4"/>
  <c r="Y336" i="4"/>
  <c r="Y335" i="4"/>
  <c r="Y334" i="4"/>
  <c r="Y333" i="4"/>
  <c r="Y332" i="4"/>
  <c r="Y331" i="4"/>
  <c r="Y330" i="4"/>
  <c r="Y329" i="4"/>
  <c r="Y328" i="4"/>
  <c r="Y327" i="4"/>
  <c r="Y326" i="4"/>
  <c r="Y325" i="4"/>
  <c r="Y324" i="4"/>
  <c r="Y323" i="4"/>
  <c r="Y322" i="4"/>
  <c r="Y321" i="4"/>
  <c r="Y320" i="4"/>
  <c r="Y319" i="4"/>
  <c r="Y318" i="4"/>
  <c r="Y317" i="4"/>
  <c r="Y316" i="4"/>
  <c r="Y315" i="4"/>
  <c r="Y314" i="4"/>
  <c r="Y313" i="4"/>
  <c r="Y312" i="4"/>
  <c r="Y311" i="4"/>
  <c r="Y310" i="4"/>
  <c r="Y309" i="4"/>
  <c r="Y308" i="4"/>
  <c r="Y307" i="4"/>
  <c r="Y306" i="4"/>
  <c r="Y305" i="4"/>
  <c r="Y304" i="4"/>
  <c r="Y303" i="4"/>
  <c r="Y302" i="4"/>
  <c r="Y301" i="4"/>
  <c r="Y300" i="4"/>
  <c r="Y299" i="4"/>
  <c r="Y298" i="4"/>
  <c r="Y297" i="4"/>
  <c r="Y296" i="4"/>
  <c r="Y295" i="4"/>
  <c r="Y294" i="4"/>
  <c r="Y293" i="4"/>
  <c r="Y292" i="4"/>
  <c r="Y291" i="4"/>
  <c r="Y290" i="4"/>
  <c r="Y289" i="4"/>
  <c r="Y288" i="4"/>
  <c r="Y287" i="4"/>
  <c r="Y286" i="4"/>
  <c r="Y285" i="4"/>
  <c r="Y284" i="4"/>
  <c r="Y283" i="4"/>
  <c r="Y282" i="4"/>
  <c r="Y281" i="4"/>
  <c r="Y280" i="4"/>
  <c r="Y279" i="4"/>
  <c r="Y278" i="4"/>
  <c r="Y277" i="4"/>
  <c r="Y276" i="4"/>
  <c r="Y275" i="4"/>
  <c r="Y274" i="4"/>
  <c r="Y273" i="4"/>
  <c r="Y272" i="4"/>
  <c r="Y271" i="4"/>
  <c r="Y270" i="4"/>
  <c r="Y269" i="4"/>
  <c r="Y268" i="4"/>
  <c r="Y267" i="4"/>
  <c r="Y266" i="4"/>
  <c r="Y265" i="4"/>
  <c r="Y264" i="4"/>
  <c r="Y263" i="4"/>
  <c r="Y262" i="4"/>
  <c r="Y261" i="4"/>
  <c r="Y260" i="4"/>
  <c r="Y259" i="4"/>
  <c r="Y258" i="4"/>
  <c r="Y257" i="4"/>
  <c r="Y256" i="4"/>
  <c r="Y255" i="4"/>
  <c r="Y254" i="4"/>
  <c r="Y253" i="4"/>
  <c r="Y252" i="4"/>
  <c r="Y251" i="4"/>
  <c r="Y250" i="4"/>
  <c r="Y249" i="4"/>
  <c r="Y248" i="4"/>
  <c r="Y247" i="4"/>
  <c r="Y246" i="4"/>
  <c r="Y245" i="4"/>
  <c r="Y244" i="4"/>
  <c r="Y243" i="4"/>
  <c r="Y242" i="4"/>
  <c r="Y241" i="4"/>
  <c r="Y240" i="4"/>
  <c r="Y239" i="4"/>
  <c r="Y238" i="4"/>
  <c r="Y237" i="4"/>
  <c r="Y236" i="4"/>
  <c r="Y235" i="4"/>
  <c r="Y234" i="4"/>
  <c r="Y233" i="4"/>
  <c r="Y232" i="4"/>
  <c r="Y231" i="4"/>
  <c r="Y230" i="4"/>
  <c r="Y229" i="4"/>
  <c r="Y228" i="4"/>
  <c r="Y227" i="4"/>
  <c r="Y226" i="4"/>
  <c r="Y225" i="4"/>
  <c r="Y224" i="4"/>
  <c r="Y223" i="4"/>
  <c r="Y222" i="4"/>
  <c r="Y221" i="4"/>
  <c r="Y220" i="4"/>
  <c r="Y219" i="4"/>
  <c r="Y218" i="4"/>
  <c r="Y217" i="4"/>
  <c r="Y216" i="4"/>
  <c r="Y215" i="4"/>
  <c r="Y214" i="4"/>
  <c r="Y213" i="4"/>
  <c r="Y212" i="4"/>
  <c r="Y211" i="4"/>
  <c r="Y210" i="4"/>
  <c r="Y209" i="4"/>
  <c r="Y208" i="4"/>
  <c r="Y207" i="4"/>
  <c r="Y206" i="4"/>
  <c r="Y205" i="4"/>
  <c r="Y204" i="4"/>
  <c r="Y203" i="4"/>
  <c r="Y202" i="4"/>
  <c r="Y201" i="4"/>
  <c r="Y200" i="4"/>
  <c r="Y199" i="4"/>
  <c r="Y198" i="4"/>
  <c r="Y197" i="4"/>
  <c r="Y196" i="4"/>
  <c r="Y195" i="4"/>
  <c r="Y194" i="4"/>
  <c r="Y193" i="4"/>
  <c r="Y192" i="4"/>
  <c r="Y191" i="4"/>
  <c r="Y190" i="4"/>
  <c r="Y189" i="4"/>
  <c r="Y188" i="4"/>
  <c r="Y187" i="4"/>
  <c r="Y186" i="4"/>
  <c r="Y185" i="4"/>
  <c r="Y184" i="4"/>
  <c r="Y183" i="4"/>
  <c r="Y182" i="4"/>
  <c r="Y181" i="4"/>
  <c r="Y180" i="4"/>
  <c r="Y179" i="4"/>
  <c r="Y178" i="4"/>
  <c r="Y177" i="4"/>
  <c r="Y176" i="4"/>
  <c r="Y175" i="4"/>
  <c r="Y174" i="4"/>
  <c r="Y173" i="4"/>
  <c r="Y172" i="4"/>
  <c r="Y171" i="4"/>
  <c r="Y170" i="4"/>
  <c r="Y169" i="4"/>
  <c r="Y168" i="4"/>
  <c r="Y167" i="4"/>
  <c r="Y166" i="4"/>
  <c r="Y165" i="4"/>
  <c r="Y164" i="4"/>
  <c r="Y163" i="4"/>
  <c r="Y162" i="4"/>
  <c r="Y161" i="4"/>
  <c r="Y160" i="4"/>
  <c r="Y159" i="4"/>
  <c r="Y158" i="4"/>
  <c r="Y157" i="4"/>
  <c r="Y156" i="4"/>
  <c r="Y155" i="4"/>
  <c r="Y154" i="4"/>
  <c r="Y153" i="4"/>
  <c r="Y152" i="4"/>
  <c r="Y151" i="4"/>
  <c r="Y150" i="4"/>
  <c r="Y149" i="4"/>
  <c r="Y148" i="4"/>
  <c r="Y147" i="4"/>
  <c r="Y146" i="4"/>
  <c r="Y145" i="4"/>
  <c r="Y144" i="4"/>
  <c r="Y143" i="4"/>
  <c r="Y142" i="4"/>
  <c r="Y141" i="4"/>
  <c r="Y140" i="4"/>
  <c r="Y139" i="4"/>
  <c r="Y138" i="4"/>
  <c r="Y137" i="4"/>
  <c r="Y136" i="4"/>
  <c r="Y135" i="4"/>
  <c r="Y134" i="4"/>
  <c r="Y133" i="4"/>
  <c r="Y132" i="4"/>
  <c r="Y131" i="4"/>
  <c r="Y130" i="4"/>
  <c r="Y129" i="4"/>
  <c r="Y128" i="4"/>
  <c r="Y127" i="4"/>
  <c r="Y126" i="4"/>
  <c r="Y125" i="4"/>
  <c r="Y124" i="4"/>
  <c r="Y123" i="4"/>
  <c r="Y122" i="4"/>
  <c r="Y121" i="4"/>
  <c r="Y120" i="4"/>
  <c r="Y119" i="4"/>
  <c r="Y118" i="4"/>
  <c r="Y117" i="4"/>
  <c r="Y116" i="4"/>
  <c r="Y115" i="4"/>
  <c r="Y114" i="4"/>
  <c r="Y113" i="4"/>
  <c r="Y112" i="4"/>
  <c r="Y111" i="4"/>
  <c r="Y110" i="4"/>
  <c r="Y109" i="4"/>
  <c r="Y108" i="4"/>
  <c r="Y107" i="4"/>
  <c r="Y106" i="4"/>
  <c r="Y105" i="4"/>
  <c r="Y104" i="4"/>
  <c r="Y103" i="4"/>
  <c r="Y102" i="4"/>
  <c r="Y101" i="4"/>
  <c r="Y100" i="4"/>
  <c r="Y99" i="4"/>
  <c r="Y98" i="4"/>
  <c r="Y97" i="4"/>
  <c r="Y96" i="4"/>
  <c r="Y95" i="4"/>
  <c r="Y94" i="4"/>
  <c r="Y93" i="4"/>
  <c r="Y92" i="4"/>
  <c r="Y91" i="4"/>
  <c r="Y90" i="4"/>
  <c r="Y89" i="4"/>
  <c r="Y88" i="4"/>
  <c r="Y87" i="4"/>
  <c r="Y86" i="4"/>
  <c r="Y85" i="4"/>
  <c r="Y84" i="4"/>
  <c r="Y83" i="4"/>
  <c r="Y82" i="4"/>
  <c r="Y81" i="4"/>
  <c r="Y80" i="4"/>
  <c r="Y79" i="4"/>
  <c r="Y78" i="4"/>
  <c r="Y77" i="4"/>
  <c r="Y76" i="4"/>
  <c r="Y75" i="4"/>
  <c r="Y74" i="4"/>
  <c r="Y73" i="4"/>
  <c r="Y72" i="4"/>
  <c r="Y71" i="4"/>
  <c r="Y70" i="4"/>
  <c r="Y69" i="4"/>
  <c r="Y68" i="4"/>
  <c r="Y67" i="4"/>
  <c r="Y66" i="4"/>
  <c r="Y65" i="4"/>
  <c r="Y64" i="4"/>
  <c r="Y63" i="4"/>
  <c r="Y62" i="4"/>
  <c r="Y61" i="4"/>
  <c r="Y60" i="4"/>
  <c r="Y59" i="4"/>
  <c r="Y58" i="4"/>
  <c r="Y57" i="4"/>
  <c r="Y56" i="4"/>
  <c r="Y55" i="4"/>
  <c r="Y54" i="4"/>
  <c r="Y53" i="4"/>
  <c r="Y52" i="4"/>
  <c r="Y51" i="4"/>
  <c r="Y50" i="4"/>
  <c r="Y49" i="4"/>
  <c r="Y48" i="4"/>
  <c r="Y47" i="4"/>
  <c r="Y46" i="4"/>
  <c r="Y45" i="4"/>
  <c r="Y44" i="4"/>
  <c r="Y43" i="4"/>
  <c r="Y42" i="4"/>
  <c r="Y41" i="4"/>
  <c r="Y40" i="4"/>
  <c r="Y39" i="4"/>
  <c r="Y38" i="4"/>
  <c r="Y37" i="4"/>
  <c r="Y36" i="4"/>
  <c r="Y35" i="4"/>
  <c r="Y34" i="4"/>
  <c r="Y33" i="4"/>
  <c r="Y32" i="4"/>
  <c r="Y31" i="4"/>
  <c r="Y30" i="4"/>
  <c r="Y29" i="4"/>
  <c r="Y28" i="4"/>
  <c r="Y27" i="4"/>
  <c r="Y26" i="4"/>
  <c r="Y25" i="4"/>
  <c r="Y24" i="4"/>
  <c r="Y23" i="4"/>
  <c r="Y22" i="4"/>
  <c r="Y21" i="4"/>
  <c r="Y20" i="4"/>
  <c r="Y19" i="4"/>
  <c r="Y18" i="4"/>
  <c r="Y17" i="4"/>
  <c r="Y16" i="4"/>
  <c r="Y753" i="4"/>
  <c r="Y752" i="4"/>
  <c r="Y751" i="4"/>
  <c r="Y750" i="4"/>
  <c r="Y749" i="4"/>
  <c r="Y748" i="4"/>
  <c r="Y747" i="4"/>
  <c r="Y746" i="4"/>
  <c r="Y745" i="4"/>
  <c r="Y744" i="4"/>
  <c r="Y743" i="4"/>
  <c r="Y742" i="4"/>
  <c r="Y741" i="4"/>
  <c r="Y740" i="4"/>
  <c r="Y739" i="4"/>
  <c r="Y738" i="4"/>
  <c r="Y737" i="4"/>
  <c r="Y736" i="4"/>
  <c r="Y735" i="4"/>
  <c r="Y734" i="4"/>
  <c r="Y733" i="4"/>
  <c r="Y732" i="4"/>
  <c r="Y731" i="4"/>
  <c r="Y730" i="4"/>
  <c r="Y729" i="4"/>
  <c r="U10" i="20" l="1"/>
  <c r="U52" i="20" s="1"/>
  <c r="U54" i="20" s="1"/>
  <c r="U9" i="20"/>
  <c r="U46" i="20" s="1"/>
  <c r="U48" i="20" s="1"/>
  <c r="U8" i="20"/>
  <c r="U40" i="20" s="1"/>
  <c r="U42" i="20" s="1"/>
  <c r="U7" i="20"/>
  <c r="U34" i="20" s="1"/>
  <c r="U36" i="20" s="1"/>
  <c r="U6" i="20"/>
  <c r="U27" i="20" s="1"/>
  <c r="U29" i="20" s="1"/>
  <c r="U5" i="20"/>
  <c r="U21" i="20" s="1"/>
  <c r="U23" i="20" s="1"/>
  <c r="U4" i="20"/>
  <c r="U14" i="20" s="1"/>
  <c r="U16" i="20" s="1"/>
  <c r="U57" i="20" s="1"/>
  <c r="U59" i="20" s="1"/>
  <c r="V3" i="20"/>
  <c r="F45" i="23"/>
  <c r="F53" i="23"/>
  <c r="F57" i="23"/>
  <c r="F54" i="23"/>
  <c r="F47" i="23"/>
  <c r="F46" i="23"/>
  <c r="F55" i="23"/>
  <c r="F56" i="23"/>
  <c r="G41" i="23"/>
  <c r="F49" i="23"/>
  <c r="F44" i="23"/>
  <c r="H21" i="23"/>
  <c r="H16" i="23"/>
  <c r="G40" i="23"/>
  <c r="G32" i="23"/>
  <c r="G56" i="23" s="1"/>
  <c r="H29" i="23"/>
  <c r="H24" i="23"/>
  <c r="H33" i="23"/>
  <c r="H17" i="23"/>
  <c r="F51" i="23"/>
  <c r="G13" i="23"/>
  <c r="H25" i="23"/>
  <c r="G25" i="23"/>
  <c r="G49" i="23" s="1"/>
  <c r="G22" i="23"/>
  <c r="H35" i="23"/>
  <c r="H19" i="23"/>
  <c r="G35" i="23"/>
  <c r="G30" i="23"/>
  <c r="G14" i="23"/>
  <c r="H27" i="23"/>
  <c r="G39" i="23"/>
  <c r="G23" i="23"/>
  <c r="G332" i="23" s="1"/>
  <c r="H36" i="23"/>
  <c r="H12" i="23"/>
  <c r="T38" i="12"/>
  <c r="S37" i="12"/>
  <c r="G31" i="23"/>
  <c r="G15" i="23"/>
  <c r="F96" i="23"/>
  <c r="F108" i="23"/>
  <c r="F43" i="23"/>
  <c r="F112" i="23"/>
  <c r="H9" i="23"/>
  <c r="F52" i="23"/>
  <c r="J37" i="22"/>
  <c r="I37" i="22"/>
  <c r="H15" i="23"/>
  <c r="H32" i="23"/>
  <c r="G27" i="23"/>
  <c r="H20" i="23"/>
  <c r="H37" i="23"/>
  <c r="G11" i="23"/>
  <c r="G28" i="23"/>
  <c r="H22" i="23"/>
  <c r="H39" i="23"/>
  <c r="G12" i="23"/>
  <c r="G29" i="23"/>
  <c r="H23" i="23"/>
  <c r="H332" i="23" s="1"/>
  <c r="H40" i="23"/>
  <c r="G16" i="23"/>
  <c r="G33" i="23"/>
  <c r="H41" i="23"/>
  <c r="G19" i="23"/>
  <c r="G36" i="23"/>
  <c r="H11" i="23"/>
  <c r="H28" i="23"/>
  <c r="G20" i="23"/>
  <c r="G37" i="23"/>
  <c r="H14" i="23"/>
  <c r="H31" i="23"/>
  <c r="G24" i="23"/>
  <c r="H13" i="23"/>
  <c r="H30" i="23"/>
  <c r="H54" i="23" s="1"/>
  <c r="G21" i="23"/>
  <c r="G38" i="23"/>
  <c r="F104" i="23"/>
  <c r="F136" i="23"/>
  <c r="F140" i="23"/>
  <c r="F61" i="23"/>
  <c r="F116" i="23"/>
  <c r="F128" i="23"/>
  <c r="F132" i="23"/>
  <c r="F124" i="23"/>
  <c r="B39" i="22" a="1"/>
  <c r="B39" i="22" s="1"/>
  <c r="I9" i="23" s="1"/>
  <c r="I38" i="22"/>
  <c r="J38" i="22"/>
  <c r="G54" i="23"/>
  <c r="G9" i="23"/>
  <c r="Y21" i="30"/>
  <c r="Q9" i="30"/>
  <c r="Y22" i="30" s="1"/>
  <c r="Y16" i="30"/>
  <c r="AA15" i="30"/>
  <c r="Y12" i="30"/>
  <c r="K9" i="30"/>
  <c r="Y13" i="30" s="1"/>
  <c r="AA13" i="30" s="1"/>
  <c r="Y28" i="30" s="1"/>
  <c r="Y21" i="31"/>
  <c r="Q9" i="31"/>
  <c r="Y22" i="31" s="1"/>
  <c r="Y16" i="31"/>
  <c r="AA15" i="31"/>
  <c r="Y12" i="31"/>
  <c r="K9" i="31"/>
  <c r="Y13" i="31" s="1"/>
  <c r="AA13" i="31" s="1"/>
  <c r="Y28" i="31" s="1"/>
  <c r="N24" i="10"/>
  <c r="L24" i="10"/>
  <c r="D18" i="12" s="1"/>
  <c r="M30" i="28"/>
  <c r="D16" i="12" s="1"/>
  <c r="Q5" i="28"/>
  <c r="Q30" i="28" s="1"/>
  <c r="AS168" i="19"/>
  <c r="AE168" i="19"/>
  <c r="AS167" i="19"/>
  <c r="AE167" i="19"/>
  <c r="AS166" i="19"/>
  <c r="AE166" i="19"/>
  <c r="AS165" i="19"/>
  <c r="AE165" i="19"/>
  <c r="AS164" i="19"/>
  <c r="AE164" i="19"/>
  <c r="AS163" i="19"/>
  <c r="AE163" i="19"/>
  <c r="AS162" i="19"/>
  <c r="AE162" i="19"/>
  <c r="AS161" i="19"/>
  <c r="AE161" i="19"/>
  <c r="AS160" i="19"/>
  <c r="AE160" i="19"/>
  <c r="AS159" i="19"/>
  <c r="AE159" i="19"/>
  <c r="AS158" i="19"/>
  <c r="AE158" i="19"/>
  <c r="AS157" i="19"/>
  <c r="AE157" i="19"/>
  <c r="AS156" i="19"/>
  <c r="AE156" i="19"/>
  <c r="AS155" i="19"/>
  <c r="AE155" i="19"/>
  <c r="AS154" i="19"/>
  <c r="AE154" i="19"/>
  <c r="AS153" i="19"/>
  <c r="AE153" i="19"/>
  <c r="AS152" i="19"/>
  <c r="AE152" i="19"/>
  <c r="AS151" i="19"/>
  <c r="AE151" i="19"/>
  <c r="AS150" i="19"/>
  <c r="AE150" i="19"/>
  <c r="AS149" i="19"/>
  <c r="AE149" i="19"/>
  <c r="AS148" i="19"/>
  <c r="AE148" i="19"/>
  <c r="AS147" i="19"/>
  <c r="AE147" i="19"/>
  <c r="AS146" i="19"/>
  <c r="AE146" i="19"/>
  <c r="AS145" i="19"/>
  <c r="AE145" i="19"/>
  <c r="AK169" i="19"/>
  <c r="AQ169" i="19"/>
  <c r="AR169" i="19"/>
  <c r="AO169" i="19"/>
  <c r="AP169" i="19"/>
  <c r="AN169" i="19"/>
  <c r="AM169" i="19"/>
  <c r="AL169" i="19"/>
  <c r="AJ169" i="19"/>
  <c r="AS144" i="19"/>
  <c r="AS169" i="19" s="1"/>
  <c r="H8" i="19" s="1"/>
  <c r="H12" i="19" s="1"/>
  <c r="E11" i="12" s="1"/>
  <c r="H11" i="12" s="1"/>
  <c r="Y169" i="19"/>
  <c r="X169" i="19"/>
  <c r="AE144" i="19"/>
  <c r="AA140" i="19"/>
  <c r="F7" i="19" s="1"/>
  <c r="G7" i="19" s="1"/>
  <c r="I7" i="19" s="1"/>
  <c r="AB115" i="19"/>
  <c r="AB140" i="19" s="1"/>
  <c r="AN111" i="19"/>
  <c r="F6" i="19" s="1"/>
  <c r="G6" i="19" s="1"/>
  <c r="I6" i="19" s="1"/>
  <c r="AO86" i="19"/>
  <c r="AO111" i="19" s="1"/>
  <c r="AF82" i="19"/>
  <c r="F5" i="19" s="1"/>
  <c r="AG57" i="19"/>
  <c r="AG82" i="19" s="1"/>
  <c r="I20" i="12"/>
  <c r="I19" i="12"/>
  <c r="I14" i="12"/>
  <c r="I13" i="12"/>
  <c r="I12" i="12"/>
  <c r="O5" i="4"/>
  <c r="O4" i="4"/>
  <c r="Q754" i="4"/>
  <c r="Y7" i="4"/>
  <c r="V10" i="20" l="1"/>
  <c r="V52" i="20" s="1"/>
  <c r="V54" i="20" s="1"/>
  <c r="V9" i="20"/>
  <c r="V46" i="20" s="1"/>
  <c r="V48" i="20" s="1"/>
  <c r="V8" i="20"/>
  <c r="V40" i="20" s="1"/>
  <c r="V42" i="20" s="1"/>
  <c r="V7" i="20"/>
  <c r="V34" i="20" s="1"/>
  <c r="V36" i="20" s="1"/>
  <c r="V6" i="20"/>
  <c r="V27" i="20" s="1"/>
  <c r="V29" i="20" s="1"/>
  <c r="V5" i="20"/>
  <c r="V21" i="20" s="1"/>
  <c r="V23" i="20" s="1"/>
  <c r="V4" i="20"/>
  <c r="V14" i="20" s="1"/>
  <c r="V16" i="20" s="1"/>
  <c r="V57" i="20" s="1"/>
  <c r="V59" i="20" s="1"/>
  <c r="W3" i="20"/>
  <c r="H45" i="23"/>
  <c r="G46" i="23"/>
  <c r="H51" i="23"/>
  <c r="H48" i="23"/>
  <c r="G45" i="23"/>
  <c r="H52" i="23"/>
  <c r="G51" i="23"/>
  <c r="H47" i="23"/>
  <c r="H57" i="23"/>
  <c r="G55" i="23"/>
  <c r="G57" i="23"/>
  <c r="G47" i="23"/>
  <c r="H53" i="23"/>
  <c r="H49" i="23"/>
  <c r="H55" i="23"/>
  <c r="G48" i="23"/>
  <c r="H44" i="23"/>
  <c r="T37" i="12"/>
  <c r="S36" i="12"/>
  <c r="G136" i="23"/>
  <c r="G104" i="23"/>
  <c r="G105" i="23" s="1"/>
  <c r="G106" i="23" s="1"/>
  <c r="G140" i="23"/>
  <c r="G141" i="23" s="1"/>
  <c r="G142" i="23" s="1"/>
  <c r="G61" i="23"/>
  <c r="G124" i="23"/>
  <c r="G125" i="23" s="1"/>
  <c r="G126" i="23" s="1"/>
  <c r="G128" i="23"/>
  <c r="G132" i="23"/>
  <c r="G133" i="23" s="1"/>
  <c r="G134" i="23" s="1"/>
  <c r="G116" i="23"/>
  <c r="G117" i="23" s="1"/>
  <c r="G118" i="23" s="1"/>
  <c r="F133" i="23"/>
  <c r="F134" i="23" s="1"/>
  <c r="I35" i="23"/>
  <c r="H56" i="23"/>
  <c r="I31" i="23"/>
  <c r="H108" i="23"/>
  <c r="H109" i="23" s="1"/>
  <c r="H96" i="23"/>
  <c r="H97" i="23" s="1"/>
  <c r="H98" i="23" s="1"/>
  <c r="H112" i="23"/>
  <c r="H113" i="23" s="1"/>
  <c r="H114" i="23" s="1"/>
  <c r="H43" i="23"/>
  <c r="F117" i="23"/>
  <c r="F118" i="23" s="1"/>
  <c r="H46" i="23"/>
  <c r="I40" i="23"/>
  <c r="I33" i="23"/>
  <c r="I27" i="23"/>
  <c r="I25" i="23"/>
  <c r="I136" i="23"/>
  <c r="I104" i="23"/>
  <c r="I105" i="23" s="1"/>
  <c r="I106" i="23" s="1"/>
  <c r="I140" i="23"/>
  <c r="I141" i="23" s="1"/>
  <c r="I142" i="23" s="1"/>
  <c r="I128" i="23"/>
  <c r="I132" i="23"/>
  <c r="I133" i="23" s="1"/>
  <c r="I134" i="23" s="1"/>
  <c r="I116" i="23"/>
  <c r="I117" i="23" s="1"/>
  <c r="I118" i="23" s="1"/>
  <c r="I61" i="23"/>
  <c r="I124" i="23"/>
  <c r="I125" i="23" s="1"/>
  <c r="I126" i="23" s="1"/>
  <c r="F62" i="23"/>
  <c r="F67" i="23"/>
  <c r="I24" i="23"/>
  <c r="I17" i="23"/>
  <c r="H61" i="23"/>
  <c r="H140" i="23"/>
  <c r="H141" i="23" s="1"/>
  <c r="H142" i="23" s="1"/>
  <c r="H104" i="23"/>
  <c r="H105" i="23" s="1"/>
  <c r="H106" i="23" s="1"/>
  <c r="H136" i="23"/>
  <c r="H128" i="23"/>
  <c r="H132" i="23"/>
  <c r="H133" i="23" s="1"/>
  <c r="H134" i="23" s="1"/>
  <c r="H116" i="23"/>
  <c r="H117" i="23" s="1"/>
  <c r="H118" i="23" s="1"/>
  <c r="H124" i="23"/>
  <c r="H125" i="23" s="1"/>
  <c r="H126" i="23" s="1"/>
  <c r="F113" i="23"/>
  <c r="F114" i="23" s="1"/>
  <c r="F141" i="23"/>
  <c r="F142" i="23" s="1"/>
  <c r="I36" i="23"/>
  <c r="F344" i="23"/>
  <c r="F58" i="23"/>
  <c r="F129" i="23"/>
  <c r="F130" i="23" s="1"/>
  <c r="F224" i="23"/>
  <c r="F144" i="23"/>
  <c r="F137" i="23"/>
  <c r="F138" i="23" s="1"/>
  <c r="I19" i="23"/>
  <c r="I16" i="23"/>
  <c r="F109" i="23"/>
  <c r="J39" i="22"/>
  <c r="I39" i="22"/>
  <c r="I41" i="23"/>
  <c r="I38" i="23"/>
  <c r="I20" i="23"/>
  <c r="I32" i="23"/>
  <c r="I29" i="23"/>
  <c r="I11" i="23"/>
  <c r="I15" i="23"/>
  <c r="I23" i="23"/>
  <c r="I332" i="23" s="1"/>
  <c r="I21" i="23"/>
  <c r="I22" i="23"/>
  <c r="I14" i="23"/>
  <c r="I46" i="23" s="1"/>
  <c r="I12" i="23"/>
  <c r="I39" i="23"/>
  <c r="I37" i="23"/>
  <c r="I30" i="23"/>
  <c r="I13" i="23"/>
  <c r="I28" i="23"/>
  <c r="B40" i="22" a="1"/>
  <c r="B40" i="22" s="1"/>
  <c r="F105" i="23"/>
  <c r="F106" i="23" s="1"/>
  <c r="G53" i="23"/>
  <c r="G52" i="23"/>
  <c r="F97" i="23"/>
  <c r="F98" i="23" s="1"/>
  <c r="F125" i="23"/>
  <c r="F126" i="23" s="1"/>
  <c r="G44" i="23"/>
  <c r="G43" i="23"/>
  <c r="G96" i="23"/>
  <c r="G97" i="23" s="1"/>
  <c r="G98" i="23" s="1"/>
  <c r="G108" i="23"/>
  <c r="G109" i="23" s="1"/>
  <c r="G112" i="23"/>
  <c r="G113" i="23" s="1"/>
  <c r="G114" i="23" s="1"/>
  <c r="AA29" i="30"/>
  <c r="AA31" i="30" s="1"/>
  <c r="AA28" i="30"/>
  <c r="Y31" i="30" s="1"/>
  <c r="Y33" i="30" s="1"/>
  <c r="Y17" i="30"/>
  <c r="AA29" i="31"/>
  <c r="AA31" i="31" s="1"/>
  <c r="AA28" i="31"/>
  <c r="Y31" i="31" s="1"/>
  <c r="Y33" i="31" s="1"/>
  <c r="AA19" i="31"/>
  <c r="AA18" i="31"/>
  <c r="Y17" i="31"/>
  <c r="F16" i="12"/>
  <c r="G16" i="12"/>
  <c r="I16" i="12" s="1"/>
  <c r="F18" i="12"/>
  <c r="G18" i="12"/>
  <c r="I18" i="12" s="1"/>
  <c r="G5" i="19"/>
  <c r="AF144" i="19"/>
  <c r="AE169" i="19"/>
  <c r="E8" i="19" s="1"/>
  <c r="AG144" i="19"/>
  <c r="AF145" i="19"/>
  <c r="AG145" i="19"/>
  <c r="AF146" i="19"/>
  <c r="AG146" i="19"/>
  <c r="AF147" i="19"/>
  <c r="AG147" i="19"/>
  <c r="AF148" i="19"/>
  <c r="AG148" i="19"/>
  <c r="AF149" i="19"/>
  <c r="AG149" i="19"/>
  <c r="AF150" i="19"/>
  <c r="AG150" i="19"/>
  <c r="AF151" i="19"/>
  <c r="AG151" i="19"/>
  <c r="AF152" i="19"/>
  <c r="AG152" i="19"/>
  <c r="AF153" i="19"/>
  <c r="AG153" i="19" s="1"/>
  <c r="AF154" i="19"/>
  <c r="AG154" i="19"/>
  <c r="AF155" i="19"/>
  <c r="AG155" i="19"/>
  <c r="AF156" i="19"/>
  <c r="AG156" i="19"/>
  <c r="AF157" i="19"/>
  <c r="AG157" i="19"/>
  <c r="AF158" i="19"/>
  <c r="AG158" i="19"/>
  <c r="AF159" i="19"/>
  <c r="AG159" i="19"/>
  <c r="AF160" i="19"/>
  <c r="AG160" i="19"/>
  <c r="AF161" i="19"/>
  <c r="AG161" i="19"/>
  <c r="AF162" i="19"/>
  <c r="AG162" i="19"/>
  <c r="AF163" i="19"/>
  <c r="AG163" i="19"/>
  <c r="AF164" i="19"/>
  <c r="AG164" i="19"/>
  <c r="AF165" i="19"/>
  <c r="AG165" i="19"/>
  <c r="AF166" i="19"/>
  <c r="AG166" i="19"/>
  <c r="AF167" i="19"/>
  <c r="AG167" i="19"/>
  <c r="AF168" i="19"/>
  <c r="AG168" i="19"/>
  <c r="P4" i="4"/>
  <c r="U4" i="4" s="1"/>
  <c r="O754" i="4"/>
  <c r="X754" i="4"/>
  <c r="E17" i="12" s="1"/>
  <c r="R754" i="4"/>
  <c r="W5" i="4"/>
  <c r="W10" i="20" l="1"/>
  <c r="W52" i="20" s="1"/>
  <c r="W54" i="20" s="1"/>
  <c r="W9" i="20"/>
  <c r="W46" i="20" s="1"/>
  <c r="W48" i="20" s="1"/>
  <c r="W8" i="20"/>
  <c r="W40" i="20" s="1"/>
  <c r="W42" i="20" s="1"/>
  <c r="W7" i="20"/>
  <c r="W34" i="20" s="1"/>
  <c r="W36" i="20" s="1"/>
  <c r="W6" i="20"/>
  <c r="W27" i="20" s="1"/>
  <c r="W29" i="20" s="1"/>
  <c r="W5" i="20"/>
  <c r="W21" i="20" s="1"/>
  <c r="W23" i="20" s="1"/>
  <c r="W4" i="20"/>
  <c r="W14" i="20" s="1"/>
  <c r="W16" i="20" s="1"/>
  <c r="W57" i="20" s="1"/>
  <c r="W59" i="20" s="1"/>
  <c r="X3" i="20"/>
  <c r="I52" i="23"/>
  <c r="I54" i="23"/>
  <c r="I56" i="23"/>
  <c r="I48" i="23"/>
  <c r="I45" i="23"/>
  <c r="I49" i="23"/>
  <c r="B41" i="22" a="1"/>
  <c r="B41" i="22" s="1"/>
  <c r="K27" i="23" s="1"/>
  <c r="J16" i="23"/>
  <c r="J37" i="23"/>
  <c r="S35" i="12"/>
  <c r="T36" i="12"/>
  <c r="J31" i="23"/>
  <c r="I44" i="23"/>
  <c r="J12" i="23"/>
  <c r="G110" i="23"/>
  <c r="J11" i="23"/>
  <c r="J41" i="23"/>
  <c r="I53" i="23"/>
  <c r="F145" i="23"/>
  <c r="F146" i="23" s="1"/>
  <c r="J9" i="23"/>
  <c r="J30" i="23"/>
  <c r="F68" i="23"/>
  <c r="F80" i="23"/>
  <c r="I144" i="23"/>
  <c r="I145" i="23" s="1"/>
  <c r="I146" i="23" s="1"/>
  <c r="I137" i="23"/>
  <c r="I138" i="23" s="1"/>
  <c r="I57" i="23"/>
  <c r="J20" i="23"/>
  <c r="J25" i="23"/>
  <c r="J36" i="23"/>
  <c r="J24" i="23"/>
  <c r="F345" i="23"/>
  <c r="F346" i="23" s="1"/>
  <c r="I67" i="23"/>
  <c r="I62" i="23"/>
  <c r="H344" i="23"/>
  <c r="H345" i="23" s="1"/>
  <c r="H346" i="23" s="1"/>
  <c r="H58" i="23"/>
  <c r="I55" i="23"/>
  <c r="F225" i="23"/>
  <c r="F226" i="23" s="1"/>
  <c r="J14" i="23"/>
  <c r="J13" i="23"/>
  <c r="H129" i="23"/>
  <c r="H130" i="23" s="1"/>
  <c r="H224" i="23"/>
  <c r="H225" i="23" s="1"/>
  <c r="H226" i="23" s="1"/>
  <c r="G62" i="23"/>
  <c r="G67" i="23"/>
  <c r="F59" i="23"/>
  <c r="J29" i="23"/>
  <c r="J19" i="23"/>
  <c r="J40" i="23"/>
  <c r="J33" i="23"/>
  <c r="J22" i="23"/>
  <c r="H137" i="23"/>
  <c r="H138" i="23" s="1"/>
  <c r="H144" i="23"/>
  <c r="H145" i="23" s="1"/>
  <c r="H146" i="23" s="1"/>
  <c r="I40" i="22"/>
  <c r="J40" i="22"/>
  <c r="J39" i="23"/>
  <c r="J38" i="23"/>
  <c r="J32" i="23"/>
  <c r="J35" i="23"/>
  <c r="I47" i="23"/>
  <c r="I96" i="23"/>
  <c r="I97" i="23" s="1"/>
  <c r="I98" i="23" s="1"/>
  <c r="I43" i="23"/>
  <c r="I108" i="23"/>
  <c r="I109" i="23" s="1"/>
  <c r="I112" i="23"/>
  <c r="I113" i="23" s="1"/>
  <c r="I114" i="23" s="1"/>
  <c r="J15" i="23"/>
  <c r="I129" i="23"/>
  <c r="I130" i="23" s="1"/>
  <c r="I224" i="23"/>
  <c r="I225" i="23" s="1"/>
  <c r="I226" i="23" s="1"/>
  <c r="H110" i="23"/>
  <c r="J21" i="23"/>
  <c r="J23" i="23"/>
  <c r="J332" i="23" s="1"/>
  <c r="G144" i="23"/>
  <c r="G145" i="23" s="1"/>
  <c r="G146" i="23" s="1"/>
  <c r="G137" i="23"/>
  <c r="G138" i="23" s="1"/>
  <c r="F452" i="23"/>
  <c r="F110" i="23"/>
  <c r="G129" i="23"/>
  <c r="G130" i="23" s="1"/>
  <c r="G224" i="23"/>
  <c r="G225" i="23" s="1"/>
  <c r="G226" i="23" s="1"/>
  <c r="G344" i="23"/>
  <c r="G345" i="23" s="1"/>
  <c r="G346" i="23" s="1"/>
  <c r="G58" i="23"/>
  <c r="J27" i="23"/>
  <c r="J17" i="23"/>
  <c r="J49" i="23" s="1"/>
  <c r="H62" i="23"/>
  <c r="H67" i="23"/>
  <c r="J28" i="23"/>
  <c r="I51" i="23"/>
  <c r="AG169" i="19"/>
  <c r="E12" i="19"/>
  <c r="AF169" i="19"/>
  <c r="F8" i="19" s="1"/>
  <c r="I5" i="19"/>
  <c r="C109" i="15"/>
  <c r="D28" i="15"/>
  <c r="D30" i="15" s="1"/>
  <c r="D32" i="15" s="1"/>
  <c r="D33" i="15" s="1"/>
  <c r="D5" i="15" s="1"/>
  <c r="D14" i="15" s="1"/>
  <c r="E10" i="12" s="1"/>
  <c r="H17" i="12"/>
  <c r="P754" i="4"/>
  <c r="Y5" i="4"/>
  <c r="X10" i="20" l="1"/>
  <c r="X52" i="20" s="1"/>
  <c r="X54" i="20" s="1"/>
  <c r="X9" i="20"/>
  <c r="X46" i="20" s="1"/>
  <c r="X48" i="20" s="1"/>
  <c r="X8" i="20"/>
  <c r="X40" i="20" s="1"/>
  <c r="X42" i="20" s="1"/>
  <c r="X7" i="20"/>
  <c r="X34" i="20" s="1"/>
  <c r="X36" i="20" s="1"/>
  <c r="X6" i="20"/>
  <c r="X27" i="20" s="1"/>
  <c r="X29" i="20" s="1"/>
  <c r="X5" i="20"/>
  <c r="X21" i="20" s="1"/>
  <c r="X23" i="20" s="1"/>
  <c r="X4" i="20"/>
  <c r="X14" i="20" s="1"/>
  <c r="X16" i="20" s="1"/>
  <c r="X57" i="20" s="1"/>
  <c r="X59" i="20" s="1"/>
  <c r="Y3" i="20"/>
  <c r="J48" i="23"/>
  <c r="B42" i="22" a="1"/>
  <c r="B42" i="22" s="1"/>
  <c r="L16" i="23" s="1"/>
  <c r="J51" i="23"/>
  <c r="K29" i="23"/>
  <c r="J57" i="23"/>
  <c r="K17" i="23"/>
  <c r="K31" i="23"/>
  <c r="H453" i="23"/>
  <c r="H452" i="23"/>
  <c r="K39" i="23"/>
  <c r="K16" i="23"/>
  <c r="K9" i="23"/>
  <c r="K136" i="23" s="1"/>
  <c r="K15" i="23"/>
  <c r="J41" i="22"/>
  <c r="J53" i="23"/>
  <c r="K23" i="23"/>
  <c r="K332" i="23" s="1"/>
  <c r="K37" i="23"/>
  <c r="K53" i="23" s="1"/>
  <c r="J45" i="23"/>
  <c r="K11" i="23"/>
  <c r="K32" i="23"/>
  <c r="K20" i="23"/>
  <c r="K13" i="23"/>
  <c r="K12" i="23"/>
  <c r="K30" i="23"/>
  <c r="K19" i="23"/>
  <c r="K43" i="23" s="1"/>
  <c r="K40" i="23"/>
  <c r="K25" i="23"/>
  <c r="K41" i="23"/>
  <c r="J44" i="23"/>
  <c r="K38" i="23"/>
  <c r="K14" i="23"/>
  <c r="J56" i="23"/>
  <c r="K22" i="23"/>
  <c r="K28" i="23"/>
  <c r="K35" i="23"/>
  <c r="K51" i="23" s="1"/>
  <c r="T35" i="12"/>
  <c r="S34" i="12"/>
  <c r="J55" i="23"/>
  <c r="K21" i="23"/>
  <c r="G453" i="23"/>
  <c r="J52" i="23"/>
  <c r="K24" i="23"/>
  <c r="K33" i="23"/>
  <c r="I41" i="22"/>
  <c r="K36" i="23"/>
  <c r="L32" i="23"/>
  <c r="L31" i="23"/>
  <c r="L30" i="23"/>
  <c r="L11" i="23"/>
  <c r="F84" i="23"/>
  <c r="F92" i="23"/>
  <c r="G452" i="23"/>
  <c r="H59" i="23"/>
  <c r="G59" i="23"/>
  <c r="L37" i="23"/>
  <c r="I452" i="23"/>
  <c r="I110" i="23"/>
  <c r="I453" i="23" s="1"/>
  <c r="J54" i="23"/>
  <c r="F72" i="23"/>
  <c r="F76" i="23" s="1"/>
  <c r="F120" i="23" s="1"/>
  <c r="L14" i="23"/>
  <c r="L17" i="23"/>
  <c r="I344" i="23"/>
  <c r="I345" i="23" s="1"/>
  <c r="I346" i="23" s="1"/>
  <c r="I58" i="23"/>
  <c r="L33" i="23"/>
  <c r="F69" i="23"/>
  <c r="L12" i="23"/>
  <c r="L35" i="23"/>
  <c r="J46" i="23"/>
  <c r="L21" i="23"/>
  <c r="J96" i="23"/>
  <c r="J43" i="23"/>
  <c r="J108" i="23"/>
  <c r="J109" i="23" s="1"/>
  <c r="J112" i="23"/>
  <c r="J113" i="23" s="1"/>
  <c r="J114" i="23" s="1"/>
  <c r="L25" i="23"/>
  <c r="L9" i="23"/>
  <c r="L28" i="23"/>
  <c r="L29" i="23"/>
  <c r="I42" i="22"/>
  <c r="L24" i="23"/>
  <c r="L23" i="23"/>
  <c r="L332" i="23" s="1"/>
  <c r="L20" i="23"/>
  <c r="B43" i="22" a="1"/>
  <c r="B43" i="22" s="1"/>
  <c r="M11" i="23" s="1"/>
  <c r="L19" i="23"/>
  <c r="G68" i="23"/>
  <c r="G72" i="23" s="1"/>
  <c r="G76" i="23" s="1"/>
  <c r="G80" i="23"/>
  <c r="I68" i="23"/>
  <c r="I72" i="23" s="1"/>
  <c r="I76" i="23" s="1"/>
  <c r="I80" i="23"/>
  <c r="J136" i="23"/>
  <c r="J61" i="23"/>
  <c r="J140" i="23"/>
  <c r="J104" i="23"/>
  <c r="J116" i="23"/>
  <c r="J124" i="23"/>
  <c r="J128" i="23"/>
  <c r="J132" i="23"/>
  <c r="L39" i="23"/>
  <c r="L41" i="23"/>
  <c r="H80" i="23"/>
  <c r="H68" i="23"/>
  <c r="H72" i="23" s="1"/>
  <c r="H76" i="23" s="1"/>
  <c r="F453" i="23"/>
  <c r="J47" i="23"/>
  <c r="F12" i="19"/>
  <c r="G8" i="19"/>
  <c r="W4" i="4"/>
  <c r="U754" i="4"/>
  <c r="E23" i="12"/>
  <c r="H10" i="12"/>
  <c r="H23" i="12" s="1"/>
  <c r="Y10" i="20" l="1"/>
  <c r="Y52" i="20" s="1"/>
  <c r="Y54" i="20" s="1"/>
  <c r="Y9" i="20"/>
  <c r="Y46" i="20" s="1"/>
  <c r="Y48" i="20" s="1"/>
  <c r="Y8" i="20"/>
  <c r="Y40" i="20" s="1"/>
  <c r="Y42" i="20" s="1"/>
  <c r="Y7" i="20"/>
  <c r="Y34" i="20" s="1"/>
  <c r="Y36" i="20" s="1"/>
  <c r="Y6" i="20"/>
  <c r="Y27" i="20" s="1"/>
  <c r="Y29" i="20" s="1"/>
  <c r="Y5" i="20"/>
  <c r="Y21" i="20" s="1"/>
  <c r="Y23" i="20" s="1"/>
  <c r="Y4" i="20"/>
  <c r="Y14" i="20" s="1"/>
  <c r="Y16" i="20" s="1"/>
  <c r="Y57" i="20" s="1"/>
  <c r="Y59" i="20" s="1"/>
  <c r="Z3" i="20"/>
  <c r="K54" i="23"/>
  <c r="K104" i="23"/>
  <c r="K105" i="23" s="1"/>
  <c r="K106" i="23" s="1"/>
  <c r="K55" i="23"/>
  <c r="L27" i="23"/>
  <c r="L36" i="23"/>
  <c r="L52" i="23" s="1"/>
  <c r="L15" i="23"/>
  <c r="L47" i="23" s="1"/>
  <c r="K47" i="23"/>
  <c r="L48" i="23"/>
  <c r="J42" i="22"/>
  <c r="L13" i="23"/>
  <c r="L38" i="23"/>
  <c r="L54" i="23" s="1"/>
  <c r="L40" i="23"/>
  <c r="L56" i="23" s="1"/>
  <c r="K57" i="23"/>
  <c r="L22" i="23"/>
  <c r="L46" i="23" s="1"/>
  <c r="K49" i="23"/>
  <c r="K96" i="23"/>
  <c r="K97" i="23" s="1"/>
  <c r="K98" i="23" s="1"/>
  <c r="K108" i="23"/>
  <c r="K109" i="23" s="1"/>
  <c r="K110" i="23" s="1"/>
  <c r="K116" i="23"/>
  <c r="K117" i="23" s="1"/>
  <c r="K118" i="23" s="1"/>
  <c r="K112" i="23"/>
  <c r="K113" i="23" s="1"/>
  <c r="K114" i="23" s="1"/>
  <c r="K61" i="23"/>
  <c r="K62" i="23" s="1"/>
  <c r="K48" i="23"/>
  <c r="K44" i="23"/>
  <c r="K124" i="23"/>
  <c r="K125" i="23" s="1"/>
  <c r="K126" i="23" s="1"/>
  <c r="K140" i="23"/>
  <c r="K141" i="23" s="1"/>
  <c r="K142" i="23" s="1"/>
  <c r="K56" i="23"/>
  <c r="K132" i="23"/>
  <c r="K133" i="23" s="1"/>
  <c r="K134" i="23" s="1"/>
  <c r="K128" i="23"/>
  <c r="K129" i="23" s="1"/>
  <c r="K130" i="23" s="1"/>
  <c r="L53" i="23"/>
  <c r="K45" i="23"/>
  <c r="M31" i="23"/>
  <c r="M39" i="23"/>
  <c r="I69" i="23"/>
  <c r="I70" i="23" s="1"/>
  <c r="T34" i="12"/>
  <c r="S33" i="12"/>
  <c r="K46" i="23"/>
  <c r="M28" i="23"/>
  <c r="M38" i="23"/>
  <c r="K52" i="23"/>
  <c r="G92" i="23"/>
  <c r="G93" i="23" s="1"/>
  <c r="G94" i="23" s="1"/>
  <c r="G84" i="23"/>
  <c r="G85" i="23" s="1"/>
  <c r="G86" i="23" s="1"/>
  <c r="G120" i="23"/>
  <c r="G121" i="23" s="1"/>
  <c r="G122" i="23" s="1"/>
  <c r="J137" i="23"/>
  <c r="J138" i="23" s="1"/>
  <c r="J144" i="23"/>
  <c r="H77" i="23"/>
  <c r="H78" i="23" s="1"/>
  <c r="H88" i="23"/>
  <c r="H89" i="23" s="1"/>
  <c r="H90" i="23" s="1"/>
  <c r="J133" i="23"/>
  <c r="J134" i="23" s="1"/>
  <c r="M40" i="23"/>
  <c r="M32" i="23"/>
  <c r="L44" i="23"/>
  <c r="L57" i="23"/>
  <c r="I59" i="23"/>
  <c r="M21" i="23"/>
  <c r="M15" i="23"/>
  <c r="K137" i="23"/>
  <c r="K138" i="23" s="1"/>
  <c r="K144" i="23"/>
  <c r="K145" i="23" s="1"/>
  <c r="K146" i="23" s="1"/>
  <c r="F121" i="23"/>
  <c r="F122" i="23" s="1"/>
  <c r="M24" i="23"/>
  <c r="J125" i="23"/>
  <c r="J126" i="23" s="1"/>
  <c r="G88" i="23"/>
  <c r="G89" i="23" s="1"/>
  <c r="G90" i="23" s="1"/>
  <c r="G77" i="23"/>
  <c r="G78" i="23" s="1"/>
  <c r="J110" i="23"/>
  <c r="M30" i="23"/>
  <c r="F93" i="23"/>
  <c r="F94" i="23" s="1"/>
  <c r="H92" i="23"/>
  <c r="H93" i="23" s="1"/>
  <c r="H94" i="23" s="1"/>
  <c r="H120" i="23"/>
  <c r="H121" i="23" s="1"/>
  <c r="H122" i="23" s="1"/>
  <c r="H84" i="23"/>
  <c r="H85" i="23" s="1"/>
  <c r="H86" i="23" s="1"/>
  <c r="J224" i="23"/>
  <c r="J129" i="23"/>
  <c r="J130" i="23" s="1"/>
  <c r="F70" i="23"/>
  <c r="J117" i="23"/>
  <c r="J118" i="23" s="1"/>
  <c r="H69" i="23"/>
  <c r="G69" i="23"/>
  <c r="J344" i="23"/>
  <c r="J345" i="23" s="1"/>
  <c r="J346" i="23" s="1"/>
  <c r="J58" i="23"/>
  <c r="M22" i="23"/>
  <c r="L49" i="23"/>
  <c r="F85" i="23"/>
  <c r="F86" i="23" s="1"/>
  <c r="L55" i="23"/>
  <c r="J105" i="23"/>
  <c r="J106" i="23" s="1"/>
  <c r="I84" i="23"/>
  <c r="I85" i="23" s="1"/>
  <c r="I86" i="23" s="1"/>
  <c r="I120" i="23"/>
  <c r="I121" i="23" s="1"/>
  <c r="I122" i="23" s="1"/>
  <c r="I92" i="23"/>
  <c r="I93" i="23" s="1"/>
  <c r="I94" i="23" s="1"/>
  <c r="I43" i="22"/>
  <c r="J43" i="22"/>
  <c r="M35" i="23"/>
  <c r="M16" i="23"/>
  <c r="M13" i="23"/>
  <c r="M41" i="23"/>
  <c r="M9" i="23"/>
  <c r="M20" i="23"/>
  <c r="M19" i="23"/>
  <c r="M43" i="23" s="1"/>
  <c r="J97" i="23"/>
  <c r="J98" i="23" s="1"/>
  <c r="L51" i="23"/>
  <c r="J141" i="23"/>
  <c r="J142" i="23" s="1"/>
  <c r="I77" i="23"/>
  <c r="I78" i="23" s="1"/>
  <c r="I88" i="23"/>
  <c r="I89" i="23" s="1"/>
  <c r="I90" i="23" s="1"/>
  <c r="M23" i="23"/>
  <c r="M332" i="23" s="1"/>
  <c r="J62" i="23"/>
  <c r="J67" i="23"/>
  <c r="F77" i="23"/>
  <c r="F78" i="23" s="1"/>
  <c r="F88" i="23"/>
  <c r="B44" i="22" a="1"/>
  <c r="B44" i="22" s="1"/>
  <c r="L136" i="23"/>
  <c r="L61" i="23"/>
  <c r="L140" i="23"/>
  <c r="L141" i="23" s="1"/>
  <c r="L142" i="23" s="1"/>
  <c r="L132" i="23"/>
  <c r="L133" i="23" s="1"/>
  <c r="L134" i="23" s="1"/>
  <c r="L104" i="23"/>
  <c r="L105" i="23" s="1"/>
  <c r="L106" i="23" s="1"/>
  <c r="L124" i="23"/>
  <c r="L125" i="23" s="1"/>
  <c r="L126" i="23" s="1"/>
  <c r="L128" i="23"/>
  <c r="L116" i="23"/>
  <c r="L117" i="23" s="1"/>
  <c r="L118" i="23" s="1"/>
  <c r="M25" i="23"/>
  <c r="M37" i="23"/>
  <c r="M14" i="23"/>
  <c r="L43" i="23"/>
  <c r="I8" i="19"/>
  <c r="I12" i="19" s="1"/>
  <c r="G12" i="19"/>
  <c r="D11" i="12" s="1"/>
  <c r="C73" i="15"/>
  <c r="Y4" i="4"/>
  <c r="Y754" i="4" s="1"/>
  <c r="W754" i="4"/>
  <c r="D17" i="12" s="1"/>
  <c r="Z10" i="20" l="1"/>
  <c r="Z52" i="20" s="1"/>
  <c r="Z54" i="20" s="1"/>
  <c r="Z9" i="20"/>
  <c r="Z46" i="20" s="1"/>
  <c r="Z48" i="20" s="1"/>
  <c r="Z8" i="20"/>
  <c r="Z40" i="20" s="1"/>
  <c r="Z42" i="20" s="1"/>
  <c r="Z7" i="20"/>
  <c r="Z34" i="20" s="1"/>
  <c r="Z36" i="20" s="1"/>
  <c r="Z6" i="20"/>
  <c r="Z27" i="20" s="1"/>
  <c r="Z29" i="20" s="1"/>
  <c r="Z5" i="20"/>
  <c r="Z21" i="20" s="1"/>
  <c r="Z23" i="20" s="1"/>
  <c r="Z4" i="20"/>
  <c r="Z14" i="20" s="1"/>
  <c r="Z16" i="20" s="1"/>
  <c r="Z57" i="20" s="1"/>
  <c r="Z59" i="20" s="1"/>
  <c r="AA3" i="20"/>
  <c r="L112" i="23"/>
  <c r="L113" i="23" s="1"/>
  <c r="L114" i="23" s="1"/>
  <c r="L96" i="23"/>
  <c r="L97" i="23" s="1"/>
  <c r="L98" i="23" s="1"/>
  <c r="L108" i="23"/>
  <c r="L109" i="23" s="1"/>
  <c r="L110" i="23" s="1"/>
  <c r="L45" i="23"/>
  <c r="K224" i="23"/>
  <c r="K225" i="23" s="1"/>
  <c r="K226" i="23" s="1"/>
  <c r="K67" i="23"/>
  <c r="M48" i="23"/>
  <c r="M55" i="23"/>
  <c r="K344" i="23"/>
  <c r="K345" i="23" s="1"/>
  <c r="K346" i="23" s="1"/>
  <c r="M54" i="23"/>
  <c r="M56" i="23"/>
  <c r="K58" i="23"/>
  <c r="K59" i="23" s="1"/>
  <c r="M45" i="23"/>
  <c r="M46" i="23"/>
  <c r="T33" i="12"/>
  <c r="S32" i="12"/>
  <c r="J145" i="23"/>
  <c r="J146" i="23" s="1"/>
  <c r="N31" i="23"/>
  <c r="G70" i="23"/>
  <c r="G450" i="23" s="1"/>
  <c r="G456" i="23" s="1"/>
  <c r="G449" i="23"/>
  <c r="G455" i="23" s="1"/>
  <c r="J225" i="23"/>
  <c r="I449" i="23"/>
  <c r="I455" i="23" s="1"/>
  <c r="I44" i="22"/>
  <c r="J44" i="22"/>
  <c r="N27" i="23"/>
  <c r="N40" i="23"/>
  <c r="B45" i="22" a="1"/>
  <c r="B45" i="22" s="1"/>
  <c r="O27" i="23" s="1"/>
  <c r="M47" i="23"/>
  <c r="I450" i="23"/>
  <c r="I456" i="23" s="1"/>
  <c r="K80" i="23"/>
  <c r="K68" i="23"/>
  <c r="K72" i="23" s="1"/>
  <c r="K76" i="23" s="1"/>
  <c r="L67" i="23"/>
  <c r="L62" i="23"/>
  <c r="J80" i="23"/>
  <c r="J68" i="23"/>
  <c r="L344" i="23"/>
  <c r="L58" i="23"/>
  <c r="L137" i="23"/>
  <c r="L138" i="23" s="1"/>
  <c r="L144" i="23"/>
  <c r="L145" i="23" s="1"/>
  <c r="L146" i="23" s="1"/>
  <c r="H70" i="23"/>
  <c r="H450" i="23" s="1"/>
  <c r="H456" i="23" s="1"/>
  <c r="H449" i="23"/>
  <c r="H455" i="23" s="1"/>
  <c r="M136" i="23"/>
  <c r="M61" i="23"/>
  <c r="M140" i="23"/>
  <c r="M141" i="23" s="1"/>
  <c r="M142" i="23" s="1"/>
  <c r="M104" i="23"/>
  <c r="M105" i="23" s="1"/>
  <c r="M106" i="23" s="1"/>
  <c r="M116" i="23"/>
  <c r="M117" i="23" s="1"/>
  <c r="M118" i="23" s="1"/>
  <c r="M124" i="23"/>
  <c r="M125" i="23" s="1"/>
  <c r="M126" i="23" s="1"/>
  <c r="M128" i="23"/>
  <c r="M132" i="23"/>
  <c r="M133" i="23" s="1"/>
  <c r="M134" i="23" s="1"/>
  <c r="J59" i="23"/>
  <c r="L129" i="23"/>
  <c r="L130" i="23" s="1"/>
  <c r="L224" i="23"/>
  <c r="L225" i="23" s="1"/>
  <c r="L226" i="23" s="1"/>
  <c r="F89" i="23"/>
  <c r="F90" i="23" s="1"/>
  <c r="F450" i="23" s="1"/>
  <c r="K453" i="23"/>
  <c r="F11" i="12"/>
  <c r="G11" i="12"/>
  <c r="I11" i="12" s="1"/>
  <c r="F17" i="12"/>
  <c r="C19" i="15" s="1"/>
  <c r="C20" i="15" s="1" a="1"/>
  <c r="C20" i="15" s="1"/>
  <c r="C22" i="15" s="1"/>
  <c r="C23" i="15" s="1"/>
  <c r="C4" i="15" s="1"/>
  <c r="G17" i="12"/>
  <c r="I17" i="12" s="1"/>
  <c r="C77" i="15"/>
  <c r="C78" i="15"/>
  <c r="C74" i="15"/>
  <c r="C75" i="15"/>
  <c r="C76" i="15"/>
  <c r="AA10" i="20" l="1"/>
  <c r="AA52" i="20" s="1"/>
  <c r="AA54" i="20" s="1"/>
  <c r="AA9" i="20"/>
  <c r="AA46" i="20" s="1"/>
  <c r="AA48" i="20" s="1"/>
  <c r="AA8" i="20"/>
  <c r="AA40" i="20" s="1"/>
  <c r="AA42" i="20" s="1"/>
  <c r="AA7" i="20"/>
  <c r="AA34" i="20" s="1"/>
  <c r="AA36" i="20" s="1"/>
  <c r="AA6" i="20"/>
  <c r="AA27" i="20" s="1"/>
  <c r="AA29" i="20" s="1"/>
  <c r="AA5" i="20"/>
  <c r="AA21" i="20" s="1"/>
  <c r="AA23" i="20" s="1"/>
  <c r="AA4" i="20"/>
  <c r="AA14" i="20" s="1"/>
  <c r="AA16" i="20" s="1"/>
  <c r="AA57" i="20" s="1"/>
  <c r="AA59" i="20" s="1"/>
  <c r="AB3" i="20"/>
  <c r="K452" i="23"/>
  <c r="F449" i="23"/>
  <c r="F455" i="23" s="1"/>
  <c r="O22" i="23"/>
  <c r="O11" i="23"/>
  <c r="K69" i="23"/>
  <c r="K70" i="23" s="1"/>
  <c r="S31" i="12"/>
  <c r="T32" i="12"/>
  <c r="F456" i="23"/>
  <c r="L59" i="23"/>
  <c r="J72" i="23"/>
  <c r="J76" i="23" s="1"/>
  <c r="J69" i="23"/>
  <c r="M62" i="23"/>
  <c r="M67" i="23"/>
  <c r="L345" i="23"/>
  <c r="L346" i="23" s="1"/>
  <c r="J92" i="23"/>
  <c r="J84" i="23"/>
  <c r="M137" i="23"/>
  <c r="M138" i="23" s="1"/>
  <c r="M144" i="23"/>
  <c r="M145" i="23" s="1"/>
  <c r="M146" i="23" s="1"/>
  <c r="L80" i="23"/>
  <c r="L68" i="23"/>
  <c r="L72" i="23" s="1"/>
  <c r="L76" i="23" s="1"/>
  <c r="L452" i="23"/>
  <c r="M224" i="23"/>
  <c r="M225" i="23" s="1"/>
  <c r="M226" i="23" s="1"/>
  <c r="M129" i="23"/>
  <c r="M130" i="23" s="1"/>
  <c r="K77" i="23"/>
  <c r="K78" i="23" s="1"/>
  <c r="K88" i="23"/>
  <c r="K89" i="23" s="1"/>
  <c r="K90" i="23" s="1"/>
  <c r="L453" i="23"/>
  <c r="K92" i="23"/>
  <c r="K93" i="23" s="1"/>
  <c r="K94" i="23" s="1"/>
  <c r="K84" i="23"/>
  <c r="K85" i="23" s="1"/>
  <c r="K86" i="23" s="1"/>
  <c r="K120" i="23"/>
  <c r="K121" i="23" s="1"/>
  <c r="K122" i="23" s="1"/>
  <c r="I45" i="22"/>
  <c r="J45" i="22"/>
  <c r="B46" i="22" a="1"/>
  <c r="B46" i="22" s="1"/>
  <c r="J226" i="23"/>
  <c r="J452" i="23"/>
  <c r="C79" i="15"/>
  <c r="C81" i="15" s="1"/>
  <c r="C82" i="15" s="1"/>
  <c r="C8" i="15" s="1"/>
  <c r="C14" i="15" s="1"/>
  <c r="D10" i="12" s="1"/>
  <c r="AB10" i="20" l="1"/>
  <c r="AB52" i="20" s="1"/>
  <c r="AB54" i="20" s="1"/>
  <c r="AB9" i="20"/>
  <c r="AB46" i="20" s="1"/>
  <c r="AB48" i="20" s="1"/>
  <c r="AB8" i="20"/>
  <c r="AB40" i="20" s="1"/>
  <c r="AB42" i="20" s="1"/>
  <c r="AB7" i="20"/>
  <c r="AB34" i="20" s="1"/>
  <c r="AB36" i="20" s="1"/>
  <c r="AB6" i="20"/>
  <c r="AB27" i="20" s="1"/>
  <c r="AB29" i="20" s="1"/>
  <c r="AB5" i="20"/>
  <c r="AB21" i="20" s="1"/>
  <c r="AB23" i="20" s="1"/>
  <c r="AB4" i="20"/>
  <c r="AB14" i="20" s="1"/>
  <c r="AB16" i="20" s="1"/>
  <c r="AB57" i="20" s="1"/>
  <c r="AB59" i="20" s="1"/>
  <c r="K450" i="23"/>
  <c r="K456" i="23" s="1"/>
  <c r="T31" i="12"/>
  <c r="S30" i="12"/>
  <c r="L69" i="23"/>
  <c r="L70" i="23" s="1"/>
  <c r="J93" i="23"/>
  <c r="J94" i="23" s="1"/>
  <c r="J88" i="23"/>
  <c r="J77" i="23"/>
  <c r="J78" i="23" s="1"/>
  <c r="J453" i="23"/>
  <c r="K449" i="23"/>
  <c r="K455" i="23" s="1"/>
  <c r="L88" i="23"/>
  <c r="L89" i="23" s="1"/>
  <c r="L90" i="23" s="1"/>
  <c r="L77" i="23"/>
  <c r="L78" i="23" s="1"/>
  <c r="L120" i="23"/>
  <c r="L121" i="23" s="1"/>
  <c r="L122" i="23" s="1"/>
  <c r="L84" i="23"/>
  <c r="L85" i="23" s="1"/>
  <c r="L86" i="23" s="1"/>
  <c r="L92" i="23"/>
  <c r="L93" i="23" s="1"/>
  <c r="L94" i="23" s="1"/>
  <c r="I46" i="22"/>
  <c r="J46" i="22"/>
  <c r="B47" i="22" a="1"/>
  <c r="B47" i="22" s="1"/>
  <c r="M80" i="23"/>
  <c r="M68" i="23"/>
  <c r="M72" i="23" s="1"/>
  <c r="M76" i="23" s="1"/>
  <c r="J85" i="23"/>
  <c r="J86" i="23" s="1"/>
  <c r="J120" i="23"/>
  <c r="J70" i="23"/>
  <c r="D23" i="12"/>
  <c r="G10" i="12"/>
  <c r="F10" i="12"/>
  <c r="L450" i="23" l="1"/>
  <c r="L456" i="23" s="1"/>
  <c r="T30" i="12"/>
  <c r="S29" i="12"/>
  <c r="M92" i="23"/>
  <c r="M93" i="23" s="1"/>
  <c r="M94" i="23" s="1"/>
  <c r="M120" i="23"/>
  <c r="M121" i="23" s="1"/>
  <c r="M122" i="23" s="1"/>
  <c r="M84" i="23"/>
  <c r="J47" i="22"/>
  <c r="I47" i="22"/>
  <c r="B48" i="22" a="1"/>
  <c r="B48" i="22" s="1"/>
  <c r="M69" i="23"/>
  <c r="M70" i="23" s="1"/>
  <c r="J121" i="23"/>
  <c r="J122" i="23" s="1"/>
  <c r="L449" i="23"/>
  <c r="L455" i="23" s="1"/>
  <c r="J89" i="23"/>
  <c r="M88" i="23"/>
  <c r="M89" i="23" s="1"/>
  <c r="M90" i="23" s="1"/>
  <c r="M77" i="23"/>
  <c r="M78" i="23" s="1"/>
  <c r="I10" i="12"/>
  <c r="G23" i="12"/>
  <c r="F23" i="12"/>
  <c r="D26" i="12" s="1"/>
  <c r="D32" i="12"/>
  <c r="D40" i="12"/>
  <c r="O25" i="12"/>
  <c r="O24" i="12"/>
  <c r="T29" i="12" l="1"/>
  <c r="S28" i="12"/>
  <c r="I48" i="22"/>
  <c r="J48" i="22"/>
  <c r="B49" i="22" a="1"/>
  <c r="B49" i="22" s="1"/>
  <c r="J90" i="23"/>
  <c r="J449" i="23"/>
  <c r="J455" i="23" s="1"/>
  <c r="M85" i="23"/>
  <c r="M86" i="23" s="1"/>
  <c r="N29" i="12"/>
  <c r="E26" i="12"/>
  <c r="N36" i="12" s="1"/>
  <c r="O27" i="12"/>
  <c r="O28" i="12"/>
  <c r="O26" i="12"/>
  <c r="I23" i="12"/>
  <c r="J16" i="12" s="1"/>
  <c r="S27" i="12" l="1"/>
  <c r="T28" i="12"/>
  <c r="J10" i="12"/>
  <c r="J450" i="23"/>
  <c r="J49" i="22"/>
  <c r="I49" i="22"/>
  <c r="M39" i="22" s="1"/>
  <c r="B50" i="22" a="1"/>
  <c r="B50" i="22" s="1"/>
  <c r="J20" i="12"/>
  <c r="J19" i="12"/>
  <c r="J17" i="12"/>
  <c r="J18" i="12"/>
  <c r="J15" i="12"/>
  <c r="J14" i="12"/>
  <c r="J13" i="12"/>
  <c r="J12" i="12"/>
  <c r="J11" i="12"/>
  <c r="N30" i="12"/>
  <c r="N31" i="12"/>
  <c r="N32" i="12" s="1"/>
  <c r="N33" i="12" l="1"/>
  <c r="N34" i="12" s="1"/>
  <c r="N37" i="12" s="1"/>
  <c r="N39" i="12" s="1"/>
  <c r="O39" i="12" s="1"/>
  <c r="O40" i="12" s="1"/>
  <c r="D37" i="12" s="1"/>
  <c r="D41" i="12" s="1"/>
  <c r="T27" i="12"/>
  <c r="S26" i="12"/>
  <c r="I50" i="22"/>
  <c r="J50" i="22"/>
  <c r="B51" i="22" a="1"/>
  <c r="B51" i="22" s="1"/>
  <c r="J456" i="23"/>
  <c r="T26" i="12" l="1"/>
  <c r="S25" i="12"/>
  <c r="E37" i="12"/>
  <c r="D38" i="12"/>
  <c r="E38" i="12" s="1"/>
  <c r="I51" i="22"/>
  <c r="J51" i="22"/>
  <c r="B52" i="22" a="1"/>
  <c r="B52" i="22" s="1"/>
  <c r="M38" i="22"/>
  <c r="D39" i="12" l="1"/>
  <c r="T25" i="12"/>
  <c r="S24" i="12"/>
  <c r="I52" i="22"/>
  <c r="J52" i="22"/>
  <c r="B53" i="22" a="1"/>
  <c r="B53" i="22" s="1"/>
  <c r="S23" i="12" l="1"/>
  <c r="T23" i="12" s="1"/>
  <c r="N15" i="12" s="1"/>
  <c r="N20" i="12" s="1"/>
  <c r="D29" i="12" s="1"/>
  <c r="T24" i="12"/>
  <c r="I53" i="22"/>
  <c r="J53" i="22"/>
  <c r="B54" i="22" a="1"/>
  <c r="B54" i="22" s="1"/>
  <c r="D30" i="12" l="1"/>
  <c r="D33" i="12"/>
  <c r="E29" i="12"/>
  <c r="I54" i="22"/>
  <c r="J54" i="22"/>
  <c r="R25" i="23"/>
  <c r="M29" i="23"/>
  <c r="M53" i="23" s="1"/>
  <c r="Q21" i="23"/>
  <c r="S20" i="23"/>
  <c r="N9" i="23"/>
  <c r="S25" i="23"/>
  <c r="P37" i="23"/>
  <c r="R37" i="23"/>
  <c r="U40" i="23"/>
  <c r="P15" i="23"/>
  <c r="M27" i="23"/>
  <c r="M51" i="23" s="1"/>
  <c r="R9" i="23"/>
  <c r="N36" i="23"/>
  <c r="U30" i="23"/>
  <c r="P24" i="23"/>
  <c r="N39" i="23"/>
  <c r="N55" i="23" s="1"/>
  <c r="P35" i="23"/>
  <c r="N25" i="23"/>
  <c r="P30" i="23"/>
  <c r="R35" i="23"/>
  <c r="O30" i="23"/>
  <c r="P40" i="23"/>
  <c r="X9" i="23"/>
  <c r="M12" i="23"/>
  <c r="S16" i="23"/>
  <c r="R41" i="23"/>
  <c r="R24" i="23"/>
  <c r="O41" i="23"/>
  <c r="O24" i="23"/>
  <c r="T38" i="23"/>
  <c r="U20" i="23"/>
  <c r="U21" i="23"/>
  <c r="R39" i="23"/>
  <c r="U15" i="23"/>
  <c r="R32" i="23"/>
  <c r="Q39" i="23"/>
  <c r="Q23" i="23"/>
  <c r="Q332" i="23" s="1"/>
  <c r="U32" i="23"/>
  <c r="O14" i="23"/>
  <c r="O46" i="23" s="1"/>
  <c r="S29" i="23"/>
  <c r="T11" i="23"/>
  <c r="U22" i="23"/>
  <c r="U25" i="23"/>
  <c r="Q14" i="23"/>
  <c r="T36" i="23"/>
  <c r="T40" i="23"/>
  <c r="S12" i="23"/>
  <c r="S44" i="23" s="1"/>
  <c r="S33" i="23"/>
  <c r="O31" i="23"/>
  <c r="R29" i="23"/>
  <c r="R53" i="23" s="1"/>
  <c r="O39" i="23"/>
  <c r="N21" i="23"/>
  <c r="N19" i="23"/>
  <c r="O38" i="23"/>
  <c r="Q15" i="23"/>
  <c r="Q47" i="23" s="1"/>
  <c r="N41" i="23"/>
  <c r="V9" i="23"/>
  <c r="M33" i="23"/>
  <c r="M57" i="23" s="1"/>
  <c r="T17" i="23"/>
  <c r="N12" i="23"/>
  <c r="N28" i="23"/>
  <c r="N52" i="23" s="1"/>
  <c r="S36" i="23"/>
  <c r="T31" i="23"/>
  <c r="O19" i="23"/>
  <c r="O43" i="23" s="1"/>
  <c r="U24" i="23"/>
  <c r="M17" i="23"/>
  <c r="M49" i="23" s="1"/>
  <c r="Q40" i="23"/>
  <c r="M36" i="23"/>
  <c r="M52" i="23" s="1"/>
  <c r="P19" i="23"/>
  <c r="Q19" i="23"/>
  <c r="N37" i="23"/>
  <c r="P25" i="23"/>
  <c r="R11" i="23"/>
  <c r="T21" i="23"/>
  <c r="T23" i="23"/>
  <c r="T332" i="23" s="1"/>
  <c r="O12" i="23"/>
  <c r="N15" i="23"/>
  <c r="U11" i="23"/>
  <c r="O20" i="23"/>
  <c r="S9" i="23"/>
  <c r="R40" i="23"/>
  <c r="U9" i="23"/>
  <c r="N22" i="23"/>
  <c r="Q20" i="23"/>
  <c r="P21" i="23"/>
  <c r="P9" i="23"/>
  <c r="T41" i="23"/>
  <c r="R13" i="23"/>
  <c r="R30" i="23"/>
  <c r="T39" i="23"/>
  <c r="N35" i="23"/>
  <c r="N51" i="23" s="1"/>
  <c r="P14" i="23"/>
  <c r="O36" i="23"/>
  <c r="O29" i="23"/>
  <c r="N11" i="23"/>
  <c r="T9" i="23"/>
  <c r="R33" i="23"/>
  <c r="U37" i="23"/>
  <c r="U31" i="23"/>
  <c r="Q9" i="23"/>
  <c r="O21" i="23"/>
  <c r="N14" i="23"/>
  <c r="P29" i="23"/>
  <c r="P53" i="23" s="1"/>
  <c r="R20" i="23"/>
  <c r="S30" i="23"/>
  <c r="P39" i="23"/>
  <c r="O25" i="23"/>
  <c r="N23" i="23"/>
  <c r="N332" i="23" s="1"/>
  <c r="T25" i="23"/>
  <c r="N30" i="23"/>
  <c r="O16" i="23"/>
  <c r="O48" i="23" s="1"/>
  <c r="O15" i="23"/>
  <c r="Q27" i="23"/>
  <c r="T27" i="23"/>
  <c r="P32" i="23"/>
  <c r="R21" i="23"/>
  <c r="T13" i="23"/>
  <c r="U35" i="23"/>
  <c r="O23" i="23"/>
  <c r="O332" i="23" s="1"/>
  <c r="P41" i="23"/>
  <c r="S31" i="23"/>
  <c r="Q33" i="23"/>
  <c r="Q12" i="23"/>
  <c r="Q44" i="23" s="1"/>
  <c r="Q25" i="23"/>
  <c r="U38" i="23"/>
  <c r="R38" i="23"/>
  <c r="O28" i="23"/>
  <c r="O52" i="23" s="1"/>
  <c r="S37" i="23"/>
  <c r="P11" i="23"/>
  <c r="S21" i="23"/>
  <c r="U23" i="23"/>
  <c r="U332" i="23" s="1"/>
  <c r="P22" i="23"/>
  <c r="Q37" i="23"/>
  <c r="Q24" i="23"/>
  <c r="P36" i="23"/>
  <c r="T37" i="23"/>
  <c r="N13" i="23"/>
  <c r="N45" i="23" s="1"/>
  <c r="U41" i="23"/>
  <c r="R27" i="23"/>
  <c r="R51" i="23" s="1"/>
  <c r="Q22" i="23"/>
  <c r="T30" i="23"/>
  <c r="S39" i="23"/>
  <c r="R14" i="23"/>
  <c r="N17" i="23"/>
  <c r="U14" i="23"/>
  <c r="R19" i="23"/>
  <c r="R23" i="23"/>
  <c r="R332" i="23" s="1"/>
  <c r="P17" i="23"/>
  <c r="S35" i="23"/>
  <c r="R17" i="23"/>
  <c r="U12" i="23"/>
  <c r="U44" i="23" s="1"/>
  <c r="O13" i="23"/>
  <c r="O45" i="23" s="1"/>
  <c r="U29" i="23"/>
  <c r="N29" i="23"/>
  <c r="N53" i="23" s="1"/>
  <c r="R15" i="23"/>
  <c r="R47" i="23" s="1"/>
  <c r="N32" i="23"/>
  <c r="N56" i="23" s="1"/>
  <c r="T22" i="23"/>
  <c r="S27" i="23"/>
  <c r="N24" i="23"/>
  <c r="U17" i="23"/>
  <c r="T19" i="23"/>
  <c r="T32" i="23"/>
  <c r="T20" i="23"/>
  <c r="S32" i="23"/>
  <c r="S14" i="23"/>
  <c r="O35" i="23"/>
  <c r="O51" i="23" s="1"/>
  <c r="O33" i="23"/>
  <c r="O57" i="23" s="1"/>
  <c r="O17" i="23"/>
  <c r="S15" i="23"/>
  <c r="O9" i="23"/>
  <c r="Q30" i="23"/>
  <c r="T29" i="23"/>
  <c r="R36" i="23"/>
  <c r="T16" i="23"/>
  <c r="U33" i="23"/>
  <c r="N16" i="23"/>
  <c r="N38" i="23"/>
  <c r="S19" i="23"/>
  <c r="R12" i="23"/>
  <c r="S41" i="23"/>
  <c r="Q11" i="23"/>
  <c r="Q41" i="23"/>
  <c r="N33" i="23"/>
  <c r="S22" i="23"/>
  <c r="R28" i="23"/>
  <c r="T33" i="23"/>
  <c r="T57" i="23" s="1"/>
  <c r="R31" i="23"/>
  <c r="N20" i="23"/>
  <c r="U39" i="23"/>
  <c r="U36" i="23"/>
  <c r="U16" i="23"/>
  <c r="U28" i="23"/>
  <c r="Q35" i="23"/>
  <c r="P33" i="23"/>
  <c r="P57" i="23" s="1"/>
  <c r="S24" i="23"/>
  <c r="S38" i="23"/>
  <c r="Q16" i="23"/>
  <c r="Q13" i="23"/>
  <c r="T14" i="23"/>
  <c r="T46" i="23" s="1"/>
  <c r="S28" i="23"/>
  <c r="Q29" i="23"/>
  <c r="Q53" i="23" s="1"/>
  <c r="P16" i="23"/>
  <c r="P48" i="23" s="1"/>
  <c r="U13" i="23"/>
  <c r="P12" i="23"/>
  <c r="P38" i="23"/>
  <c r="R16" i="23"/>
  <c r="W9" i="23"/>
  <c r="Q17" i="23"/>
  <c r="Q49" i="23" s="1"/>
  <c r="O32" i="23"/>
  <c r="T15" i="23"/>
  <c r="T35" i="23"/>
  <c r="Q28" i="23"/>
  <c r="O37" i="23"/>
  <c r="Q38" i="23"/>
  <c r="P20" i="23"/>
  <c r="P13" i="23"/>
  <c r="P45" i="23" s="1"/>
  <c r="S11" i="23"/>
  <c r="T12" i="23"/>
  <c r="O40" i="23"/>
  <c r="U27" i="23"/>
  <c r="Q32" i="23"/>
  <c r="U19" i="23"/>
  <c r="R22" i="23"/>
  <c r="T28" i="23"/>
  <c r="T52" i="23" s="1"/>
  <c r="T24" i="23"/>
  <c r="Q36" i="23"/>
  <c r="S23" i="23"/>
  <c r="S332" i="23" s="1"/>
  <c r="P23" i="23"/>
  <c r="P332" i="23" s="1"/>
  <c r="P27" i="23"/>
  <c r="S40" i="23"/>
  <c r="S17" i="23"/>
  <c r="P28" i="23"/>
  <c r="Q31" i="23"/>
  <c r="Q55" i="23" s="1"/>
  <c r="S13" i="23"/>
  <c r="S45" i="23" s="1"/>
  <c r="P31" i="23"/>
  <c r="T47" i="23" l="1"/>
  <c r="P52" i="23"/>
  <c r="N48" i="23"/>
  <c r="O49" i="23"/>
  <c r="U49" i="23"/>
  <c r="R48" i="23"/>
  <c r="Q45" i="23"/>
  <c r="Q56" i="23"/>
  <c r="T44" i="23"/>
  <c r="S51" i="23"/>
  <c r="N46" i="23"/>
  <c r="U45" i="23"/>
  <c r="R55" i="23"/>
  <c r="R44" i="23"/>
  <c r="R52" i="23"/>
  <c r="N57" i="23"/>
  <c r="R49" i="23"/>
  <c r="U56" i="23"/>
  <c r="P51" i="23"/>
  <c r="T53" i="23"/>
  <c r="P49" i="23"/>
  <c r="U46" i="23"/>
  <c r="P55" i="23"/>
  <c r="U53" i="23"/>
  <c r="R57" i="23"/>
  <c r="N49" i="23"/>
  <c r="U48" i="23"/>
  <c r="U57" i="23"/>
  <c r="T48" i="23"/>
  <c r="N54" i="23"/>
  <c r="O53" i="23"/>
  <c r="U54" i="23"/>
  <c r="T45" i="23"/>
  <c r="E30" i="12"/>
  <c r="D31" i="12"/>
  <c r="Q48" i="23"/>
  <c r="Q96" i="23"/>
  <c r="Q97" i="23" s="1"/>
  <c r="Q98" i="23" s="1"/>
  <c r="Q108" i="23"/>
  <c r="Q109" i="23" s="1"/>
  <c r="Q112" i="23"/>
  <c r="Q113" i="23" s="1"/>
  <c r="Q114" i="23" s="1"/>
  <c r="Q43" i="23"/>
  <c r="S46" i="23"/>
  <c r="T54" i="23"/>
  <c r="N47" i="23"/>
  <c r="O54" i="23"/>
  <c r="N104" i="23"/>
  <c r="N136" i="23"/>
  <c r="N61" i="23"/>
  <c r="N140" i="23"/>
  <c r="N124" i="23"/>
  <c r="N132" i="23"/>
  <c r="N116" i="23"/>
  <c r="N128" i="23"/>
  <c r="U51" i="23"/>
  <c r="Q52" i="23"/>
  <c r="P44" i="23"/>
  <c r="S56" i="23"/>
  <c r="Q61" i="23"/>
  <c r="Q140" i="23"/>
  <c r="Q141" i="23" s="1"/>
  <c r="Q142" i="23" s="1"/>
  <c r="Q104" i="23"/>
  <c r="Q105" i="23" s="1"/>
  <c r="Q106" i="23" s="1"/>
  <c r="Q136" i="23"/>
  <c r="Q128" i="23"/>
  <c r="Q132" i="23"/>
  <c r="Q133" i="23" s="1"/>
  <c r="Q134" i="23" s="1"/>
  <c r="Q116" i="23"/>
  <c r="Q117" i="23" s="1"/>
  <c r="Q118" i="23" s="1"/>
  <c r="Q124" i="23"/>
  <c r="Q125" i="23" s="1"/>
  <c r="Q126" i="23" s="1"/>
  <c r="P46" i="23"/>
  <c r="O44" i="23"/>
  <c r="O96" i="23"/>
  <c r="O97" i="23" s="1"/>
  <c r="O98" i="23" s="1"/>
  <c r="O108" i="23"/>
  <c r="O109" i="23" s="1"/>
  <c r="O112" i="23"/>
  <c r="O113" i="23" s="1"/>
  <c r="O114" i="23" s="1"/>
  <c r="N44" i="23"/>
  <c r="Q46" i="23"/>
  <c r="R136" i="23"/>
  <c r="R61" i="23"/>
  <c r="R140" i="23"/>
  <c r="R141" i="23" s="1"/>
  <c r="R142" i="23" s="1"/>
  <c r="R104" i="23"/>
  <c r="R105" i="23" s="1"/>
  <c r="R106" i="23" s="1"/>
  <c r="R124" i="23"/>
  <c r="R125" i="23" s="1"/>
  <c r="R126" i="23" s="1"/>
  <c r="R128" i="23"/>
  <c r="R132" i="23"/>
  <c r="R133" i="23" s="1"/>
  <c r="R134" i="23" s="1"/>
  <c r="R116" i="23"/>
  <c r="R117" i="23" s="1"/>
  <c r="R118" i="23" s="1"/>
  <c r="Q54" i="23"/>
  <c r="P56" i="23"/>
  <c r="U55" i="23"/>
  <c r="T49" i="23"/>
  <c r="R56" i="23"/>
  <c r="P54" i="23"/>
  <c r="O136" i="23"/>
  <c r="O61" i="23"/>
  <c r="O140" i="23"/>
  <c r="O141" i="23" s="1"/>
  <c r="O142" i="23" s="1"/>
  <c r="O104" i="23"/>
  <c r="O105" i="23" s="1"/>
  <c r="O106" i="23" s="1"/>
  <c r="O116" i="23"/>
  <c r="O117" i="23" s="1"/>
  <c r="O118" i="23" s="1"/>
  <c r="O124" i="23"/>
  <c r="O125" i="23" s="1"/>
  <c r="O126" i="23" s="1"/>
  <c r="O128" i="23"/>
  <c r="O132" i="23"/>
  <c r="O133" i="23" s="1"/>
  <c r="O134" i="23" s="1"/>
  <c r="T56" i="23"/>
  <c r="Q57" i="23"/>
  <c r="T51" i="23"/>
  <c r="U136" i="23"/>
  <c r="U61" i="23"/>
  <c r="U140" i="23"/>
  <c r="U141" i="23" s="1"/>
  <c r="U142" i="23" s="1"/>
  <c r="U104" i="23"/>
  <c r="U105" i="23" s="1"/>
  <c r="U106" i="23" s="1"/>
  <c r="U128" i="23"/>
  <c r="U116" i="23"/>
  <c r="U117" i="23" s="1"/>
  <c r="U118" i="23" s="1"/>
  <c r="U132" i="23"/>
  <c r="U133" i="23" s="1"/>
  <c r="U134" i="23" s="1"/>
  <c r="U124" i="23"/>
  <c r="U125" i="23" s="1"/>
  <c r="U126" i="23" s="1"/>
  <c r="U47" i="23"/>
  <c r="P47" i="23"/>
  <c r="U96" i="23"/>
  <c r="U97" i="23" s="1"/>
  <c r="U98" i="23" s="1"/>
  <c r="U108" i="23"/>
  <c r="U112" i="23"/>
  <c r="U43" i="23"/>
  <c r="S96" i="23"/>
  <c r="S97" i="23" s="1"/>
  <c r="S98" i="23" s="1"/>
  <c r="S108" i="23"/>
  <c r="S109" i="23" s="1"/>
  <c r="S112" i="23"/>
  <c r="S113" i="23" s="1"/>
  <c r="S114" i="23" s="1"/>
  <c r="S43" i="23"/>
  <c r="O56" i="23"/>
  <c r="S47" i="23"/>
  <c r="P96" i="23"/>
  <c r="P97" i="23" s="1"/>
  <c r="P98" i="23" s="1"/>
  <c r="P112" i="23"/>
  <c r="P113" i="23" s="1"/>
  <c r="P114" i="23" s="1"/>
  <c r="P43" i="23"/>
  <c r="P108" i="23"/>
  <c r="P109" i="23" s="1"/>
  <c r="S55" i="23"/>
  <c r="Q51" i="23"/>
  <c r="S54" i="23"/>
  <c r="R54" i="23"/>
  <c r="R96" i="23"/>
  <c r="R97" i="23" s="1"/>
  <c r="R98" i="23" s="1"/>
  <c r="R112" i="23"/>
  <c r="R113" i="23" s="1"/>
  <c r="R114" i="23" s="1"/>
  <c r="R43" i="23"/>
  <c r="R108" i="23"/>
  <c r="R109" i="23" s="1"/>
  <c r="V116" i="23"/>
  <c r="V124" i="23"/>
  <c r="V128" i="23"/>
  <c r="V132" i="23"/>
  <c r="O55" i="23"/>
  <c r="T96" i="23"/>
  <c r="T97" i="23" s="1"/>
  <c r="T98" i="23" s="1"/>
  <c r="T112" i="23"/>
  <c r="T113" i="23" s="1"/>
  <c r="T114" i="23" s="1"/>
  <c r="T43" i="23"/>
  <c r="T108" i="23"/>
  <c r="T109" i="23" s="1"/>
  <c r="S48" i="23"/>
  <c r="S52" i="23"/>
  <c r="U52" i="23"/>
  <c r="O47" i="23"/>
  <c r="T61" i="23"/>
  <c r="T140" i="23"/>
  <c r="T141" i="23" s="1"/>
  <c r="T142" i="23" s="1"/>
  <c r="T104" i="23"/>
  <c r="T105" i="23" s="1"/>
  <c r="T106" i="23" s="1"/>
  <c r="T136" i="23"/>
  <c r="T132" i="23"/>
  <c r="T133" i="23" s="1"/>
  <c r="T134" i="23" s="1"/>
  <c r="T116" i="23"/>
  <c r="T117" i="23" s="1"/>
  <c r="T118" i="23" s="1"/>
  <c r="T124" i="23"/>
  <c r="T125" i="23" s="1"/>
  <c r="T126" i="23" s="1"/>
  <c r="T128" i="23"/>
  <c r="R45" i="23"/>
  <c r="S61" i="23"/>
  <c r="S140" i="23"/>
  <c r="S141" i="23" s="1"/>
  <c r="S142" i="23" s="1"/>
  <c r="S104" i="23"/>
  <c r="S105" i="23" s="1"/>
  <c r="S106" i="23" s="1"/>
  <c r="S136" i="23"/>
  <c r="S116" i="23"/>
  <c r="S117" i="23" s="1"/>
  <c r="S118" i="23" s="1"/>
  <c r="S124" i="23"/>
  <c r="S125" i="23" s="1"/>
  <c r="S126" i="23" s="1"/>
  <c r="S128" i="23"/>
  <c r="S132" i="23"/>
  <c r="S133" i="23" s="1"/>
  <c r="S134" i="23" s="1"/>
  <c r="S57" i="23"/>
  <c r="S53" i="23"/>
  <c r="Y53" i="23" s="1"/>
  <c r="AA53" i="23" s="1"/>
  <c r="M44" i="23"/>
  <c r="M96" i="23"/>
  <c r="M108" i="23"/>
  <c r="M109" i="23" s="1"/>
  <c r="M112" i="23"/>
  <c r="M113" i="23" s="1"/>
  <c r="M114" i="23" s="1"/>
  <c r="J55" i="22"/>
  <c r="M36" i="22"/>
  <c r="P136" i="23"/>
  <c r="P61" i="23"/>
  <c r="P140" i="23"/>
  <c r="P141" i="23" s="1"/>
  <c r="P142" i="23" s="1"/>
  <c r="P104" i="23"/>
  <c r="P105" i="23" s="1"/>
  <c r="P106" i="23" s="1"/>
  <c r="P132" i="23"/>
  <c r="P133" i="23" s="1"/>
  <c r="P134" i="23" s="1"/>
  <c r="P124" i="23"/>
  <c r="P125" i="23" s="1"/>
  <c r="P126" i="23" s="1"/>
  <c r="P116" i="23"/>
  <c r="P117" i="23" s="1"/>
  <c r="P118" i="23" s="1"/>
  <c r="P128" i="23"/>
  <c r="S49" i="23"/>
  <c r="W124" i="23"/>
  <c r="W128" i="23"/>
  <c r="W116" i="23"/>
  <c r="W132" i="23"/>
  <c r="R46" i="23"/>
  <c r="N96" i="23"/>
  <c r="N97" i="23" s="1"/>
  <c r="N98" i="23" s="1"/>
  <c r="N112" i="23"/>
  <c r="N113" i="23" s="1"/>
  <c r="N114" i="23" s="1"/>
  <c r="N43" i="23"/>
  <c r="N108" i="23"/>
  <c r="N109" i="23" s="1"/>
  <c r="T55" i="23"/>
  <c r="X116" i="23"/>
  <c r="X124" i="23"/>
  <c r="X128" i="23"/>
  <c r="X132" i="23"/>
  <c r="I55" i="22"/>
  <c r="M37" i="22"/>
  <c r="Y44" i="23" l="1"/>
  <c r="AA44" i="23" s="1"/>
  <c r="Y49" i="23"/>
  <c r="Y52" i="23"/>
  <c r="AA52" i="23" s="1"/>
  <c r="Y45" i="23"/>
  <c r="AA45" i="23" s="1"/>
  <c r="H7" i="21" s="1"/>
  <c r="Y46" i="23"/>
  <c r="Y48" i="23"/>
  <c r="Y57" i="23"/>
  <c r="AA57" i="23" s="1"/>
  <c r="Y54" i="23"/>
  <c r="AA54" i="23" s="1"/>
  <c r="Y56" i="23"/>
  <c r="AA56" i="23" s="1"/>
  <c r="O344" i="23"/>
  <c r="O345" i="23" s="1"/>
  <c r="O346" i="23" s="1"/>
  <c r="O58" i="23"/>
  <c r="O59" i="23" s="1"/>
  <c r="F7" i="21"/>
  <c r="I7" i="21" s="1"/>
  <c r="S110" i="23"/>
  <c r="O67" i="23"/>
  <c r="O62" i="23"/>
  <c r="R137" i="23"/>
  <c r="R138" i="23" s="1"/>
  <c r="R144" i="23"/>
  <c r="R145" i="23" s="1"/>
  <c r="R146" i="23" s="1"/>
  <c r="Q67" i="23"/>
  <c r="Q62" i="23"/>
  <c r="N133" i="23"/>
  <c r="N134" i="23" s="1"/>
  <c r="AA134" i="23" s="1"/>
  <c r="H52" i="21" s="1"/>
  <c r="Y132" i="23"/>
  <c r="M97" i="23"/>
  <c r="M98" i="23" s="1"/>
  <c r="AA98" i="23" s="1"/>
  <c r="H31" i="21" s="1"/>
  <c r="Y96" i="23"/>
  <c r="AA49" i="23"/>
  <c r="R62" i="23"/>
  <c r="R67" i="23"/>
  <c r="N117" i="23"/>
  <c r="N118" i="23" s="1"/>
  <c r="AA118" i="23" s="1"/>
  <c r="H40" i="21" s="1"/>
  <c r="Y116" i="23"/>
  <c r="M344" i="23"/>
  <c r="M58" i="23"/>
  <c r="P62" i="23"/>
  <c r="P67" i="23"/>
  <c r="S137" i="23"/>
  <c r="S138" i="23" s="1"/>
  <c r="S144" i="23"/>
  <c r="S145" i="23" s="1"/>
  <c r="S146" i="23" s="1"/>
  <c r="U344" i="23"/>
  <c r="U345" i="23" s="1"/>
  <c r="U346" i="23" s="1"/>
  <c r="U58" i="23"/>
  <c r="Y43" i="23"/>
  <c r="O137" i="23"/>
  <c r="O138" i="23" s="1"/>
  <c r="O144" i="23"/>
  <c r="O145" i="23" s="1"/>
  <c r="O146" i="23" s="1"/>
  <c r="N125" i="23"/>
  <c r="N126" i="23" s="1"/>
  <c r="AA126" i="23" s="1"/>
  <c r="H46" i="21" s="1"/>
  <c r="Y124" i="23"/>
  <c r="K55" i="22"/>
  <c r="Y128" i="23"/>
  <c r="P137" i="23"/>
  <c r="P138" i="23" s="1"/>
  <c r="P144" i="23"/>
  <c r="P145" i="23" s="1"/>
  <c r="P146" i="23" s="1"/>
  <c r="T137" i="23"/>
  <c r="T138" i="23" s="1"/>
  <c r="T144" i="23"/>
  <c r="T145" i="23" s="1"/>
  <c r="T146" i="23" s="1"/>
  <c r="U113" i="23"/>
  <c r="U114" i="23" s="1"/>
  <c r="AA114" i="23" s="1"/>
  <c r="Y112" i="23"/>
  <c r="U224" i="23"/>
  <c r="U129" i="23"/>
  <c r="U130" i="23" s="1"/>
  <c r="N141" i="23"/>
  <c r="N142" i="23" s="1"/>
  <c r="AA142" i="23" s="1"/>
  <c r="H58" i="21" s="1"/>
  <c r="Y140" i="23"/>
  <c r="Q344" i="23"/>
  <c r="Q345" i="23" s="1"/>
  <c r="Q346" i="23" s="1"/>
  <c r="Q58" i="23"/>
  <c r="U109" i="23"/>
  <c r="Y108" i="23"/>
  <c r="O129" i="23"/>
  <c r="O130" i="23" s="1"/>
  <c r="O224" i="23"/>
  <c r="O225" i="23" s="1"/>
  <c r="O226" i="23" s="1"/>
  <c r="R224" i="23"/>
  <c r="R225" i="23" s="1"/>
  <c r="R226" i="23" s="1"/>
  <c r="R129" i="23"/>
  <c r="R130" i="23" s="1"/>
  <c r="N62" i="23"/>
  <c r="N67" i="23"/>
  <c r="S62" i="23"/>
  <c r="S67" i="23"/>
  <c r="T110" i="23"/>
  <c r="Q129" i="23"/>
  <c r="Q130" i="23" s="1"/>
  <c r="Q224" i="23"/>
  <c r="Q225" i="23" s="1"/>
  <c r="Q226" i="23" s="1"/>
  <c r="Y51" i="23"/>
  <c r="AA51" i="23" s="1"/>
  <c r="N137" i="23"/>
  <c r="N138" i="23" s="1"/>
  <c r="N144" i="23"/>
  <c r="Q110" i="23"/>
  <c r="N344" i="23"/>
  <c r="N345" i="23" s="1"/>
  <c r="N346" i="23" s="1"/>
  <c r="N58" i="23"/>
  <c r="P129" i="23"/>
  <c r="P130" i="23" s="1"/>
  <c r="P224" i="23"/>
  <c r="P225" i="23" s="1"/>
  <c r="P226" i="23" s="1"/>
  <c r="T67" i="23"/>
  <c r="T62" i="23"/>
  <c r="T344" i="23"/>
  <c r="T345" i="23" s="1"/>
  <c r="T346" i="23" s="1"/>
  <c r="T58" i="23"/>
  <c r="R110" i="23"/>
  <c r="P110" i="23"/>
  <c r="S344" i="23"/>
  <c r="S345" i="23" s="1"/>
  <c r="S346" i="23" s="1"/>
  <c r="S58" i="23"/>
  <c r="U67" i="23"/>
  <c r="U62" i="23"/>
  <c r="Y55" i="23"/>
  <c r="AA55" i="23" s="1"/>
  <c r="O110" i="23"/>
  <c r="O453" i="23" s="1"/>
  <c r="O452" i="23"/>
  <c r="Q137" i="23"/>
  <c r="Q138" i="23" s="1"/>
  <c r="Q144" i="23"/>
  <c r="Q145" i="23" s="1"/>
  <c r="Q146" i="23" s="1"/>
  <c r="N105" i="23"/>
  <c r="N106" i="23" s="1"/>
  <c r="AA106" i="23" s="1"/>
  <c r="Y104" i="23"/>
  <c r="M44" i="22"/>
  <c r="N110" i="23"/>
  <c r="M452" i="23"/>
  <c r="M110" i="23"/>
  <c r="S129" i="23"/>
  <c r="S130" i="23" s="1"/>
  <c r="S224" i="23"/>
  <c r="S225" i="23" s="1"/>
  <c r="S226" i="23" s="1"/>
  <c r="T129" i="23"/>
  <c r="T130" i="23" s="1"/>
  <c r="T224" i="23"/>
  <c r="T225" i="23" s="1"/>
  <c r="T226" i="23" s="1"/>
  <c r="R344" i="23"/>
  <c r="R345" i="23" s="1"/>
  <c r="R346" i="23" s="1"/>
  <c r="R58" i="23"/>
  <c r="P344" i="23"/>
  <c r="P345" i="23" s="1"/>
  <c r="P346" i="23" s="1"/>
  <c r="P58" i="23"/>
  <c r="Y47" i="23"/>
  <c r="U137" i="23"/>
  <c r="U138" i="23" s="1"/>
  <c r="U144" i="23"/>
  <c r="U145" i="23" s="1"/>
  <c r="U146" i="23" s="1"/>
  <c r="Y136" i="23"/>
  <c r="N224" i="23"/>
  <c r="N225" i="23" s="1"/>
  <c r="N226" i="23" s="1"/>
  <c r="N129" i="23"/>
  <c r="N130" i="23" s="1"/>
  <c r="F10" i="21" l="1"/>
  <c r="I10" i="21" s="1"/>
  <c r="P453" i="23"/>
  <c r="AA48" i="23"/>
  <c r="P452" i="23"/>
  <c r="N453" i="23"/>
  <c r="F11" i="21"/>
  <c r="I11" i="21" s="1"/>
  <c r="H11" i="21"/>
  <c r="F6" i="21"/>
  <c r="I6" i="21" s="1"/>
  <c r="H6" i="21"/>
  <c r="F8" i="21"/>
  <c r="I8" i="21" s="1"/>
  <c r="AA46" i="23"/>
  <c r="H8" i="21" s="1"/>
  <c r="Q453" i="23"/>
  <c r="H10" i="21"/>
  <c r="Q452" i="23"/>
  <c r="N452" i="23"/>
  <c r="R453" i="23"/>
  <c r="R59" i="23"/>
  <c r="Y59" i="23"/>
  <c r="F12" i="21" s="1"/>
  <c r="F5" i="21"/>
  <c r="I5" i="21" s="1"/>
  <c r="AA43" i="23"/>
  <c r="H5" i="21" s="1"/>
  <c r="M345" i="23"/>
  <c r="M346" i="23" s="1"/>
  <c r="AA346" i="23" s="1"/>
  <c r="H177" i="21" s="1"/>
  <c r="Y344" i="23"/>
  <c r="F54" i="21"/>
  <c r="I54" i="21" s="1"/>
  <c r="AA136" i="23"/>
  <c r="H54" i="21" s="1"/>
  <c r="Y138" i="23"/>
  <c r="F55" i="21" s="1"/>
  <c r="U80" i="23"/>
  <c r="U68" i="23"/>
  <c r="U69" i="23" s="1"/>
  <c r="U70" i="23" s="1"/>
  <c r="T59" i="23"/>
  <c r="S80" i="23"/>
  <c r="S68" i="23"/>
  <c r="S72" i="23" s="1"/>
  <c r="S76" i="23" s="1"/>
  <c r="Y110" i="23"/>
  <c r="AA108" i="23"/>
  <c r="AA130" i="23"/>
  <c r="H49" i="21" s="1"/>
  <c r="F48" i="21"/>
  <c r="I48" i="21" s="1"/>
  <c r="AA128" i="23"/>
  <c r="H48" i="21" s="1"/>
  <c r="Y130" i="23"/>
  <c r="F49" i="21" s="1"/>
  <c r="U59" i="23"/>
  <c r="AA116" i="23"/>
  <c r="H39" i="21" s="1"/>
  <c r="Y118" i="23"/>
  <c r="F40" i="21" s="1"/>
  <c r="F39" i="21"/>
  <c r="I39" i="21" s="1"/>
  <c r="Y134" i="23"/>
  <c r="F52" i="21" s="1"/>
  <c r="AA132" i="23"/>
  <c r="H51" i="21" s="1"/>
  <c r="F51" i="21"/>
  <c r="I51" i="21" s="1"/>
  <c r="P59" i="23"/>
  <c r="M453" i="23"/>
  <c r="AC106" i="23"/>
  <c r="H37" i="21"/>
  <c r="F36" i="21"/>
  <c r="I36" i="21" s="1"/>
  <c r="AA104" i="23"/>
  <c r="H36" i="21" s="1"/>
  <c r="Y106" i="23"/>
  <c r="F37" i="21" s="1"/>
  <c r="Y67" i="23"/>
  <c r="U110" i="23"/>
  <c r="U225" i="23"/>
  <c r="U226" i="23" s="1"/>
  <c r="AA226" i="23" s="1"/>
  <c r="Y224" i="23"/>
  <c r="S452" i="23"/>
  <c r="N59" i="23"/>
  <c r="N80" i="23"/>
  <c r="N68" i="23"/>
  <c r="N72" i="23" s="1"/>
  <c r="N76" i="23" s="1"/>
  <c r="AA112" i="23"/>
  <c r="Y114" i="23"/>
  <c r="AA124" i="23"/>
  <c r="H45" i="21" s="1"/>
  <c r="Y126" i="23"/>
  <c r="F46" i="21" s="1"/>
  <c r="F45" i="21"/>
  <c r="I45" i="21" s="1"/>
  <c r="Q80" i="23"/>
  <c r="Q68" i="23"/>
  <c r="Q72" i="23" s="1"/>
  <c r="Q76" i="23" s="1"/>
  <c r="S453" i="23"/>
  <c r="AA138" i="23"/>
  <c r="H55" i="21" s="1"/>
  <c r="S59" i="23"/>
  <c r="T80" i="23"/>
  <c r="T68" i="23"/>
  <c r="T72" i="23" s="1"/>
  <c r="T76" i="23" s="1"/>
  <c r="AA47" i="23"/>
  <c r="H9" i="21" s="1"/>
  <c r="F9" i="21"/>
  <c r="I9" i="21" s="1"/>
  <c r="R68" i="23"/>
  <c r="R72" i="23" s="1"/>
  <c r="R76" i="23" s="1"/>
  <c r="R80" i="23"/>
  <c r="Q59" i="23"/>
  <c r="T452" i="23"/>
  <c r="P80" i="23"/>
  <c r="P68" i="23"/>
  <c r="P72" i="23" s="1"/>
  <c r="P76" i="23" s="1"/>
  <c r="R452" i="23"/>
  <c r="N145" i="23"/>
  <c r="N146" i="23" s="1"/>
  <c r="AA146" i="23" s="1"/>
  <c r="H61" i="21" s="1"/>
  <c r="Y144" i="23"/>
  <c r="T453" i="23"/>
  <c r="Y142" i="23"/>
  <c r="F58" i="21" s="1"/>
  <c r="F57" i="21"/>
  <c r="I57" i="21" s="1"/>
  <c r="AA140" i="23"/>
  <c r="H57" i="21" s="1"/>
  <c r="M59" i="23"/>
  <c r="F30" i="21"/>
  <c r="I30" i="21" s="1"/>
  <c r="AA96" i="23"/>
  <c r="H30" i="21" s="1"/>
  <c r="Y98" i="23"/>
  <c r="F31" i="21" s="1"/>
  <c r="O80" i="23"/>
  <c r="O68" i="23"/>
  <c r="O72" i="23" s="1"/>
  <c r="O76" i="23" s="1"/>
  <c r="U452" i="23" l="1"/>
  <c r="U453" i="23"/>
  <c r="Y453" i="23" s="1"/>
  <c r="M449" i="23"/>
  <c r="M455" i="23" s="1"/>
  <c r="S69" i="23"/>
  <c r="S70" i="23" s="1"/>
  <c r="P77" i="23"/>
  <c r="P78" i="23" s="1"/>
  <c r="P88" i="23"/>
  <c r="P89" i="23" s="1"/>
  <c r="P90" i="23" s="1"/>
  <c r="O88" i="23"/>
  <c r="O89" i="23" s="1"/>
  <c r="O90" i="23" s="1"/>
  <c r="O77" i="23"/>
  <c r="O78" i="23" s="1"/>
  <c r="O120" i="23"/>
  <c r="O121" i="23" s="1"/>
  <c r="O122" i="23" s="1"/>
  <c r="O84" i="23"/>
  <c r="O85" i="23" s="1"/>
  <c r="O86" i="23" s="1"/>
  <c r="O92" i="23"/>
  <c r="O93" i="23" s="1"/>
  <c r="O94" i="23" s="1"/>
  <c r="P69" i="23"/>
  <c r="Q88" i="23"/>
  <c r="Q89" i="23" s="1"/>
  <c r="Q90" i="23" s="1"/>
  <c r="Q77" i="23"/>
  <c r="Q78" i="23" s="1"/>
  <c r="N77" i="23"/>
  <c r="N78" i="23" s="1"/>
  <c r="N88" i="23"/>
  <c r="AA344" i="23"/>
  <c r="H176" i="21" s="1"/>
  <c r="F176" i="21"/>
  <c r="I176" i="21" s="1"/>
  <c r="Y346" i="23"/>
  <c r="F177" i="21" s="1"/>
  <c r="T88" i="23"/>
  <c r="T89" i="23" s="1"/>
  <c r="T90" i="23" s="1"/>
  <c r="T77" i="23"/>
  <c r="T78" i="23" s="1"/>
  <c r="R69" i="23"/>
  <c r="U72" i="23"/>
  <c r="U76" i="23" s="1"/>
  <c r="U120" i="23" s="1"/>
  <c r="U121" i="23" s="1"/>
  <c r="U122" i="23" s="1"/>
  <c r="Y68" i="23"/>
  <c r="Y70" i="23" s="1"/>
  <c r="F16" i="21" s="1"/>
  <c r="H12" i="21"/>
  <c r="Q84" i="23"/>
  <c r="Q85" i="23" s="1"/>
  <c r="Q86" i="23" s="1"/>
  <c r="Q120" i="23"/>
  <c r="Q121" i="23" s="1"/>
  <c r="Q122" i="23" s="1"/>
  <c r="Q92" i="23"/>
  <c r="Q93" i="23" s="1"/>
  <c r="Q94" i="23" s="1"/>
  <c r="N92" i="23"/>
  <c r="N84" i="23"/>
  <c r="N120" i="23"/>
  <c r="AA144" i="23"/>
  <c r="H60" i="21" s="1"/>
  <c r="Y146" i="23"/>
  <c r="F61" i="21" s="1"/>
  <c r="F60" i="21"/>
  <c r="I60" i="21" s="1"/>
  <c r="Q69" i="23"/>
  <c r="T84" i="23"/>
  <c r="T85" i="23" s="1"/>
  <c r="T86" i="23" s="1"/>
  <c r="T120" i="23"/>
  <c r="T121" i="23" s="1"/>
  <c r="T122" i="23" s="1"/>
  <c r="T92" i="23"/>
  <c r="T93" i="23" s="1"/>
  <c r="T94" i="23" s="1"/>
  <c r="N69" i="23"/>
  <c r="U84" i="23"/>
  <c r="U85" i="23" s="1"/>
  <c r="U86" i="23" s="1"/>
  <c r="U92" i="23"/>
  <c r="U93" i="23" s="1"/>
  <c r="U94" i="23" s="1"/>
  <c r="R92" i="23"/>
  <c r="R93" i="23" s="1"/>
  <c r="R94" i="23" s="1"/>
  <c r="R84" i="23"/>
  <c r="R85" i="23" s="1"/>
  <c r="R86" i="23" s="1"/>
  <c r="R120" i="23"/>
  <c r="R121" i="23" s="1"/>
  <c r="R122" i="23" s="1"/>
  <c r="F14" i="21"/>
  <c r="I14" i="21" s="1"/>
  <c r="AA67" i="23"/>
  <c r="H14" i="21" s="1"/>
  <c r="AA110" i="23"/>
  <c r="M450" i="23"/>
  <c r="AA59" i="23"/>
  <c r="R88" i="23"/>
  <c r="R89" i="23" s="1"/>
  <c r="R90" i="23" s="1"/>
  <c r="R77" i="23"/>
  <c r="R78" i="23" s="1"/>
  <c r="P92" i="23"/>
  <c r="P93" i="23" s="1"/>
  <c r="P94" i="23" s="1"/>
  <c r="P84" i="23"/>
  <c r="P85" i="23" s="1"/>
  <c r="P86" i="23" s="1"/>
  <c r="P120" i="23"/>
  <c r="P121" i="23" s="1"/>
  <c r="P122" i="23" s="1"/>
  <c r="S77" i="23"/>
  <c r="S88" i="23"/>
  <c r="S89" i="23" s="1"/>
  <c r="S90" i="23" s="1"/>
  <c r="T69" i="23"/>
  <c r="AA224" i="23"/>
  <c r="Y226" i="23"/>
  <c r="S92" i="23"/>
  <c r="S93" i="23" s="1"/>
  <c r="S94" i="23" s="1"/>
  <c r="S84" i="23"/>
  <c r="S85" i="23" s="1"/>
  <c r="S86" i="23" s="1"/>
  <c r="S120" i="23"/>
  <c r="S121" i="23" s="1"/>
  <c r="S122" i="23" s="1"/>
  <c r="O69" i="23"/>
  <c r="N70" i="23" l="1"/>
  <c r="N121" i="23"/>
  <c r="N122" i="23" s="1"/>
  <c r="AA122" i="23" s="1"/>
  <c r="Y120" i="23"/>
  <c r="U88" i="23"/>
  <c r="U89" i="23" s="1"/>
  <c r="U90" i="23" s="1"/>
  <c r="U77" i="23"/>
  <c r="O70" i="23"/>
  <c r="O450" i="23" s="1"/>
  <c r="O456" i="23" s="1"/>
  <c r="O449" i="23"/>
  <c r="O455" i="23" s="1"/>
  <c r="N93" i="23"/>
  <c r="N94" i="23" s="1"/>
  <c r="AA94" i="23" s="1"/>
  <c r="H28" i="21" s="1"/>
  <c r="Y92" i="23"/>
  <c r="R70" i="23"/>
  <c r="R450" i="23" s="1"/>
  <c r="R456" i="23" s="1"/>
  <c r="R449" i="23"/>
  <c r="R455" i="23" s="1"/>
  <c r="Y76" i="23"/>
  <c r="S78" i="23"/>
  <c r="S450" i="23" s="1"/>
  <c r="S456" i="23" s="1"/>
  <c r="S449" i="23"/>
  <c r="S455" i="23" s="1"/>
  <c r="N89" i="23"/>
  <c r="N90" i="23" s="1"/>
  <c r="AA90" i="23" s="1"/>
  <c r="Y88" i="23"/>
  <c r="N85" i="23"/>
  <c r="N86" i="23" s="1"/>
  <c r="Y84" i="23"/>
  <c r="Q70" i="23"/>
  <c r="Q450" i="23" s="1"/>
  <c r="Q456" i="23" s="1"/>
  <c r="Q449" i="23"/>
  <c r="Q455" i="23" s="1"/>
  <c r="M456" i="23"/>
  <c r="T70" i="23"/>
  <c r="T450" i="23" s="1"/>
  <c r="T456" i="23" s="1"/>
  <c r="T449" i="23"/>
  <c r="T455" i="23" s="1"/>
  <c r="AA86" i="23"/>
  <c r="AA68" i="23"/>
  <c r="H15" i="21" s="1"/>
  <c r="F15" i="21"/>
  <c r="I15" i="21" s="1"/>
  <c r="P70" i="23"/>
  <c r="P450" i="23" s="1"/>
  <c r="P456" i="23" s="1"/>
  <c r="P449" i="23"/>
  <c r="P455" i="23" s="1"/>
  <c r="U78" i="23" l="1"/>
  <c r="U449" i="23"/>
  <c r="U455" i="23" s="1"/>
  <c r="AA76" i="23"/>
  <c r="H18" i="21" s="1"/>
  <c r="Y78" i="23"/>
  <c r="F19" i="21" s="1"/>
  <c r="F18" i="21"/>
  <c r="I18" i="21" s="1"/>
  <c r="F42" i="21"/>
  <c r="I42" i="21" s="1"/>
  <c r="AA120" i="23"/>
  <c r="H42" i="21" s="1"/>
  <c r="Y122" i="23"/>
  <c r="F43" i="21" s="1"/>
  <c r="AC90" i="23"/>
  <c r="H25" i="21"/>
  <c r="AC86" i="23"/>
  <c r="H22" i="21"/>
  <c r="AA84" i="23"/>
  <c r="H21" i="21" s="1"/>
  <c r="Y86" i="23"/>
  <c r="F22" i="21" s="1"/>
  <c r="F21" i="21"/>
  <c r="I21" i="21" s="1"/>
  <c r="AC122" i="23"/>
  <c r="H43" i="21"/>
  <c r="AA92" i="23"/>
  <c r="H27" i="21" s="1"/>
  <c r="Y94" i="23"/>
  <c r="F28" i="21" s="1"/>
  <c r="F27" i="21"/>
  <c r="I27" i="21" s="1"/>
  <c r="N449" i="23"/>
  <c r="N455" i="23" s="1"/>
  <c r="F24" i="21"/>
  <c r="I24" i="21" s="1"/>
  <c r="AA88" i="23"/>
  <c r="H24" i="21" s="1"/>
  <c r="Y90" i="23"/>
  <c r="F25" i="21" s="1"/>
  <c r="AA70" i="23"/>
  <c r="N450" i="23"/>
  <c r="N456" i="23" l="1"/>
  <c r="AC70" i="23"/>
  <c r="H16" i="21"/>
  <c r="U450" i="23"/>
  <c r="U456" i="23" s="1"/>
  <c r="Y456" i="23" s="1"/>
  <c r="AA78" i="23"/>
  <c r="AC78" i="23" l="1"/>
  <c r="H19" i="21"/>
  <c r="H258" i="21" s="1"/>
  <c r="AC447" i="23"/>
  <c r="Y450"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tc={9AD75EF9-F274-47C4-BB86-1CF10E30E961}</author>
    <author>tc={80A5A841-F684-4BDF-B39C-184ADB633A5C}</author>
    <author>tc={C05AAD93-2478-4899-8956-B3CD8CFF6285}</author>
    <author>tc={F8B9A6D9-49DC-4321-94EA-DB68EA9FE8B2}</author>
    <author>tc={42C7927E-9C0D-4DC1-9B43-4CEE1B6FA38C}</author>
    <author>tc={580F285C-A9B0-4F84-862C-A9BF75F2F1CB}</author>
    <author>tc={985779CA-6A0F-4D42-9895-01E2C9179422}</author>
    <author>tc={3DAC100D-CEA3-4DF2-8BC8-9504648B8C8A}</author>
    <author>tc={B533AAE6-2939-47D6-9558-794577681285}</author>
    <author>tc={DDEB4996-2641-496F-8B7A-2828FDF7DEF7}</author>
    <author>tc={32A2F9E6-7688-4C06-99C3-3EC046044643}</author>
    <author>tc={027808DC-0113-44BF-B840-B12F956CBFC3}</author>
    <author>tc={25463C9B-25D9-47DD-9128-D6ED815C8F92}</author>
  </authors>
  <commentList>
    <comment ref="P56" authorId="0" shapeId="0" xr:uid="{9AD75EF9-F274-47C4-BB86-1CF10E30E961}">
      <text>
        <t>[Threaded comment]
Your version of Excel allows you to read this threaded comment; however, any edits to it will get removed if the file is opened in a newer version of Excel. Learn more: https://go.microsoft.com/fwlink/?linkid=870924
Comment:
    If the unit is 5 tons or more, a smoke detector is required</t>
      </text>
    </comment>
    <comment ref="R56" authorId="1" shapeId="0" xr:uid="{80A5A841-F684-4BDF-B39C-184ADB633A5C}">
      <text>
        <t>[Threaded comment]
Your version of Excel allows you to read this threaded comment; however, any edits to it will get removed if the file is opened in a newer version of Excel. Learn more: https://go.microsoft.com/fwlink/?linkid=870924
Comment:
    If the unit is 5 tons or more, a smoke detector is required</t>
      </text>
    </comment>
    <comment ref="S56" authorId="2" shapeId="0" xr:uid="{C05AAD93-2478-4899-8956-B3CD8CFF6285}">
      <text>
        <t>[Threaded comment]
Your version of Excel allows you to read this threaded comment; however, any edits to it will get removed if the file is opened in a newer version of Excel. Learn more: https://go.microsoft.com/fwlink/?linkid=870924
Comment:
    If the unit is 5 tons or more, a smoke detector is required</t>
      </text>
    </comment>
    <comment ref="AA56" authorId="3" shapeId="0" xr:uid="{F8B9A6D9-49DC-4321-94EA-DB68EA9FE8B2}">
      <text>
        <t>[Threaded comment]
Your version of Excel allows you to read this threaded comment; however, any edits to it will get removed if the file is opened in a newer version of Excel. Learn more: https://go.microsoft.com/fwlink/?linkid=870924
Comment:
    If the unit is 5 tons or more, a smoke detector is required</t>
      </text>
    </comment>
    <comment ref="AS56" authorId="4" shapeId="0" xr:uid="{42C7927E-9C0D-4DC1-9B43-4CEE1B6FA38C}">
      <text>
        <t>[Threaded comment]
Your version of Excel allows you to read this threaded comment; however, any edits to it will get removed if the file is opened in a newer version of Excel. Learn more: https://go.microsoft.com/fwlink/?linkid=870924
Comment:
    If the unit is 5 tons or more, a smoke detector is required</t>
      </text>
    </comment>
    <comment ref="T85" authorId="5" shapeId="0" xr:uid="{580F285C-A9B0-4F84-862C-A9BF75F2F1CB}">
      <text>
        <t>[Threaded comment]
Your version of Excel allows you to read this threaded comment; however, any edits to it will get removed if the file is opened in a newer version of Excel. Learn more: https://go.microsoft.com/fwlink/?linkid=870924
Comment:
    If the unit is 5 tons or more, a smoke detector is required</t>
      </text>
    </comment>
    <comment ref="V85" authorId="6" shapeId="0" xr:uid="{985779CA-6A0F-4D42-9895-01E2C9179422}">
      <text>
        <t>[Threaded comment]
Your version of Excel allows you to read this threaded comment; however, any edits to it will get removed if the file is opened in a newer version of Excel. Learn more: https://go.microsoft.com/fwlink/?linkid=870924
Comment:
    If the unit is 5 tons or more, a smoke detector is required</t>
      </text>
    </comment>
    <comment ref="AI85" authorId="7" shapeId="0" xr:uid="{3DAC100D-CEA3-4DF2-8BC8-9504648B8C8A}">
      <text>
        <t>[Threaded comment]
Your version of Excel allows you to read this threaded comment; however, any edits to it will get removed if the file is opened in a newer version of Excel. Learn more: https://go.microsoft.com/fwlink/?linkid=870924
Comment:
    If the unit is 5 tons or more, a smoke detector is required</t>
      </text>
    </comment>
    <comment ref="AZ85" authorId="8" shapeId="0" xr:uid="{B533AAE6-2939-47D6-9558-794577681285}">
      <text>
        <t>[Threaded comment]
Your version of Excel allows you to read this threaded comment; however, any edits to it will get removed if the file is opened in a newer version of Excel. Learn more: https://go.microsoft.com/fwlink/?linkid=870924
Comment:
    If the unit is 5 tons or more, a smoke detector is required</t>
      </text>
    </comment>
    <comment ref="N143" authorId="9" shapeId="0" xr:uid="{DDEB4996-2641-496F-8B7A-2828FDF7DEF7}">
      <text>
        <t>[Threaded comment]
Your version of Excel allows you to read this threaded comment; however, any edits to it will get removed if the file is opened in a newer version of Excel. Learn more: https://go.microsoft.com/fwlink/?linkid=870924
Comment:
    Most VRF units don’t require a secondary drain pan</t>
      </text>
    </comment>
    <comment ref="R143" authorId="10" shapeId="0" xr:uid="{32A2F9E6-7688-4C06-99C3-3EC046044643}">
      <text>
        <t>[Threaded comment]
Your version of Excel allows you to read this threaded comment; however, any edits to it will get removed if the file is opened in a newer version of Excel. Learn more: https://go.microsoft.com/fwlink/?linkid=870924
Comment:
    If the unit is 5 tons or more, a smoke detector is required</t>
      </text>
    </comment>
    <comment ref="AA143" authorId="11" shapeId="0" xr:uid="{027808DC-0113-44BF-B840-B12F956CBFC3}">
      <text>
        <t>[Threaded comment]
Your version of Excel allows you to read this threaded comment; however, any edits to it will get removed if the file is opened in a newer version of Excel. Learn more: https://go.microsoft.com/fwlink/?linkid=870924
Comment:
    If the unit is 5 tons or more, a smoke detector is required</t>
      </text>
    </comment>
    <comment ref="AO143" authorId="12" shapeId="0" xr:uid="{25463C9B-25D9-47DD-9128-D6ED815C8F92}">
      <text>
        <t>[Threaded comment]
Your version of Excel allows you to read this threaded comment; however, any edits to it will get removed if the file is opened in a newer version of Excel. Learn more: https://go.microsoft.com/fwlink/?linkid=870924
Comment:
    If the unit is 5 tons or more, a smoke detector is required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tc={9710EFF9-701F-485C-BD89-99BA6EF5E3F1}</author>
  </authors>
  <commentList>
    <comment ref="F4" authorId="0" shapeId="0" xr:uid="{9710EFF9-701F-485C-BD89-99BA6EF5E3F1}">
      <text>
        <t>[Threaded comment]
Your version of Excel allows you to read this threaded comment; however, any edits to it will get removed if the file is opened in a newer version of Excel. Learn more: https://go.microsoft.com/fwlink/?linkid=870924
Comment:
    Small, Large, Enormous:  Approximate the system project labor installation cost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tc={114700D1-5775-4ADA-BFEA-31873DCDE43D}</author>
    <author>tc={C7FD9F8C-AB0B-4AA4-AF48-E98485DB3226}</author>
  </authors>
  <commentList>
    <comment ref="F4" authorId="0" shapeId="0" xr:uid="{114700D1-5775-4ADA-BFEA-31873DCDE43D}">
      <text>
        <t>[Threaded comment]
Your version of Excel allows you to read this threaded comment; however, any edits to it will get removed if the file is opened in a newer version of Excel. Learn more: https://go.microsoft.com/fwlink/?linkid=870924
Comment:
    Small, Large, Enormous:  Approximate the system project labor installation cost</t>
      </text>
    </comment>
    <comment ref="F49" authorId="1" shapeId="0" xr:uid="{C7FD9F8C-AB0B-4AA4-AF48-E98485DB3226}">
      <text>
        <t>[Threaded comment]
Your version of Excel allows you to read this threaded comment; however, any edits to it will get removed if the file is opened in a newer version of Excel. Learn more: https://go.microsoft.com/fwlink/?linkid=870924
Comment:
    Small, Large, Enormous:  Approximate the system project labor installation cost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tc={626BC2AB-41C1-4160-9864-C19EE5E87ACB}</author>
    <author>tc={B9EB9AF4-699C-4E77-854D-B33CD98BD57A}</author>
    <author>tc={7B2BD8FA-AA7C-40C1-8B34-A2DD32C5B40A}</author>
  </authors>
  <commentList>
    <comment ref="V2" authorId="0" shapeId="0" xr:uid="{626BC2AB-41C1-4160-9864-C19EE5E87ACB}">
      <text>
        <t xml:space="preserve">[Threaded comment]
Your version of Excel allows you to read this threaded comment; however, any edits to it will get removed if the file is opened in a newer version of Excel. Learn more: https://go.microsoft.com/fwlink/?linkid=870924
Comment:
    Miscellaneous materials rate compared to duct board and flex </t>
      </text>
    </comment>
    <comment ref="T3" authorId="1" shapeId="0" xr:uid="{B9EB9AF4-699C-4E77-854D-B33CD98BD57A}">
      <text>
        <t>[Threaded comment]
Your version of Excel allows you to read this threaded comment; however, any edits to it will get removed if the file is opened in a newer version of Excel. Learn more: https://go.microsoft.com/fwlink/?linkid=870924
Comment:
    Assumed 2 collars for each flex run</t>
      </text>
    </comment>
    <comment ref="U3" authorId="2" shapeId="0" xr:uid="{7B2BD8FA-AA7C-40C1-8B34-A2DD32C5B40A}">
      <text>
        <t>[Threaded comment]
Your version of Excel allows you to read this threaded comment; however, any edits to it will get removed if the file is opened in a newer version of Excel. Learn more: https://go.microsoft.com/fwlink/?linkid=870924
Comment:
    Supply and return plenum (box) assumed for round flex duct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<sst xmlns="http://schemas.openxmlformats.org/spreadsheetml/2006/main" count="6735" uniqueCount="1376">
  <si>
    <t>Job Sector</t>
  </si>
  <si>
    <t>Commercial</t>
  </si>
  <si>
    <t>Reduces the tax rate to 1/2%</t>
  </si>
  <si>
    <t>Margin</t>
  </si>
  <si>
    <t>M</t>
  </si>
  <si>
    <t>Selection of the margin rate (Low, Medium, High)</t>
  </si>
  <si>
    <t>Quick Turn</t>
  </si>
  <si>
    <t>n</t>
  </si>
  <si>
    <t>Reserved for public school jobs that must be completed in the summer months while school is in recession.  Increases labor by 40%.  Should be set to "n" in most cases</t>
  </si>
  <si>
    <t>Region</t>
  </si>
  <si>
    <t>Houston</t>
  </si>
  <si>
    <t>Region as identified in the proposal summary</t>
  </si>
  <si>
    <t>Multiplier to increase/decrease labor rate for different regions.  Basis of "1" is calibrated to Houston</t>
  </si>
  <si>
    <t>Schedule</t>
  </si>
  <si>
    <t>Materials Cost</t>
  </si>
  <si>
    <t>Labor Cost</t>
  </si>
  <si>
    <t>Mat. + Labor</t>
  </si>
  <si>
    <t>Cost/Ton (Mat)</t>
  </si>
  <si>
    <t>Cost/Ton (Labor)</t>
  </si>
  <si>
    <t>Cost/Ton (Mat+Labor)</t>
  </si>
  <si>
    <t>Split</t>
  </si>
  <si>
    <t>Updt</t>
  </si>
  <si>
    <t>Cooling Capacity</t>
  </si>
  <si>
    <t>tons</t>
  </si>
  <si>
    <t>Type</t>
  </si>
  <si>
    <t>Area</t>
  </si>
  <si>
    <t>Labor Multiplier</t>
  </si>
  <si>
    <t>General</t>
  </si>
  <si>
    <t>L</t>
  </si>
  <si>
    <t>y</t>
  </si>
  <si>
    <t>West</t>
  </si>
  <si>
    <t>Unit</t>
  </si>
  <si>
    <t>Mercury Operations Cost Based Profit Calculator ( f(Labor) )</t>
  </si>
  <si>
    <t>Public</t>
  </si>
  <si>
    <t>San Antonio</t>
  </si>
  <si>
    <t>CW Pipe</t>
  </si>
  <si>
    <t>Boundaries</t>
  </si>
  <si>
    <t>Variable</t>
  </si>
  <si>
    <t>Pre- Tax</t>
  </si>
  <si>
    <t>Notes</t>
  </si>
  <si>
    <t>Multi Family</t>
  </si>
  <si>
    <t>H</t>
  </si>
  <si>
    <t>Austin</t>
  </si>
  <si>
    <t>VAV</t>
  </si>
  <si>
    <t>Target EOY Net</t>
  </si>
  <si>
    <t>Target end of year profitability</t>
  </si>
  <si>
    <t>DFW</t>
  </si>
  <si>
    <t>Heater</t>
  </si>
  <si>
    <t>Overhead Variable</t>
  </si>
  <si>
    <t>Overhead that functions based on project size</t>
  </si>
  <si>
    <t>Fan</t>
  </si>
  <si>
    <t>Overhead Fixed</t>
  </si>
  <si>
    <t>Fixed overhead component ($2,900 per model)</t>
  </si>
  <si>
    <t>Panhandle</t>
  </si>
  <si>
    <t>Louver / Fire Damper</t>
  </si>
  <si>
    <t>"Fixed" Overhead</t>
  </si>
  <si>
    <t>Gross Sale</t>
  </si>
  <si>
    <t>Labor Est</t>
  </si>
  <si>
    <t>South Texas</t>
  </si>
  <si>
    <t>Metal Duct</t>
  </si>
  <si>
    <t>East Texas</t>
  </si>
  <si>
    <t>Diffusers</t>
  </si>
  <si>
    <t>North Texas</t>
  </si>
  <si>
    <t>MF Living Units</t>
  </si>
  <si>
    <t>Total Adj</t>
  </si>
  <si>
    <t>MF Common Area Duct Board / Flex</t>
  </si>
  <si>
    <t>+Fixed</t>
  </si>
  <si>
    <t>Labor Scalers</t>
  </si>
  <si>
    <t>Base Profit Calculator</t>
  </si>
  <si>
    <t>Base Schedule Total</t>
  </si>
  <si>
    <t>Min Labor Mult</t>
  </si>
  <si>
    <t>Min allowable labor multiple in all scenarios</t>
  </si>
  <si>
    <t>Base Cost Breakout</t>
  </si>
  <si>
    <t>Materials</t>
  </si>
  <si>
    <t>Labor</t>
  </si>
  <si>
    <t>Max Labor Mult</t>
  </si>
  <si>
    <t>Maximum labor multiplier for projects with mostly equipment</t>
  </si>
  <si>
    <t xml:space="preserve">         Split</t>
  </si>
  <si>
    <t>Preselected low profit margin</t>
  </si>
  <si>
    <t>Preselected medium profit margin</t>
  </si>
  <si>
    <t>Mercury Operations Profit Calculator</t>
  </si>
  <si>
    <t>Price/Ton</t>
  </si>
  <si>
    <t>Tax Rates</t>
  </si>
  <si>
    <t>Preselected high profit margin</t>
  </si>
  <si>
    <t>Bid</t>
  </si>
  <si>
    <t>Tax on Materials</t>
  </si>
  <si>
    <t>Gross Profit</t>
  </si>
  <si>
    <t>Tax on Labor</t>
  </si>
  <si>
    <t>Tax</t>
  </si>
  <si>
    <t>Bid + Tax</t>
  </si>
  <si>
    <t>Note: 0.5% added for non-profit jobs to cover tax on materials</t>
  </si>
  <si>
    <t>Public Add</t>
  </si>
  <si>
    <t>Labor Add</t>
  </si>
  <si>
    <t>Total Add</t>
  </si>
  <si>
    <t>Base</t>
  </si>
  <si>
    <t>Base + Add</t>
  </si>
  <si>
    <t>Selected Margin</t>
  </si>
  <si>
    <t>Final w/ Boundaries</t>
  </si>
  <si>
    <t>Additions Needed For Next Model Version</t>
  </si>
  <si>
    <t>1) Add travel per zipcode logic</t>
  </si>
  <si>
    <t>2) Connect multifamily components</t>
  </si>
  <si>
    <t>3) Update Electric Heat Schedule (similar to the fan schedule)</t>
  </si>
  <si>
    <t>4) Add roof caps to the exhaust fan tab</t>
  </si>
  <si>
    <t>5)</t>
  </si>
  <si>
    <t>6) Build in duct model so that the weight is modified by dimension of the duct</t>
  </si>
  <si>
    <t>7) Add access door option to unit schedule</t>
  </si>
  <si>
    <t>8) Add option for multi head mini splits in unit section</t>
  </si>
  <si>
    <t>9) Add stainless duct option</t>
  </si>
  <si>
    <t>10) Add a complexity calculator for ducting installs</t>
  </si>
  <si>
    <t>11) Add job size labor scaler</t>
  </si>
  <si>
    <t>12) Add checklist (ie stainless, controls, double walled duct,etc)</t>
  </si>
  <si>
    <t>13) Copper prices need to be updated.  Link it to current prices</t>
  </si>
  <si>
    <t>14) Add tab for installing kitchen hoods, electrical, and ansul.  Also add cost for installing a kitchen freezer</t>
  </si>
  <si>
    <t>15) Controls TAB</t>
  </si>
  <si>
    <t>16)</t>
  </si>
  <si>
    <t>17)</t>
  </si>
  <si>
    <t>18)</t>
  </si>
  <si>
    <t>19)</t>
  </si>
  <si>
    <t>20)</t>
  </si>
  <si>
    <t>21)</t>
  </si>
  <si>
    <t>Commercial Construction Overhead Calculator Summary</t>
  </si>
  <si>
    <t>Commercial Construction Overhead Calculator Summary (Calculated to Labor instead of Sales)</t>
  </si>
  <si>
    <t>Testing</t>
  </si>
  <si>
    <t>Component</t>
  </si>
  <si>
    <t>Fixed</t>
  </si>
  <si>
    <t>Var. (H)</t>
  </si>
  <si>
    <t>Var. (L)</t>
  </si>
  <si>
    <t>&lt;&lt;&lt;&lt;Sales Rate</t>
  </si>
  <si>
    <t>President</t>
  </si>
  <si>
    <t>Project Manager</t>
  </si>
  <si>
    <t>Field Supervisor</t>
  </si>
  <si>
    <t>Human Resources</t>
  </si>
  <si>
    <t>Estimation</t>
  </si>
  <si>
    <t>Rent/Office</t>
  </si>
  <si>
    <t>Insurance &amp; Services</t>
  </si>
  <si>
    <t>Total</t>
  </si>
  <si>
    <t>Project Managers</t>
  </si>
  <si>
    <t>&lt;&lt;&lt;&lt;Calc Avg Salary</t>
  </si>
  <si>
    <t>President Calculator</t>
  </si>
  <si>
    <t>&lt;&lt;&lt;&lt;Act Avg Salary</t>
  </si>
  <si>
    <t>Rate</t>
  </si>
  <si>
    <t>Net Delta</t>
  </si>
  <si>
    <t>Assumed pay rate relative to gross sales</t>
  </si>
  <si>
    <t>Project Manager Calculator</t>
  </si>
  <si>
    <t>Notes:</t>
  </si>
  <si>
    <t>- It was determined that a PM can handle about $2MM of work across 8 projects</t>
  </si>
  <si>
    <t>- It was determined that a PM can handle about $500k of labor cost across 8 projects</t>
  </si>
  <si>
    <t>- Based on that it's estimated that there is a 1) fixed labor component independent of project size</t>
  </si>
  <si>
    <t>- 2) variable for scheduling, sheet metal duct ordering, invoicing, and related</t>
  </si>
  <si>
    <t>- Calculations are based on an assumed income of $75,000/yr for a project manager</t>
  </si>
  <si>
    <t>- Weekly PM cost is assumed to be: $1,442 ($75k/yr)</t>
  </si>
  <si>
    <t>- Based on our experience and assumptions above, we believe  ~30% relates to a fixed per project cost and ~70% is a function of project size (variable)</t>
  </si>
  <si>
    <t>- 70% of a PM's pay of $75k/yr = $52,500</t>
  </si>
  <si>
    <t>Fixed Time Components</t>
  </si>
  <si>
    <t>Weeks</t>
  </si>
  <si>
    <t>Description</t>
  </si>
  <si>
    <t>Private</t>
  </si>
  <si>
    <t>Fixed: Onboarding paperwork, Permits, Submittals, Equipment Orders, Rentals, &amp; Closind Docs</t>
  </si>
  <si>
    <t>Average</t>
  </si>
  <si>
    <t>Predicted weeks of work associated with a project regardless of size</t>
  </si>
  <si>
    <t>Fixed Project Cost based on weekly PM cost</t>
  </si>
  <si>
    <t>Variable Time Components</t>
  </si>
  <si>
    <t>Metric</t>
  </si>
  <si>
    <t>Salary applicable to project size</t>
  </si>
  <si>
    <t>Assumed comfortable average limit for a project manager overseeing commercial projects (8 projects @ $250,000/project)</t>
  </si>
  <si>
    <t>Percentage of project related size (variable cost)</t>
  </si>
  <si>
    <t>Estimation Services</t>
  </si>
  <si>
    <t>Field Supervisor Calculator</t>
  </si>
  <si>
    <t>NOT SURE IF WE CAN HAVE A PURE FIELD SUPERVISOR.  THIS COST NEEDS TO BE FOLDED INTO JOB LABOR CALCULATOR</t>
  </si>
  <si>
    <t>- It is assumed that 1 field supervisor team member can handle $2,000,000 employees</t>
  </si>
  <si>
    <t>- Assumed salary of $65,000</t>
  </si>
  <si>
    <t>Gross sales supported per HR team member</t>
  </si>
  <si>
    <t>Gross sales supported per Field Supervisor team member</t>
  </si>
  <si>
    <t>Percentage of project related HR services</t>
  </si>
  <si>
    <t>Percentage of project related to Field supervision services</t>
  </si>
  <si>
    <t>Human Resource Calculator</t>
  </si>
  <si>
    <t>Unsurance &amp; Services</t>
  </si>
  <si>
    <t>- It is assumed that 1 human resource team member can handle 100 employees</t>
  </si>
  <si>
    <t>- To take a slightly more conservative approach, we will assume 40 employees can be managed per HR manager</t>
  </si>
  <si>
    <t>- 40 employees at an average rate of $23/hr = $1,800,000/yr in payroll</t>
  </si>
  <si>
    <t>- Assuming total payroll is ~30% of total gross sales or ~ $6,000,000</t>
  </si>
  <si>
    <t>Total Nets</t>
  </si>
  <si>
    <t>Gross sales labor supported per HR team member</t>
  </si>
  <si>
    <t>Percent of Sales</t>
  </si>
  <si>
    <t>Estimating Resource Calculator</t>
  </si>
  <si>
    <t>- It is assumed that 1 estimating team member generate $40,000,000 in quotes/yr</t>
  </si>
  <si>
    <t>- It is determined that we are awarded about 3% of the work we quote</t>
  </si>
  <si>
    <t>- The implied win rate is $1.2MM/year.  To be conservative, we will assume $1MM/yr in gross sales per full time estimator</t>
  </si>
  <si>
    <t>- Assumed estimator pay rate of $20,000 inc. incentives</t>
  </si>
  <si>
    <t>Rent/Office Calculator</t>
  </si>
  <si>
    <t>- It is assumed that rent for the company supporting about $2,000,000 of business is $25,000/yr</t>
  </si>
  <si>
    <t xml:space="preserve">- it is assumed that utilities is $2,700 for that facility </t>
  </si>
  <si>
    <t>- it is assumed that utilities is $7,500 in facility maintenance per year</t>
  </si>
  <si>
    <t xml:space="preserve">- it is assumed that internet is $2,000 for that facility </t>
  </si>
  <si>
    <t>- Total facility cost is: $37,200</t>
  </si>
  <si>
    <t>Office space cost applicable to project size</t>
  </si>
  <si>
    <t>Gross sales supported per office</t>
  </si>
  <si>
    <t>Gross sales labor supported per office</t>
  </si>
  <si>
    <t>Percentage of project related rent/office space</t>
  </si>
  <si>
    <t>Marketing &amp; Subscription Services</t>
  </si>
  <si>
    <t>- It is assumed that rent for the company supporting about $2,000,000/yr of business</t>
  </si>
  <si>
    <t>- Project subcription/marketing services: $10,000</t>
  </si>
  <si>
    <t>- Company insurance: Workmens comp &amp; GL: $12,000</t>
  </si>
  <si>
    <t>- Software subscriptions:</t>
  </si>
  <si>
    <t>1) Quickbooks: $3,500/yr</t>
  </si>
  <si>
    <t>2) Tee sheets: $3,500/yr</t>
  </si>
  <si>
    <t>2) Misc: $1,000/yr</t>
  </si>
  <si>
    <t>Gross sales supported related to services</t>
  </si>
  <si>
    <t>Gross sales labor supported related to services</t>
  </si>
  <si>
    <t>Percentage of project related maketing services</t>
  </si>
  <si>
    <t>General Items</t>
  </si>
  <si>
    <t>Defined Ranges (Don't erase)</t>
  </si>
  <si>
    <t>Item</t>
  </si>
  <si>
    <t>Binary</t>
  </si>
  <si>
    <t>Permitting</t>
  </si>
  <si>
    <t>Yes</t>
  </si>
  <si>
    <t>Field Logistics</t>
  </si>
  <si>
    <t>No</t>
  </si>
  <si>
    <t>Crane Service</t>
  </si>
  <si>
    <t>Demolition</t>
  </si>
  <si>
    <t>Rentals</t>
  </si>
  <si>
    <t>Air Balance</t>
  </si>
  <si>
    <t>Warranty</t>
  </si>
  <si>
    <t>Team Travel</t>
  </si>
  <si>
    <t>NA</t>
  </si>
  <si>
    <t>Totals</t>
  </si>
  <si>
    <t>Selection</t>
  </si>
  <si>
    <t>Required</t>
  </si>
  <si>
    <t>Permit required aside from AC system changeouts or service</t>
  </si>
  <si>
    <t>Direct Job Cost</t>
  </si>
  <si>
    <t>Total of direct field level labor and materials cost</t>
  </si>
  <si>
    <t>Base Cost ($)</t>
  </si>
  <si>
    <t>Modeled as the maximum of 0.5% of project cost or $175</t>
  </si>
  <si>
    <t>Inc. Rate</t>
  </si>
  <si>
    <t>Inc ($)</t>
  </si>
  <si>
    <t>Total Cost</t>
  </si>
  <si>
    <t>Logisitics Calculator</t>
  </si>
  <si>
    <t>Value</t>
  </si>
  <si>
    <t>Required for all jobs currently</t>
  </si>
  <si>
    <t>Labor Total</t>
  </si>
  <si>
    <t>Labor total from 'Summary' tab</t>
  </si>
  <si>
    <t>Job Gross</t>
  </si>
  <si>
    <t>Logistical rate for field support relative to direct labor.  Assumed 5% in all cases</t>
  </si>
  <si>
    <t>Labor Est.</t>
  </si>
  <si>
    <t>Modeled relative to field labor requirements</t>
  </si>
  <si>
    <t>Logistics Component</t>
  </si>
  <si>
    <t>No incidental rate currently assumed</t>
  </si>
  <si>
    <t>Crane Service (New Units)</t>
  </si>
  <si>
    <t>Crane Perameters (Don't erase)</t>
  </si>
  <si>
    <t>Unit Category</t>
  </si>
  <si>
    <t>Desc</t>
  </si>
  <si>
    <t>Crane Size</t>
  </si>
  <si>
    <t>Price/Day</t>
  </si>
  <si>
    <t>Small</t>
  </si>
  <si>
    <t>&lt;= 5 ton</t>
  </si>
  <si>
    <t>Lifted Unit Count</t>
  </si>
  <si>
    <t>Total number of units that will be lifted/unloaded by crane (1 for each new unit and 1 for each removed unit)</t>
  </si>
  <si>
    <t>Med</t>
  </si>
  <si>
    <t>&lt;= 10 ton</t>
  </si>
  <si>
    <t>Extra Lift Days</t>
  </si>
  <si>
    <t>Extra days required for logistics (1 for each additional day based on planned logistical schedule)</t>
  </si>
  <si>
    <t>Large</t>
  </si>
  <si>
    <t>&lt;= 25 ton</t>
  </si>
  <si>
    <t>Largest Unit Category</t>
  </si>
  <si>
    <t>Max</t>
  </si>
  <si>
    <t>&gt; 25 ton/chiller</t>
  </si>
  <si>
    <t>Largest Unit Desc</t>
  </si>
  <si>
    <t>Unit size associated with "Largest Unit Category"</t>
  </si>
  <si>
    <t>Crane Size (tons)</t>
  </si>
  <si>
    <t>Crane size specified by "Largest Unit Category"</t>
  </si>
  <si>
    <t>Crane Cost/Day</t>
  </si>
  <si>
    <t>Days Required</t>
  </si>
  <si>
    <t>Max of 8 units/day.  Automatically populates based on unit count and extra days</t>
  </si>
  <si>
    <t>No incidental rate currently assumed for logistics</t>
  </si>
  <si>
    <t>Demolition (+ Crane Service for Demo of Old Units)</t>
  </si>
  <si>
    <t>Price/Unit</t>
  </si>
  <si>
    <t>XL Duct</t>
  </si>
  <si>
    <t>&gt; 25 ton</t>
  </si>
  <si>
    <t>Split Systems to Demo</t>
  </si>
  <si>
    <t>Number of split systems to demo (doesn't include boilers, chillers, or towers)</t>
  </si>
  <si>
    <t>L Duct</t>
  </si>
  <si>
    <t>10 -25 ton</t>
  </si>
  <si>
    <t>RTUs to Demo</t>
  </si>
  <si>
    <t>Number of package unitsto demo (doesn't include boilers, chillers, or towers)</t>
  </si>
  <si>
    <t>M Duct</t>
  </si>
  <si>
    <t>5 - 10 ton</t>
  </si>
  <si>
    <t>VAV's to Demo</t>
  </si>
  <si>
    <t>not used yet</t>
  </si>
  <si>
    <t>Number of VAV units to demo (doesn't include boilers, chillers, or towers)</t>
  </si>
  <si>
    <t>S Duct</t>
  </si>
  <si>
    <t>&lt; 5 ton</t>
  </si>
  <si>
    <t>Craned Unit Count</t>
  </si>
  <si>
    <t>Number of demoed units that require a crane</t>
  </si>
  <si>
    <t>XL Duct Runs to Demo</t>
  </si>
  <si>
    <t>Number of units of ducting requiring demo for equipment with cooling tonnage &gt; 25 tons</t>
  </si>
  <si>
    <t>L Duct Runs to Demo</t>
  </si>
  <si>
    <t>Number of units of ducting requiring demo for equipment with cooling tonnage 10 to 25 tons</t>
  </si>
  <si>
    <t>Add VAV line</t>
  </si>
  <si>
    <t>M Duct Runs to Demo</t>
  </si>
  <si>
    <t>Number of units of ducting requiring demo for equipment with cooling tonnage 5 to 10 tons</t>
  </si>
  <si>
    <t>S Duct Runs to Demo</t>
  </si>
  <si>
    <t>Number of units of ducting requiring demo for equipment with cooling tonnage &lt;=5 tons</t>
  </si>
  <si>
    <t>Unit Demo Cost</t>
  </si>
  <si>
    <t>Logistical rate for field support relative to direct labor.  Assumed 5% in all cases.  Includes crane service</t>
  </si>
  <si>
    <t>Duct Demo Cost</t>
  </si>
  <si>
    <t>Partial Duct Discount</t>
  </si>
  <si>
    <t>Discount the duct demo due to partial demo instead of complete removal of all ductwork (estimated)</t>
  </si>
  <si>
    <t>Duct Demo Net Disc</t>
  </si>
  <si>
    <t>Final duct demo cost after discounting for only doing partial demo</t>
  </si>
  <si>
    <t>No incidental rate currently assumed.  Assume incidental cost for other miscellaneous items to demo and chillers and boilers</t>
  </si>
  <si>
    <t>Rental Calculator (Don't erase)</t>
  </si>
  <si>
    <t>Counts</t>
  </si>
  <si>
    <t>Cost</t>
  </si>
  <si>
    <t>Required for all jobs unless no ductwork or units will be suspended or job is exceptionally small and doesn't appear to require one</t>
  </si>
  <si>
    <t>Staff</t>
  </si>
  <si>
    <t>Scissor Lifts</t>
  </si>
  <si>
    <t>Mat. Lift</t>
  </si>
  <si>
    <t>Total labor cost for the job</t>
  </si>
  <si>
    <t>Estimated Staff</t>
  </si>
  <si>
    <t>Estimated team size for the project</t>
  </si>
  <si>
    <t>Scissor Lift Cnt</t>
  </si>
  <si>
    <t>Project scissor lift need</t>
  </si>
  <si>
    <t>Material Lift Cnt</t>
  </si>
  <si>
    <t>Logistical rate for field support relative to direct labor</t>
  </si>
  <si>
    <t>Scissor Lift ($)</t>
  </si>
  <si>
    <t>Values pulled from table to the right</t>
  </si>
  <si>
    <t>Material Lift ($)</t>
  </si>
  <si>
    <t>Total of scissor lift and material lift</t>
  </si>
  <si>
    <t>No incidental rate currently assumed rentals</t>
  </si>
  <si>
    <t>Incremental due to special consideration</t>
  </si>
  <si>
    <t>Air Balancing</t>
  </si>
  <si>
    <t>Required for all jobs unless no ductwork is done or a small addition of a few small duct runs</t>
  </si>
  <si>
    <t>Mercury Provided</t>
  </si>
  <si>
    <t>TP Certifiied</t>
  </si>
  <si>
    <t>Systems to Balance</t>
  </si>
  <si>
    <t>Count the number of systems with ductwork that will require air balancing due to new unit, replacement, or the addition/modification of ductwork</t>
  </si>
  <si>
    <t>Grills</t>
  </si>
  <si>
    <t>Cost calculated based on $450 per system plus $45 per grill for third part.  Divide by 1/3r for Mercury air balance</t>
  </si>
  <si>
    <t>No incidental rate currently assumed for air balancing</t>
  </si>
  <si>
    <t>Installed Cooling Capacity</t>
  </si>
  <si>
    <t>Installed Units</t>
  </si>
  <si>
    <t>Estimated warranty cost of $10/ton+50/unit</t>
  </si>
  <si>
    <t>Required for all jobs beyond 30 min from Houston area suburbs</t>
  </si>
  <si>
    <t>Labor Total - Direct</t>
  </si>
  <si>
    <t>Per Diem Rate (%)</t>
  </si>
  <si>
    <t>Currently assuming 15% of labor cost for per diem</t>
  </si>
  <si>
    <t>Accomodation Rate (%)</t>
  </si>
  <si>
    <t>Currently assuming 20% of labor cost for lodging</t>
  </si>
  <si>
    <t>Unit Summary</t>
  </si>
  <si>
    <t>Near Unit Duct Summary (Do not include this on Duct schedule)</t>
  </si>
  <si>
    <t>Cooling (Tons)</t>
  </si>
  <si>
    <t>Equip + Accessories ($)</t>
  </si>
  <si>
    <t>Misc. ($)</t>
  </si>
  <si>
    <t>Total Materials ($)</t>
  </si>
  <si>
    <t>Labor ($)</t>
  </si>
  <si>
    <t>Materials + Labor</t>
  </si>
  <si>
    <t>Note: Need to add a selection for knockdown units (requires dissasembly to get into the building)</t>
  </si>
  <si>
    <t>Service of Existing</t>
  </si>
  <si>
    <t>Package</t>
  </si>
  <si>
    <t>Standard Split</t>
  </si>
  <si>
    <t>Wall Mounted Split</t>
  </si>
  <si>
    <t>VRF</t>
  </si>
  <si>
    <t>[FPB/VAV]</t>
  </si>
  <si>
    <t>[Chiller]</t>
  </si>
  <si>
    <t>Boilers</t>
  </si>
  <si>
    <t>Unit Count (Warranty)</t>
  </si>
  <si>
    <t>Unit Count (Air Balance)</t>
  </si>
  <si>
    <t>Servicing of Existing Units</t>
  </si>
  <si>
    <t>Unit Type</t>
  </si>
  <si>
    <t>Name</t>
  </si>
  <si>
    <t>Cool (Tons)</t>
  </si>
  <si>
    <t>System Type</t>
  </si>
  <si>
    <t>PM Materials</t>
  </si>
  <si>
    <t>PM Labor</t>
  </si>
  <si>
    <t>Packaged Unit</t>
  </si>
  <si>
    <t>Wall Mount Split</t>
  </si>
  <si>
    <t>VAV/FBP</t>
  </si>
  <si>
    <t>Chiller</t>
  </si>
  <si>
    <t>Boiler</t>
  </si>
  <si>
    <t>Size</t>
  </si>
  <si>
    <t>vvvvvvvvvv Notes: Selecting "xx" means the owner is providing the equipment</t>
  </si>
  <si>
    <t>Notes: "x" implies that we need to include an estimate for this item.  If the equipment provider has included the item in their package proporsal select "xx".  Also use "xx" if the owner is providing but we have to install</t>
  </si>
  <si>
    <t>New Packaged Units</t>
  </si>
  <si>
    <t>Cost Calculator (Option)</t>
  </si>
  <si>
    <t>Supplier Quote (Option)</t>
  </si>
  <si>
    <t>DUCT</t>
  </si>
  <si>
    <t>Equipment Materials ------------------------------------------------------------------------------------------------------------------------------------------------------------------------------------------------------------------------------------------------------------------------------------------------------------------------------------------------------------------------------------------------------------------</t>
  </si>
  <si>
    <t>Misc:</t>
  </si>
  <si>
    <t>Duct Materials--------------------------------------------</t>
  </si>
  <si>
    <t>Equipment Labor--------------------------------------------------------------------------------------------------------------------------------------------------------------------------------------------------------------------------------------------------------------------------------------------------------------------------------------------------------------------------------------------------------------------</t>
  </si>
  <si>
    <t>Duct Labor-----------------------------------------------------------------------------</t>
  </si>
  <si>
    <t>Equipment Labor Cost</t>
  </si>
  <si>
    <t>Duct Labor</t>
  </si>
  <si>
    <t>Owner Provided ("xx")</t>
  </si>
  <si>
    <t>Base Cost ($/ton)</t>
  </si>
  <si>
    <t>Est. Equipment Cost ($)</t>
  </si>
  <si>
    <t>Equipment Cost ($)</t>
  </si>
  <si>
    <t>Standard Curb ("x/xx")</t>
  </si>
  <si>
    <t>Metal Roof Curb ("x/xx")</t>
  </si>
  <si>
    <t>Curb Adapter ("x/xx")</t>
  </si>
  <si>
    <t>Economizer ("x/xx")</t>
  </si>
  <si>
    <t>PVC Condensate ("x/xx")</t>
  </si>
  <si>
    <t>CU Condensate ("x/xx")</t>
  </si>
  <si>
    <t>Thermostat ("x/xx")</t>
  </si>
  <si>
    <t>Smoke Detectors ("x/xx")</t>
  </si>
  <si>
    <t>Sensors (CO/Temp) (Qty)</t>
  </si>
  <si>
    <t>New Drops ("x/xx")</t>
  </si>
  <si>
    <t>Drum Louvers ("x/xx")</t>
  </si>
  <si>
    <t>Economizer ($)</t>
  </si>
  <si>
    <t>Standard Curb ($)</t>
  </si>
  <si>
    <t>Metal Roof Curb ($)</t>
  </si>
  <si>
    <t>Curb Adapter ($)</t>
  </si>
  <si>
    <t>PVC Cond. ($)</t>
  </si>
  <si>
    <t>CU Cond. ($)</t>
  </si>
  <si>
    <t>Thermostat ($)</t>
  </si>
  <si>
    <t>Smoke Detectors ($)</t>
  </si>
  <si>
    <t>Sensors (CO/Temp) ($)</t>
  </si>
  <si>
    <t>Stat Wire (CO/Temp) ($)</t>
  </si>
  <si>
    <t>Base + Quoted Price ($)</t>
  </si>
  <si>
    <t>Accessories ($)</t>
  </si>
  <si>
    <t>Misc/Consumables</t>
  </si>
  <si>
    <t>Total Materials</t>
  </si>
  <si>
    <t>New Drops ($)</t>
  </si>
  <si>
    <t>Drum Louvers ($)</t>
  </si>
  <si>
    <t>Base Equipment ($)</t>
  </si>
  <si>
    <t>Startup &amp; Testing</t>
  </si>
  <si>
    <t>Labor Total ($)</t>
  </si>
  <si>
    <t>Economizer</t>
  </si>
  <si>
    <t>Standard Curb</t>
  </si>
  <si>
    <t>Metal Roof Curb</t>
  </si>
  <si>
    <t>Curb Adapter</t>
  </si>
  <si>
    <t>New Drops</t>
  </si>
  <si>
    <t>Drum Louvers (Supply + Return)</t>
  </si>
  <si>
    <t>Base Unit</t>
  </si>
  <si>
    <t>Metal Curb</t>
  </si>
  <si>
    <t>PVC Cond</t>
  </si>
  <si>
    <t>CU Cond</t>
  </si>
  <si>
    <t>Thermostat</t>
  </si>
  <si>
    <t>Smoke Detectors</t>
  </si>
  <si>
    <t>Sensors</t>
  </si>
  <si>
    <t>Stat Wire</t>
  </si>
  <si>
    <t>Start Up</t>
  </si>
  <si>
    <t>Drum Louvers (+ Returns)</t>
  </si>
  <si>
    <t>Selection Options</t>
  </si>
  <si>
    <t xml:space="preserve">Thermostat </t>
  </si>
  <si>
    <t>Stat Wire/Unit</t>
  </si>
  <si>
    <t>Tech Rate ($/hr)</t>
  </si>
  <si>
    <t>Hours</t>
  </si>
  <si>
    <t>x</t>
  </si>
  <si>
    <t>xx</t>
  </si>
  <si>
    <t>Smoke Detector</t>
  </si>
  <si>
    <t>Selection Owner Provided</t>
  </si>
  <si>
    <t>Split Systems</t>
  </si>
  <si>
    <t>Materials -----------------------------------------------------------------------------------------------------------------------------------------------------------------------------------------------------------------------------------------------------------------------------------------------------------------------------------------------------------------------------------------------------------------------------</t>
  </si>
  <si>
    <t>Duct Materials-------------</t>
  </si>
  <si>
    <t>Labor-----------------------------------------------------------------------------------------------------------------------------------------------------------------------------------------------------------------------------------------------------------------------------------------------------------------------------------------------------------------------------------------------------------------------------</t>
  </si>
  <si>
    <t>Duct Labor------------------</t>
  </si>
  <si>
    <t>Condenser Rails ("x/xx")</t>
  </si>
  <si>
    <t>Drain Pan ("x/xx")</t>
  </si>
  <si>
    <t>CU L (&lt;100 Ft) ("x/xx")</t>
  </si>
  <si>
    <t>CU L (&gt;=100 Ft) ("x/xx")</t>
  </si>
  <si>
    <t>CU Roll (&lt;100 Ft) ("x/xx")</t>
  </si>
  <si>
    <t>CU Roll (&gt;=100 Ft) ("x/xx")</t>
  </si>
  <si>
    <t>OA Damper ("x/xx")</t>
  </si>
  <si>
    <t>Float Switch  ("x/xx")</t>
  </si>
  <si>
    <t>PVC Cond.  ("x/xx")</t>
  </si>
  <si>
    <t>CU Cond. ("x/xx")</t>
  </si>
  <si>
    <t xml:space="preserve"> Connections ("x/xx")</t>
  </si>
  <si>
    <t>Condenser Rails ($)</t>
  </si>
  <si>
    <t>Drain Pan ($)</t>
  </si>
  <si>
    <t>Copper L (&lt;100 Ft)</t>
  </si>
  <si>
    <t>Copper L (&gt;=100 Ft)</t>
  </si>
  <si>
    <t>Copper Roll (&lt;100 Ft)</t>
  </si>
  <si>
    <t>Copper Roll (&gt;=100 Ft)</t>
  </si>
  <si>
    <t>Refrigerant Charge ($)</t>
  </si>
  <si>
    <t>OA Damper ($)</t>
  </si>
  <si>
    <t>Float Switch ($)</t>
  </si>
  <si>
    <t>Transitions ($)</t>
  </si>
  <si>
    <t>Copper ($)</t>
  </si>
  <si>
    <t>Condenser Rails</t>
  </si>
  <si>
    <t>Drain Pan</t>
  </si>
  <si>
    <t>Copper L (&gt;100 Ft)</t>
  </si>
  <si>
    <t>Copper Roll (&gt;100 Ft)</t>
  </si>
  <si>
    <t>Refrigerant Supplemental Charge</t>
  </si>
  <si>
    <t>Fresh Air Damper</t>
  </si>
  <si>
    <t>Duct Transitions (Supply &amp; Return)</t>
  </si>
  <si>
    <t>Copper L (&lt; 100')</t>
  </si>
  <si>
    <t>Copper L (&gt;= 100')</t>
  </si>
  <si>
    <t>Copper Roll (&lt; 100')</t>
  </si>
  <si>
    <t>Copper Roll (&gt;= 100')</t>
  </si>
  <si>
    <t>OA Damper</t>
  </si>
  <si>
    <t>Float Switch</t>
  </si>
  <si>
    <t>PVC Condensate</t>
  </si>
  <si>
    <t>CU Condensate</t>
  </si>
  <si>
    <t>Duct Transitions</t>
  </si>
  <si>
    <t>&lt;100</t>
  </si>
  <si>
    <t>&gt;=100</t>
  </si>
  <si>
    <t>Wall Mounted Split Systems</t>
  </si>
  <si>
    <t>Cond. Pump ("x/xx")</t>
  </si>
  <si>
    <t>CU (&lt;100 Ft) ("x/xx")</t>
  </si>
  <si>
    <t>CU (&gt;=100 Ft) ("x/xx")</t>
  </si>
  <si>
    <t>Cond. Pump ($)</t>
  </si>
  <si>
    <t>Copper (&lt;100 Ft)</t>
  </si>
  <si>
    <t>Copper (&gt;=100 Ft)</t>
  </si>
  <si>
    <t>Cond. Pump</t>
  </si>
  <si>
    <t>Copper (&gt;100 Ft)</t>
  </si>
  <si>
    <t>Copper (&lt; 100')</t>
  </si>
  <si>
    <t>Copper (&gt;= 100')</t>
  </si>
  <si>
    <t>done</t>
  </si>
  <si>
    <t>VRF Systems</t>
  </si>
  <si>
    <t>Condensing Units</t>
  </si>
  <si>
    <t>Indoor Units</t>
  </si>
  <si>
    <t>Indoor Cool Avg (Tons)</t>
  </si>
  <si>
    <t>CU L (Avg Len) ("FT")</t>
  </si>
  <si>
    <t>Copper L ($)</t>
  </si>
  <si>
    <t>Copper L</t>
  </si>
  <si>
    <t>Cost ($/ft)</t>
  </si>
  <si>
    <t>R454 ($/ft-ton)</t>
  </si>
  <si>
    <t>Hr/Ft</t>
  </si>
  <si>
    <t>3/8"</t>
  </si>
  <si>
    <t>$3.00/Ft</t>
  </si>
  <si>
    <t>Cost derived from Virtue:</t>
  </si>
  <si>
    <t>0.5 hrs/ft</t>
  </si>
  <si>
    <t>1/2"</t>
  </si>
  <si>
    <t>$4.00/Ft</t>
  </si>
  <si>
    <t>38 lbs of refrigerant</t>
  </si>
  <si>
    <t>Estimated based on Fort Bend Fire</t>
  </si>
  <si>
    <t>5/8"</t>
  </si>
  <si>
    <t>6 tons of indoor units</t>
  </si>
  <si>
    <t>3/4"</t>
  </si>
  <si>
    <t>$5.20/Ft</t>
  </si>
  <si>
    <t>avg length of 40'</t>
  </si>
  <si>
    <t>7/8"</t>
  </si>
  <si>
    <t>$7.6/Ft</t>
  </si>
  <si>
    <t>Best first estimate</t>
  </si>
  <si>
    <t>1-1/8"</t>
  </si>
  <si>
    <t>$9.5/Ft</t>
  </si>
  <si>
    <t>1-5/8"</t>
  </si>
  <si>
    <t>$16.7/Ft</t>
  </si>
  <si>
    <t>2-1/8"</t>
  </si>
  <si>
    <t>$32/Ft</t>
  </si>
  <si>
    <t>From grainger discounted 10%</t>
  </si>
  <si>
    <t>Insulation</t>
  </si>
  <si>
    <t>$1.00/Ft</t>
  </si>
  <si>
    <t>$1.20/Ft</t>
  </si>
  <si>
    <t>$1.25/Ft</t>
  </si>
  <si>
    <t>$1.5/Ft</t>
  </si>
  <si>
    <t>$2.0/Ft</t>
  </si>
  <si>
    <t>$2.5/Ft</t>
  </si>
  <si>
    <t>Assumes a 35% discount on materials due to branching</t>
  </si>
  <si>
    <t>PIPING WRAP INSTALLATION</t>
  </si>
  <si>
    <t>Scale - Ft/Unit</t>
  </si>
  <si>
    <t>Incidentals</t>
  </si>
  <si>
    <t>Sysrem Type</t>
  </si>
  <si>
    <t>Source</t>
  </si>
  <si>
    <t>SHT MEAS LEN (ft)</t>
  </si>
  <si>
    <t>Dia (in)</t>
  </si>
  <si>
    <t>Pipe ("x")</t>
  </si>
  <si>
    <t>Ins ("x")</t>
  </si>
  <si>
    <t>Calc. Length (Ft)</t>
  </si>
  <si>
    <t>CS Mat ($)</t>
  </si>
  <si>
    <t>CS Misc ($)</t>
  </si>
  <si>
    <t>Ins Mat ($)</t>
  </si>
  <si>
    <t>Ins Misc ($)</t>
  </si>
  <si>
    <t>Total Mat ($)</t>
  </si>
  <si>
    <t>CS labor ($)</t>
  </si>
  <si>
    <t>Ins Labor ($)</t>
  </si>
  <si>
    <t>Total Labor</t>
  </si>
  <si>
    <t>Mat+Lab</t>
  </si>
  <si>
    <t>Material</t>
  </si>
  <si>
    <t>Mat. ($/Ft)</t>
  </si>
  <si>
    <t>Install ($/Ft)</t>
  </si>
  <si>
    <t>CW</t>
  </si>
  <si>
    <t>CHILLER</t>
  </si>
  <si>
    <t>CS</t>
  </si>
  <si>
    <t>Sched 40</t>
  </si>
  <si>
    <t>SS</t>
  </si>
  <si>
    <t>2" thick</t>
  </si>
  <si>
    <t>CHILLED WATER PIPE SIZING AND FLOW RANGE GPM</t>
  </si>
  <si>
    <t>PIPE* inch</t>
  </si>
  <si>
    <t>FLOW gpm*</t>
  </si>
  <si>
    <t>TR</t>
  </si>
  <si>
    <t>PRESSURE LOSS*  ft/100 ft</t>
  </si>
  <si>
    <t>VELOCITY   ft/s*</t>
  </si>
  <si>
    <t>HANGER SPACE** meter</t>
  </si>
  <si>
    <t>ROD * inch</t>
  </si>
  <si>
    <t>ROD ** mm</t>
  </si>
  <si>
    <t>Tonnage</t>
  </si>
  <si>
    <t>Pipe Size (Inches)</t>
  </si>
  <si>
    <t>1/8"</t>
  </si>
  <si>
    <t>1/4"</t>
  </si>
  <si>
    <t>1 1/2"</t>
  </si>
  <si>
    <t>4"</t>
  </si>
  <si>
    <t>10"</t>
  </si>
  <si>
    <t>Enter Tonnage here</t>
  </si>
  <si>
    <t>1"</t>
  </si>
  <si>
    <t>1 1/4"</t>
  </si>
  <si>
    <t>2"</t>
  </si>
  <si>
    <t>2 1/2"</t>
  </si>
  <si>
    <t>HANGER SPACING</t>
  </si>
  <si>
    <t>3"</t>
  </si>
  <si>
    <t>6"</t>
  </si>
  <si>
    <t>8"</t>
  </si>
  <si>
    <t>12"</t>
  </si>
  <si>
    <t>14"</t>
  </si>
  <si>
    <t>16"</t>
  </si>
  <si>
    <t>18"</t>
  </si>
  <si>
    <t>20"</t>
  </si>
  <si>
    <t>24"</t>
  </si>
  <si>
    <t>26"</t>
  </si>
  <si>
    <t>28"</t>
  </si>
  <si>
    <t>30"</t>
  </si>
  <si>
    <t>32"</t>
  </si>
  <si>
    <t>* 2008 ASHRAE Handbook—HVAC Systems and Equipment (IP)</t>
  </si>
  <si>
    <t>** 2008 ASHRAE Handbook—HVAC Systems and Equipment (SI)</t>
  </si>
  <si>
    <t>VAV Schedule</t>
  </si>
  <si>
    <t>Building</t>
  </si>
  <si>
    <t>ID</t>
  </si>
  <si>
    <t>Fan CFM</t>
  </si>
  <si>
    <t>Dia</t>
  </si>
  <si>
    <t>Price/Cfm</t>
  </si>
  <si>
    <t>Unit Cost</t>
  </si>
  <si>
    <t>Controls</t>
  </si>
  <si>
    <t>Other</t>
  </si>
  <si>
    <t>Misc Parts</t>
  </si>
  <si>
    <t>A</t>
  </si>
  <si>
    <t>Heater Schedule</t>
  </si>
  <si>
    <t>Inc. Materials</t>
  </si>
  <si>
    <t>KW</t>
  </si>
  <si>
    <t>Sq. Incident</t>
  </si>
  <si>
    <t>Rnd. Incident</t>
  </si>
  <si>
    <t>SHEET METAL DUCT</t>
  </si>
  <si>
    <t>Sheet Cost (4/10)</t>
  </si>
  <si>
    <t>SHT MEAS LEN (mm)</t>
  </si>
  <si>
    <t>Dim/Dia (in x in)</t>
  </si>
  <si>
    <t>Insulation ("x")</t>
  </si>
  <si>
    <t>Offtake ("x")</t>
  </si>
  <si>
    <t>VD ("x")</t>
  </si>
  <si>
    <t>Flex Conn. ("x")</t>
  </si>
  <si>
    <t>Square ("x")</t>
  </si>
  <si>
    <t>Round ("x")</t>
  </si>
  <si>
    <t>Area/Lin Ft</t>
  </si>
  <si>
    <t>Total Area (Ft2)</t>
  </si>
  <si>
    <t>Weight (lb)</t>
  </si>
  <si>
    <t>Square Duct ($)</t>
  </si>
  <si>
    <t>Round Duct ($)</t>
  </si>
  <si>
    <t>Ins.  Cost ($)</t>
  </si>
  <si>
    <t>Flex Duct ($)</t>
  </si>
  <si>
    <t>VD ($)</t>
  </si>
  <si>
    <t>Incidentals ($)</t>
  </si>
  <si>
    <t>Tot Mat Price</t>
  </si>
  <si>
    <t>Parameters</t>
  </si>
  <si>
    <t>Flex Duct Labor Type</t>
  </si>
  <si>
    <t>Round Sheet Metal (?)</t>
  </si>
  <si>
    <t>Duct Insulation</t>
  </si>
  <si>
    <t>Offtake</t>
  </si>
  <si>
    <t>VD</t>
  </si>
  <si>
    <t>Flex Connect</t>
  </si>
  <si>
    <t>Round Metal Ducting</t>
  </si>
  <si>
    <t>Buffer</t>
  </si>
  <si>
    <t>estimated 30 ga</t>
  </si>
  <si>
    <t>Sheet Metal Material</t>
  </si>
  <si>
    <t>kg/ft2</t>
  </si>
  <si>
    <t>Short</t>
  </si>
  <si>
    <t>Size (in")</t>
  </si>
  <si>
    <t>$/ 3Ft</t>
  </si>
  <si>
    <t>$ / 5Ft</t>
  </si>
  <si>
    <t>$/ft</t>
  </si>
  <si>
    <t>Area (ft^2)</t>
  </si>
  <si>
    <t>$/Sq ft</t>
  </si>
  <si>
    <t>Raw Metal ($/ft)</t>
  </si>
  <si>
    <t>lbs/ft2</t>
  </si>
  <si>
    <t>Long</t>
  </si>
  <si>
    <t>Sheet Metal Material Cost</t>
  </si>
  <si>
    <t>$/lb</t>
  </si>
  <si>
    <t>Terminal</t>
  </si>
  <si>
    <t>Duct Wrap Material Cost</t>
  </si>
  <si>
    <t>$/ft2</t>
  </si>
  <si>
    <t>Duct Wrap Labor Cost</t>
  </si>
  <si>
    <t>$/Ft</t>
  </si>
  <si>
    <t>Sheet Metal Labor</t>
  </si>
  <si>
    <t>Flex Duct Labor Short</t>
  </si>
  <si>
    <t>/run</t>
  </si>
  <si>
    <t>Flex Duct Labor Long</t>
  </si>
  <si>
    <t>Offtake Cost</t>
  </si>
  <si>
    <t>Max Flex Duct Len</t>
  </si>
  <si>
    <t>Ft</t>
  </si>
  <si>
    <t>Cost Uplift For Int. Ins.</t>
  </si>
  <si>
    <t>Flex Ducting</t>
  </si>
  <si>
    <t>R8 ($)/25 ft</t>
  </si>
  <si>
    <t>Vertical Offset Count</t>
  </si>
  <si>
    <t>Horizontal Offset Count</t>
  </si>
  <si>
    <t>Round duct riser</t>
  </si>
  <si>
    <t>90 degree duct intersection count</t>
  </si>
  <si>
    <t>Ft of overlapping duct</t>
  </si>
  <si>
    <t>Duct neck</t>
  </si>
  <si>
    <t>Index</t>
  </si>
  <si>
    <t>Galvanized Steel</t>
  </si>
  <si>
    <t>Duct Weigth</t>
  </si>
  <si>
    <t>Rectangular Duct</t>
  </si>
  <si>
    <t>Stainless Steel</t>
  </si>
  <si>
    <t xml:space="preserve">Round Duct </t>
  </si>
  <si>
    <t>Aluminum</t>
  </si>
  <si>
    <t>Carbon Steel</t>
  </si>
  <si>
    <t>Insulation Thickness</t>
  </si>
  <si>
    <t>Cladding Thickness</t>
  </si>
  <si>
    <t>Unit Mark</t>
  </si>
  <si>
    <t>Length(m)</t>
  </si>
  <si>
    <r>
      <t>Area(m</t>
    </r>
    <r>
      <rPr>
        <b/>
        <vertAlign val="superscript"/>
        <sz val="14"/>
        <color theme="1"/>
        <rFont val="Calibri"/>
        <family val="2"/>
        <scheme val="minor"/>
      </rPr>
      <t>2</t>
    </r>
    <r>
      <rPr>
        <b/>
        <sz val="14"/>
        <color theme="1"/>
        <rFont val="Calibri"/>
        <family val="2"/>
        <scheme val="minor"/>
      </rPr>
      <t>)</t>
    </r>
  </si>
  <si>
    <t>Gauge</t>
  </si>
  <si>
    <t>Thickness(mm)</t>
  </si>
  <si>
    <t>Weigth/Area</t>
  </si>
  <si>
    <t>Weigth(kg)</t>
  </si>
  <si>
    <t>1.15%X Weigth(Kg)</t>
  </si>
  <si>
    <r>
      <t>Insulation(m</t>
    </r>
    <r>
      <rPr>
        <b/>
        <vertAlign val="superscript"/>
        <sz val="14"/>
        <color theme="1"/>
        <rFont val="Calibri"/>
        <family val="2"/>
        <scheme val="minor"/>
      </rPr>
      <t>2</t>
    </r>
    <r>
      <rPr>
        <b/>
        <sz val="14"/>
        <color theme="1"/>
        <rFont val="Calibri"/>
        <family val="2"/>
        <scheme val="minor"/>
      </rPr>
      <t>)</t>
    </r>
  </si>
  <si>
    <r>
      <t>1.01% X Insulation(m</t>
    </r>
    <r>
      <rPr>
        <b/>
        <vertAlign val="superscript"/>
        <sz val="14"/>
        <color theme="1"/>
        <rFont val="Calibri"/>
        <family val="2"/>
        <scheme val="minor"/>
      </rPr>
      <t>2</t>
    </r>
    <r>
      <rPr>
        <b/>
        <sz val="14"/>
        <color theme="1"/>
        <rFont val="Calibri"/>
        <family val="2"/>
        <scheme val="minor"/>
      </rPr>
      <t>)</t>
    </r>
  </si>
  <si>
    <t>Clading(m2)</t>
  </si>
  <si>
    <t>Clading (m3)</t>
  </si>
  <si>
    <t>Clading Weigth(Kg)</t>
  </si>
  <si>
    <t>1.01% X Clading weigth (Kg)</t>
  </si>
  <si>
    <t>No.ofGuide Vans</t>
  </si>
  <si>
    <t>Rod Diam(in)</t>
  </si>
  <si>
    <t xml:space="preserve">Angle Dimension (mm) </t>
  </si>
  <si>
    <t>Distance Between Hangers</t>
  </si>
  <si>
    <t>Takeoff Heigth(mm)</t>
  </si>
  <si>
    <t>AHU-OFFICE</t>
  </si>
  <si>
    <t>Supply</t>
  </si>
  <si>
    <t>Rectangular Calc</t>
  </si>
  <si>
    <t>Total Weigth(Kg)</t>
  </si>
  <si>
    <t>Total Weigth*1.15%(Kg)</t>
  </si>
  <si>
    <t>Ibs</t>
  </si>
  <si>
    <r>
      <t>Total Insulation(m</t>
    </r>
    <r>
      <rPr>
        <b/>
        <vertAlign val="superscript"/>
        <sz val="11"/>
        <color theme="1"/>
        <rFont val="Calibri"/>
        <family val="2"/>
        <scheme val="minor"/>
      </rPr>
      <t>2</t>
    </r>
    <r>
      <rPr>
        <b/>
        <sz val="11"/>
        <color theme="1"/>
        <rFont val="Calibri"/>
        <family val="2"/>
        <scheme val="minor"/>
      </rPr>
      <t>)</t>
    </r>
  </si>
  <si>
    <r>
      <t>Total Insulation*1.01%(m</t>
    </r>
    <r>
      <rPr>
        <b/>
        <vertAlign val="superscript"/>
        <sz val="11"/>
        <color theme="1"/>
        <rFont val="Calibri"/>
        <family val="2"/>
        <scheme val="minor"/>
      </rPr>
      <t>2</t>
    </r>
    <r>
      <rPr>
        <b/>
        <sz val="11"/>
        <color theme="1"/>
        <rFont val="Calibri"/>
        <family val="2"/>
        <scheme val="minor"/>
      </rPr>
      <t>)</t>
    </r>
  </si>
  <si>
    <t>ft2</t>
  </si>
  <si>
    <t>Insulation Roller No</t>
  </si>
  <si>
    <t>Insulation Roller/ton</t>
  </si>
  <si>
    <t>Total Length(m)</t>
  </si>
  <si>
    <t>Total Length(m)+10%الهالك</t>
  </si>
  <si>
    <t>Total Clading (m2)</t>
  </si>
  <si>
    <t>Total Clading (Kg)</t>
  </si>
  <si>
    <t>Total Clading (Kg)+1%هالك</t>
  </si>
  <si>
    <t xml:space="preserve">Total Duct Length ( ft ) </t>
  </si>
  <si>
    <t>Sheet cost per (Ibs)</t>
  </si>
  <si>
    <t>Insulation Cost per (ft2)</t>
  </si>
  <si>
    <t>Labor rate for Sheet per (ft)</t>
  </si>
  <si>
    <t>Labor rate for Insulation per (ft2)</t>
  </si>
  <si>
    <t>Retuen</t>
  </si>
  <si>
    <t xml:space="preserve">Duct cost </t>
  </si>
  <si>
    <t xml:space="preserve">Insulation Cost </t>
  </si>
  <si>
    <t xml:space="preserve">Duct labor cost </t>
  </si>
  <si>
    <t xml:space="preserve">Insulation labor Cost </t>
  </si>
  <si>
    <t xml:space="preserve">Total Matarial cost </t>
  </si>
  <si>
    <t>Total labor cost</t>
  </si>
  <si>
    <t>Exhaust</t>
  </si>
  <si>
    <t>Outside</t>
  </si>
  <si>
    <t>EF-8</t>
  </si>
  <si>
    <t>EF-9</t>
  </si>
  <si>
    <t>EF-10</t>
  </si>
  <si>
    <t>EF-11</t>
  </si>
  <si>
    <t>EF-12</t>
  </si>
  <si>
    <t>EF-13</t>
  </si>
  <si>
    <t>LV-F</t>
  </si>
  <si>
    <t>EF</t>
  </si>
  <si>
    <t>HP-1</t>
  </si>
  <si>
    <t>HP-2</t>
  </si>
  <si>
    <t>MAU-1</t>
  </si>
  <si>
    <t>MAU-2</t>
  </si>
  <si>
    <t>MAU-3</t>
  </si>
  <si>
    <t>MAU-4</t>
  </si>
  <si>
    <t>MAU-5</t>
  </si>
  <si>
    <t>MAU-6</t>
  </si>
  <si>
    <t/>
  </si>
  <si>
    <t>Round Calc</t>
  </si>
  <si>
    <t>Total Length(m)+10%</t>
  </si>
  <si>
    <t>Total Clading (Kg)+10%</t>
  </si>
  <si>
    <t>GALVANIZED SHEET THICKNESS TOLERANCES</t>
  </si>
  <si>
    <t>STAINLESS STEEL SHEET THICKNESS</t>
  </si>
  <si>
    <t>Galvanised Sheet Thickness</t>
  </si>
  <si>
    <t>Thickness in Inches</t>
  </si>
  <si>
    <t>Weight</t>
  </si>
  <si>
    <t>Thickness in Millimeters</t>
  </si>
  <si>
    <t>TABLE 3-2A</t>
  </si>
  <si>
    <t>Thickness, mm</t>
  </si>
  <si>
    <t>Nominal Mass</t>
  </si>
  <si>
    <t>Min.</t>
  </si>
  <si>
    <t>Nom.</t>
  </si>
  <si>
    <t>Max.</t>
  </si>
  <si>
    <t>lb/sf</t>
  </si>
  <si>
    <r>
      <t>kg/m</t>
    </r>
    <r>
      <rPr>
        <b/>
        <vertAlign val="superscript"/>
        <sz val="10"/>
        <rFont val="Arial"/>
        <family val="2"/>
      </rPr>
      <t>2</t>
    </r>
  </si>
  <si>
    <t>ROUND DUCT GAGE UNREINFORCED</t>
  </si>
  <si>
    <t>Nominal</t>
  </si>
  <si>
    <t>Minimum</t>
  </si>
  <si>
    <r>
      <t>kg/m</t>
    </r>
    <r>
      <rPr>
        <b/>
        <vertAlign val="superscript"/>
        <sz val="11"/>
        <rFont val="Times New Roman"/>
        <family val="1"/>
      </rPr>
      <t>2</t>
    </r>
  </si>
  <si>
    <t>Gage</t>
  </si>
  <si>
    <t>POSITIVE PRESSURE</t>
  </si>
  <si>
    <t>MAXIMUM</t>
  </si>
  <si>
    <t>+2" (500 Pa)</t>
  </si>
  <si>
    <t>+4" (1000 Pa)</t>
  </si>
  <si>
    <t>+10" (2500 Pa)</t>
  </si>
  <si>
    <t>DIAMETER</t>
  </si>
  <si>
    <t>Spiral</t>
  </si>
  <si>
    <t>Long.</t>
  </si>
  <si>
    <t>Seam</t>
  </si>
  <si>
    <t xml:space="preserve"> up to 150</t>
  </si>
  <si>
    <t>151-200</t>
  </si>
  <si>
    <t>201-250</t>
  </si>
  <si>
    <t>251-300</t>
  </si>
  <si>
    <t>301-350</t>
  </si>
  <si>
    <t>351-400</t>
  </si>
  <si>
    <t>401-450</t>
  </si>
  <si>
    <t>19-26"</t>
  </si>
  <si>
    <t>451-650</t>
  </si>
  <si>
    <t>27-36"</t>
  </si>
  <si>
    <t>651-900</t>
  </si>
  <si>
    <t>37-50"</t>
  </si>
  <si>
    <t>901-1250</t>
  </si>
  <si>
    <t>51-60"</t>
  </si>
  <si>
    <t>1251-1500</t>
  </si>
  <si>
    <t>1. Minimum thickness is based on thickness tolerances of hot-dip galvanised sheets in cut length and coils (per ASTM standard A525-80). Tolerance is valid for 1220 and 1520-mm wide sheets.</t>
  </si>
  <si>
    <t>61-84"</t>
  </si>
  <si>
    <t xml:space="preserve">1501-2100 </t>
  </si>
  <si>
    <t>2. Galvanised sheet gauge is used for convenience. A metric series would conform to ANSI Standard B32.3, and the tolerances in ASTM Standard A5225M apply.</t>
  </si>
  <si>
    <t>Uncoated Steel Sheet Thickness</t>
  </si>
  <si>
    <t>Mass</t>
  </si>
  <si>
    <t>Duct Pressure Class</t>
  </si>
  <si>
    <t>Operating Pressure</t>
  </si>
  <si>
    <t>Hot-Rolled</t>
  </si>
  <si>
    <t>Cold-Rolled</t>
  </si>
  <si>
    <t>in</t>
  </si>
  <si>
    <t>pa</t>
  </si>
  <si>
    <t xml:space="preserve">up to </t>
  </si>
  <si>
    <t xml:space="preserve">Max Width (Inch) </t>
  </si>
  <si>
    <t xml:space="preserve">Distance Between Hangers (m) </t>
  </si>
  <si>
    <t xml:space="preserve">Rod Diameter (mm) </t>
  </si>
  <si>
    <t xml:space="preserve">25x25x2 </t>
  </si>
  <si>
    <t>ALUMINUM SHEET THICKNESS-ALLOY 3003-H14</t>
  </si>
  <si>
    <t xml:space="preserve">35x35x2.5 </t>
  </si>
  <si>
    <t>Rectangular Size</t>
  </si>
  <si>
    <t>Round Size</t>
  </si>
  <si>
    <t>Thicknesses in Inches</t>
  </si>
  <si>
    <t>Thicknesses in Millimeters</t>
  </si>
  <si>
    <t xml:space="preserve">35x35x3 </t>
  </si>
  <si>
    <t>up to 12 in</t>
  </si>
  <si>
    <t>Tolerance</t>
  </si>
  <si>
    <t xml:space="preserve">40x40x3 </t>
  </si>
  <si>
    <t>13 to 30 in</t>
  </si>
  <si>
    <t>48" &amp; (60")</t>
  </si>
  <si>
    <t xml:space="preserve">50x50x5 </t>
  </si>
  <si>
    <t>31 to 42 in</t>
  </si>
  <si>
    <t>1. Minimum thickness is based on thickness tolerances of hot-rolled and cold-rolled sheets in cut length and coils (per ASTM Standards A366, A568, and A569).</t>
  </si>
  <si>
    <t>Width</t>
  </si>
  <si>
    <r>
      <t>lb/ft</t>
    </r>
    <r>
      <rPr>
        <b/>
        <vertAlign val="superscript"/>
        <sz val="10"/>
        <rFont val="Arial"/>
        <family val="2"/>
      </rPr>
      <t>2</t>
    </r>
  </si>
  <si>
    <r>
      <t>Kg/m</t>
    </r>
    <r>
      <rPr>
        <b/>
        <vertAlign val="superscript"/>
        <sz val="10"/>
        <rFont val="Arial"/>
        <family val="2"/>
      </rPr>
      <t>2</t>
    </r>
  </si>
  <si>
    <t>43 to 60 in</t>
  </si>
  <si>
    <t>2. Table is based on 1220-mm width coil and sheet stock. 1520-mm coil has same tolerance, except that 16 gauge is +/- 0.18-mm in hot-rolled coils and sheets</t>
  </si>
  <si>
    <t>61 in and over</t>
  </si>
  <si>
    <t>3. Manufacturer's standard gauge is used for convenience. A metric series would conform to ANSI Standard B32.3, and the tolerances in ASTM Standard A568M apply</t>
  </si>
  <si>
    <t>(0.003)</t>
  </si>
  <si>
    <t xml:space="preserve">G. Steel (gauge) </t>
  </si>
  <si>
    <t xml:space="preserve">Al (gauge) </t>
  </si>
  <si>
    <t xml:space="preserve"> Round Duct </t>
  </si>
  <si>
    <t>Stainless Steel Sheet Thickness</t>
  </si>
  <si>
    <r>
      <t>Nominal Mass, kg/m</t>
    </r>
    <r>
      <rPr>
        <b/>
        <vertAlign val="superscript"/>
        <sz val="11"/>
        <rFont val="Times New Roman"/>
        <family val="1"/>
      </rPr>
      <t>2</t>
    </r>
  </si>
  <si>
    <t>300 Series</t>
  </si>
  <si>
    <t>400 Series</t>
  </si>
  <si>
    <t>Dimension</t>
  </si>
  <si>
    <t>(0.0035)</t>
  </si>
  <si>
    <t>(0.0045)</t>
  </si>
  <si>
    <t>(0.005)</t>
  </si>
  <si>
    <t>(0.006)</t>
  </si>
  <si>
    <t>(0.007)</t>
  </si>
  <si>
    <t>Fan Schedule</t>
  </si>
  <si>
    <t>Penetrations</t>
  </si>
  <si>
    <t>Misc Part Uplift</t>
  </si>
  <si>
    <t>Install Cost (hrs)</t>
  </si>
  <si>
    <t>CFM</t>
  </si>
  <si>
    <t>Size (S/L/E)</t>
  </si>
  <si>
    <t>Other Cost</t>
  </si>
  <si>
    <t>Roof</t>
  </si>
  <si>
    <t>Wall (Concrete)</t>
  </si>
  <si>
    <t>Penetrations ($)</t>
  </si>
  <si>
    <t>Labor (Input)</t>
  </si>
  <si>
    <t>Labor (Table)</t>
  </si>
  <si>
    <t>Labor Final</t>
  </si>
  <si>
    <t>Roof Penetration ($)</t>
  </si>
  <si>
    <t>Fan Type</t>
  </si>
  <si>
    <t>Do Not Erase</t>
  </si>
  <si>
    <t>Enormous</t>
  </si>
  <si>
    <t>HVLS (Big Ass)</t>
  </si>
  <si>
    <t>Wall Penetration ($)</t>
  </si>
  <si>
    <t>Ceiling (Standard)</t>
  </si>
  <si>
    <t>Ceiling Exhaust</t>
  </si>
  <si>
    <t>Inline Exhaust</t>
  </si>
  <si>
    <t>Roof Mounted</t>
  </si>
  <si>
    <t>Shop Exhaust</t>
  </si>
  <si>
    <t>Louvers and Fire Damper Schedule</t>
  </si>
  <si>
    <t>Louvers</t>
  </si>
  <si>
    <t>Size (x*x) in.</t>
  </si>
  <si>
    <t>Louver Type</t>
  </si>
  <si>
    <t>Hurricane</t>
  </si>
  <si>
    <t>Standard Aluminum</t>
  </si>
  <si>
    <t>Fire Dampers</t>
  </si>
  <si>
    <t>Penetrations (Not used)</t>
  </si>
  <si>
    <t>Standard</t>
  </si>
  <si>
    <t>Diffuser Schedule</t>
  </si>
  <si>
    <t>Price Per Unit</t>
  </si>
  <si>
    <t>Misc Materials</t>
  </si>
  <si>
    <t>GRD</t>
  </si>
  <si>
    <t>Rate ($/hr)</t>
  </si>
  <si>
    <t>Sheet Rock</t>
  </si>
  <si>
    <t>Quoted Price</t>
  </si>
  <si>
    <t>Price (Est.)</t>
  </si>
  <si>
    <t>Frame Price</t>
  </si>
  <si>
    <t>Labor/Unit</t>
  </si>
  <si>
    <t>Count</t>
  </si>
  <si>
    <t>Install (hrs)</t>
  </si>
  <si>
    <t>Square &gt;24*24 (&gt;576 sq. in)</t>
  </si>
  <si>
    <t>Square =24*24 (576 sq. in)</t>
  </si>
  <si>
    <t>Square &gt;12*12 (&gt;144 sq. in)</t>
  </si>
  <si>
    <t>Square =12*12 (144 sq. in)</t>
  </si>
  <si>
    <t>Square &lt;12*12 (&lt;144 sq. in)</t>
  </si>
  <si>
    <t>Slot =48" (4')</t>
  </si>
  <si>
    <t>Slot =24" (2')</t>
  </si>
  <si>
    <t>Materials Orders Template</t>
  </si>
  <si>
    <t>Remaining</t>
  </si>
  <si>
    <t>Orders</t>
  </si>
  <si>
    <t>Order 1</t>
  </si>
  <si>
    <t>Order 2</t>
  </si>
  <si>
    <t>Order 3</t>
  </si>
  <si>
    <t>Order 4</t>
  </si>
  <si>
    <t>Order 5</t>
  </si>
  <si>
    <t>Order 6</t>
  </si>
  <si>
    <t>Order 7</t>
  </si>
  <si>
    <t>Order 8</t>
  </si>
  <si>
    <t>Order 9</t>
  </si>
  <si>
    <t>Order 10</t>
  </si>
  <si>
    <t>Order 11</t>
  </si>
  <si>
    <t>Order 12</t>
  </si>
  <si>
    <t>Order 13</t>
  </si>
  <si>
    <t>Order 14</t>
  </si>
  <si>
    <t>Order 15</t>
  </si>
  <si>
    <t>Order 16</t>
  </si>
  <si>
    <t>Order 17</t>
  </si>
  <si>
    <t>Order 18</t>
  </si>
  <si>
    <t>Order 19</t>
  </si>
  <si>
    <t>Order 20</t>
  </si>
  <si>
    <t>AC Units</t>
  </si>
  <si>
    <t>Units</t>
  </si>
  <si>
    <t>Total Quant</t>
  </si>
  <si>
    <t>Unit Pricing</t>
  </si>
  <si>
    <t>Total Pricing</t>
  </si>
  <si>
    <t>(Qty)</t>
  </si>
  <si>
    <t>Total Ordered (Qty)</t>
  </si>
  <si>
    <t>Spend ($)</t>
  </si>
  <si>
    <t>Qty</t>
  </si>
  <si>
    <t>Price</t>
  </si>
  <si>
    <t>Total ($)</t>
  </si>
  <si>
    <t>Supplier</t>
  </si>
  <si>
    <t>Order Date</t>
  </si>
  <si>
    <t>Recieved</t>
  </si>
  <si>
    <t>ton</t>
  </si>
  <si>
    <t>Total Project Pricing ($)</t>
  </si>
  <si>
    <t>Copper</t>
  </si>
  <si>
    <t>Armaflex</t>
  </si>
  <si>
    <t>3/4" x 3/4"</t>
  </si>
  <si>
    <t>Titan</t>
  </si>
  <si>
    <t>3/4" * 3/4"</t>
  </si>
  <si>
    <t>Tape 557</t>
  </si>
  <si>
    <t>Cnt</t>
  </si>
  <si>
    <t>Tape UV</t>
  </si>
  <si>
    <t>Cond. Stands</t>
  </si>
  <si>
    <t>Dog House</t>
  </si>
  <si>
    <t>Refrigerant</t>
  </si>
  <si>
    <t>lbs</t>
  </si>
  <si>
    <t>Stat Box</t>
  </si>
  <si>
    <t>OA Controller</t>
  </si>
  <si>
    <t>Condensate</t>
  </si>
  <si>
    <t>System</t>
  </si>
  <si>
    <t>Cond. Fittings</t>
  </si>
  <si>
    <t>Cond. Ins.</t>
  </si>
  <si>
    <t>KEF</t>
  </si>
  <si>
    <t>KEF CRD</t>
  </si>
  <si>
    <t>TEF</t>
  </si>
  <si>
    <t>TEF CRD</t>
  </si>
  <si>
    <t>Dryer Box</t>
  </si>
  <si>
    <t>Dryer CRD</t>
  </si>
  <si>
    <t>Patio Box</t>
  </si>
  <si>
    <t>PB CRD</t>
  </si>
  <si>
    <t>TM</t>
  </si>
  <si>
    <t>PB Grill</t>
  </si>
  <si>
    <t>Vent Caps</t>
  </si>
  <si>
    <t>Pipe 1</t>
  </si>
  <si>
    <t>U</t>
  </si>
  <si>
    <t>Pipe 2</t>
  </si>
  <si>
    <t>5"</t>
  </si>
  <si>
    <t>Pipe 3</t>
  </si>
  <si>
    <t>Whye</t>
  </si>
  <si>
    <t>Elbow 1</t>
  </si>
  <si>
    <t>Elbow 2</t>
  </si>
  <si>
    <t>Elbow 3</t>
  </si>
  <si>
    <t>Hangar Strap</t>
  </si>
  <si>
    <t>Rolls</t>
  </si>
  <si>
    <t>Sealant Ext</t>
  </si>
  <si>
    <t>Tubes</t>
  </si>
  <si>
    <t>Ducting</t>
  </si>
  <si>
    <t>Ductboard</t>
  </si>
  <si>
    <t>Total Sheets</t>
  </si>
  <si>
    <t>R6 Sheets</t>
  </si>
  <si>
    <t>R8 Sheets</t>
  </si>
  <si>
    <t>R6 Total Project Pricing ($)</t>
  </si>
  <si>
    <t>R8 Total Project Pricing ($)</t>
  </si>
  <si>
    <t>Duct CRD's</t>
  </si>
  <si>
    <t>Size 1 (in*in)</t>
  </si>
  <si>
    <t>(S) 14*6</t>
  </si>
  <si>
    <t>Size 2 (in*in)</t>
  </si>
  <si>
    <t>(S) 12*6</t>
  </si>
  <si>
    <t>Size 3 (in*in)</t>
  </si>
  <si>
    <t>(S) 10*6</t>
  </si>
  <si>
    <t>Size 4 (in*in)</t>
  </si>
  <si>
    <t>(S) 8*6</t>
  </si>
  <si>
    <t>Size 5 (in*in)</t>
  </si>
  <si>
    <t>(S) 8*4</t>
  </si>
  <si>
    <t>Size 6 (in*in)</t>
  </si>
  <si>
    <t>12*12</t>
  </si>
  <si>
    <t>Size 7 (in*in)</t>
  </si>
  <si>
    <t>Size 8 (in*in)</t>
  </si>
  <si>
    <t>Size 9 (in*in)</t>
  </si>
  <si>
    <t>Size 10 (in*in)</t>
  </si>
  <si>
    <t>Size 11 (in*in)</t>
  </si>
  <si>
    <t>Size 12 (in*in)</t>
  </si>
  <si>
    <t>Size 13 (in*in)</t>
  </si>
  <si>
    <t>Size 14 (in*in)</t>
  </si>
  <si>
    <t>Size 15 (in*in)</t>
  </si>
  <si>
    <t>Access Door</t>
  </si>
  <si>
    <t>Flex Length</t>
  </si>
  <si>
    <t>Size 1 (in)</t>
  </si>
  <si>
    <t>4</t>
  </si>
  <si>
    <t>R6 Ft</t>
  </si>
  <si>
    <t>Size 2 (in)</t>
  </si>
  <si>
    <t>5</t>
  </si>
  <si>
    <t>Size 3 (in)</t>
  </si>
  <si>
    <t>6</t>
  </si>
  <si>
    <t>Size 4 (in)</t>
  </si>
  <si>
    <t>7</t>
  </si>
  <si>
    <t>Size 5 (in)</t>
  </si>
  <si>
    <t>8</t>
  </si>
  <si>
    <t>Size 6 (in)</t>
  </si>
  <si>
    <t>9</t>
  </si>
  <si>
    <t>Size 7 (in)</t>
  </si>
  <si>
    <t>10</t>
  </si>
  <si>
    <t>Size 8 (in)</t>
  </si>
  <si>
    <t>12</t>
  </si>
  <si>
    <t>Size 9 (in)</t>
  </si>
  <si>
    <t>14</t>
  </si>
  <si>
    <t>Size 10 (in)</t>
  </si>
  <si>
    <t>16</t>
  </si>
  <si>
    <t>Size 11 (in)</t>
  </si>
  <si>
    <t>18</t>
  </si>
  <si>
    <t>R8 Ft</t>
  </si>
  <si>
    <t>Pookie</t>
  </si>
  <si>
    <t>Buckets</t>
  </si>
  <si>
    <t>Fire Caulk</t>
  </si>
  <si>
    <t>DB Tape</t>
  </si>
  <si>
    <t>Panduits</t>
  </si>
  <si>
    <t>Flex Tape</t>
  </si>
  <si>
    <t>1.5"</t>
  </si>
  <si>
    <t>Collars</t>
  </si>
  <si>
    <t>Supply Grills</t>
  </si>
  <si>
    <t>14*6</t>
  </si>
  <si>
    <t>12*6</t>
  </si>
  <si>
    <t>10*6</t>
  </si>
  <si>
    <t>8*6</t>
  </si>
  <si>
    <t>8*4</t>
  </si>
  <si>
    <t>Ret Grills</t>
  </si>
  <si>
    <t>24*12</t>
  </si>
  <si>
    <t>30*10</t>
  </si>
  <si>
    <t>30*12</t>
  </si>
  <si>
    <t>30*14</t>
  </si>
  <si>
    <t>24*14</t>
  </si>
  <si>
    <t>30x20</t>
  </si>
  <si>
    <t>Supply Boxes</t>
  </si>
  <si>
    <t>Miscellanous</t>
  </si>
  <si>
    <t>Other Items</t>
  </si>
  <si>
    <t>Project:</t>
  </si>
  <si>
    <t>Gray cells w/ blue text are data input cells</t>
  </si>
  <si>
    <t>Apartment Count</t>
  </si>
  <si>
    <t>Bldg/Sect</t>
  </si>
  <si>
    <t>AM1</t>
  </si>
  <si>
    <t>AM2</t>
  </si>
  <si>
    <t>AE1</t>
  </si>
  <si>
    <t>AE2</t>
  </si>
  <si>
    <t>B1</t>
  </si>
  <si>
    <t>B2</t>
  </si>
  <si>
    <t>B3</t>
  </si>
  <si>
    <t>B4</t>
  </si>
  <si>
    <t>BS1</t>
  </si>
  <si>
    <t>D1</t>
  </si>
  <si>
    <t>D2</t>
  </si>
  <si>
    <t>E1</t>
  </si>
  <si>
    <t>F1</t>
  </si>
  <si>
    <t>F2</t>
  </si>
  <si>
    <t>H1</t>
  </si>
  <si>
    <t>H2</t>
  </si>
  <si>
    <t>D</t>
  </si>
  <si>
    <t>Unit Size (Tons)</t>
  </si>
  <si>
    <t>AC Systems</t>
  </si>
  <si>
    <t>Aptmt Count</t>
  </si>
  <si>
    <t>Unit Qnty</t>
  </si>
  <si>
    <t>Apartment Floors</t>
  </si>
  <si>
    <t>U - 1</t>
  </si>
  <si>
    <t>U - 2</t>
  </si>
  <si>
    <t>D - 1</t>
  </si>
  <si>
    <t>D - 2</t>
  </si>
  <si>
    <t>Dn</t>
  </si>
  <si>
    <t>Up</t>
  </si>
  <si>
    <t>E</t>
  </si>
  <si>
    <t>2,2</t>
  </si>
  <si>
    <t>2,2.5</t>
  </si>
  <si>
    <t>Door Width:</t>
  </si>
  <si>
    <t>Scale factor:</t>
  </si>
  <si>
    <t>Apartment Unit Details</t>
  </si>
  <si>
    <t>APARTPMENT MATERIALS</t>
  </si>
  <si>
    <t>Apartment Counts</t>
  </si>
  <si>
    <t>Up Units</t>
  </si>
  <si>
    <t>Down Units</t>
  </si>
  <si>
    <t>AC Systems/Unit</t>
  </si>
  <si>
    <t>AC U1 (Calc)</t>
  </si>
  <si>
    <t>Disc. Price</t>
  </si>
  <si>
    <t>Max Disc</t>
  </si>
  <si>
    <t>Building Height Variables</t>
  </si>
  <si>
    <t>Floors</t>
  </si>
  <si>
    <t>Avg CU-ACU Dist (Ft)</t>
  </si>
  <si>
    <t>410A (lbs)</t>
  </si>
  <si>
    <t>AC U2 (Calc)</t>
  </si>
  <si>
    <t>CU Roof Insulation Length</t>
  </si>
  <si>
    <t>Condensate PVC Length</t>
  </si>
  <si>
    <t>Condensate Fittings</t>
  </si>
  <si>
    <t>Thermostat Distance</t>
  </si>
  <si>
    <t>Hangar Strap/ 100 Ft of Pipe</t>
  </si>
  <si>
    <t>Copper Waste</t>
  </si>
  <si>
    <t>%</t>
  </si>
  <si>
    <t>Ductboard Waste</t>
  </si>
  <si>
    <t>AC D1 (Calc)</t>
  </si>
  <si>
    <t>Ductboard Size</t>
  </si>
  <si>
    <t>Ft^2</t>
  </si>
  <si>
    <t>Pookie Buckets/Ductboard Sheet</t>
  </si>
  <si>
    <t>Ratio</t>
  </si>
  <si>
    <t>Ductboard 2.5" Tape/DB Shhet</t>
  </si>
  <si>
    <t>Fire Caulk Units/Bucket</t>
  </si>
  <si>
    <t>Ivy</t>
  </si>
  <si>
    <t>23 hrs/unit duct rough</t>
  </si>
  <si>
    <t>External Sealant per Vent Cap</t>
  </si>
  <si>
    <t>10.5 hrs unit total</t>
  </si>
  <si>
    <t>Armaflex 557 tape to Ins. rolls/Ft</t>
  </si>
  <si>
    <t>1.25 hrs for unit trim</t>
  </si>
  <si>
    <t>UV tape rolls to Titan rolls/Ft</t>
  </si>
  <si>
    <t>0.75 hr/cap</t>
  </si>
  <si>
    <t>Flex Tape Rolls per Duct Run</t>
  </si>
  <si>
    <t>1 hr/unit organization</t>
  </si>
  <si>
    <t>AC D2 (Calc)</t>
  </si>
  <si>
    <t>Stat to Air Handler Dist</t>
  </si>
  <si>
    <t>Flex Runs per Roll of Flex Tape</t>
  </si>
  <si>
    <t>2.0 hrs logistics/support</t>
  </si>
  <si>
    <t>Labor AC Units</t>
  </si>
  <si>
    <t>Time (hrs)</t>
  </si>
  <si>
    <t>Sleeper Instalaltion</t>
  </si>
  <si>
    <t>Postion Condenser</t>
  </si>
  <si>
    <t>Position Air handler</t>
  </si>
  <si>
    <t>AC UP Final (Calc)</t>
  </si>
  <si>
    <t>Copper/Insulation Run</t>
  </si>
  <si>
    <t>Brazing units</t>
  </si>
  <si>
    <t>Stat Wire to Stat</t>
  </si>
  <si>
    <t>Fresh air install</t>
  </si>
  <si>
    <t>Condensate/Float</t>
  </si>
  <si>
    <t>Pressure Test / Vacuum</t>
  </si>
  <si>
    <t>Startup</t>
  </si>
  <si>
    <t>AC DN Final (Calc)</t>
  </si>
  <si>
    <t>Rough In Total</t>
  </si>
  <si>
    <t>Trim/Startup</t>
  </si>
  <si>
    <t>Labor Vent Pipe/Fresh Air</t>
  </si>
  <si>
    <t>Exhaust Fan Install (hrs/cnt)</t>
  </si>
  <si>
    <t>Dryer Box Install (hrs/cnt)</t>
  </si>
  <si>
    <t>Patio Box Install (hrs/cnt)</t>
  </si>
  <si>
    <t>Exterior Penetrations + cap (hrs/cnt)</t>
  </si>
  <si>
    <t>SM</t>
  </si>
  <si>
    <t>Single Unit Prcing ($)</t>
  </si>
  <si>
    <t>Pipe Install (hrs/ft)</t>
  </si>
  <si>
    <t>Copper (Calc)(Man)</t>
  </si>
  <si>
    <t>Labor Ducting</t>
  </si>
  <si>
    <t>Ductboard (hrs/sheet)</t>
  </si>
  <si>
    <t>Flex (hrs/run)</t>
  </si>
  <si>
    <t>Copper Unit (Manual)</t>
  </si>
  <si>
    <t>Grill Boxes (hrs/box)</t>
  </si>
  <si>
    <t>Grills (hrs/grill)</t>
  </si>
  <si>
    <t>Copper Unit (Final)</t>
  </si>
  <si>
    <t>Labor Other</t>
  </si>
  <si>
    <t>Logistics &amp; Support (hrs/unit)</t>
  </si>
  <si>
    <t>Planning &amp; Warranty (hrs/unit)</t>
  </si>
  <si>
    <t>Armaflex (Calc)(Man)</t>
  </si>
  <si>
    <t>Armaflex 1 (Manual)</t>
  </si>
  <si>
    <t>Armaflex  (Final)</t>
  </si>
  <si>
    <t>Titan Ins</t>
  </si>
  <si>
    <t>Titan 1 (Calc)(Man)</t>
  </si>
  <si>
    <t>Titan 1 (Manual)</t>
  </si>
  <si>
    <t>Titan 1 (Final)</t>
  </si>
  <si>
    <t>Ins Tape (Final)</t>
  </si>
  <si>
    <t>Titan Tape (Final)</t>
  </si>
  <si>
    <t>Sleeper (Final)</t>
  </si>
  <si>
    <t>Dog House (Final)</t>
  </si>
  <si>
    <t>410A (Final)</t>
  </si>
  <si>
    <t>Roughin broken into 1/3rds</t>
  </si>
  <si>
    <t>Labor Unit  R</t>
  </si>
  <si>
    <t>Labor Rough (Final)</t>
  </si>
  <si>
    <t>Total is 23 hrs of duct rough in</t>
  </si>
  <si>
    <t>hrs</t>
  </si>
  <si>
    <t>SL</t>
  </si>
  <si>
    <t>TL</t>
  </si>
  <si>
    <t>Labor Unit  T</t>
  </si>
  <si>
    <t>Labor Trim (Final)</t>
  </si>
  <si>
    <t>Stat (Final)</t>
  </si>
  <si>
    <t>Logistics/manufacturing 2 hrs/unit</t>
  </si>
  <si>
    <t>Wire (Final)</t>
  </si>
  <si>
    <t>Stat Box (Final)</t>
  </si>
  <si>
    <t>Controller (Final)</t>
  </si>
  <si>
    <t>Float (Final)</t>
  </si>
  <si>
    <t>PVC (Final)</t>
  </si>
  <si>
    <t>Fittings (Final)</t>
  </si>
  <si>
    <t>Insulation (Final)</t>
  </si>
  <si>
    <t>KEF (Final)</t>
  </si>
  <si>
    <t>CRD (Final)</t>
  </si>
  <si>
    <t>TEF (Final)</t>
  </si>
  <si>
    <t>DB (Final)</t>
  </si>
  <si>
    <t>Box (Final)</t>
  </si>
  <si>
    <t>Grill (Final)</t>
  </si>
  <si>
    <t>Caps (Manual)</t>
  </si>
  <si>
    <t>4" (Final)</t>
  </si>
  <si>
    <t>5" (Final)</t>
  </si>
  <si>
    <t>6" (Final)</t>
  </si>
  <si>
    <t>Y (Final)</t>
  </si>
  <si>
    <t>Strap (Final)</t>
  </si>
  <si>
    <t>Sealant (Final)</t>
  </si>
  <si>
    <t>Labor Unit  R/T</t>
  </si>
  <si>
    <t>Labor Rough/Trim (Final)</t>
  </si>
  <si>
    <t>Duct (Manual)</t>
  </si>
  <si>
    <t>14*12</t>
  </si>
  <si>
    <t>Len (U)</t>
  </si>
  <si>
    <t>14*14</t>
  </si>
  <si>
    <t>20*12</t>
  </si>
  <si>
    <t>10*12</t>
  </si>
  <si>
    <t>16*8</t>
  </si>
  <si>
    <t>14*10</t>
  </si>
  <si>
    <t>16*10</t>
  </si>
  <si>
    <t>10*8</t>
  </si>
  <si>
    <t>Size C (in*in)</t>
  </si>
  <si>
    <t>20*20</t>
  </si>
  <si>
    <t>Len (ft)</t>
  </si>
  <si>
    <t>Duct (Calc)</t>
  </si>
  <si>
    <t>Sheets</t>
  </si>
  <si>
    <t>Duct (Final)</t>
  </si>
  <si>
    <t>R6 Single Unit Prcing ($)</t>
  </si>
  <si>
    <t>R8 Single Unit Prcing ($)</t>
  </si>
  <si>
    <t>CRDs (Final)</t>
  </si>
  <si>
    <t>Includes CRD's For OA, AC trunkline, and supply boxes</t>
  </si>
  <si>
    <t>Doors (Final)</t>
  </si>
  <si>
    <t>Flex Runs</t>
  </si>
  <si>
    <t>Flex Runs (Final)</t>
  </si>
  <si>
    <t>Flex Length (Final)</t>
  </si>
  <si>
    <t>R6 Bags / Unit</t>
  </si>
  <si>
    <t>R6 Bags Total</t>
  </si>
  <si>
    <t>R8 Bags / Unit</t>
  </si>
  <si>
    <t>R8 Bags Total</t>
  </si>
  <si>
    <t>Whye (Final)</t>
  </si>
  <si>
    <t>Misc.</t>
  </si>
  <si>
    <t>Pookie (Final)</t>
  </si>
  <si>
    <t>Caulk (Final)</t>
  </si>
  <si>
    <t>Tape (Final)</t>
  </si>
  <si>
    <t>Panduits (Final)</t>
  </si>
  <si>
    <t>Tape 1.5" (Final)</t>
  </si>
  <si>
    <t>Collars (Final)</t>
  </si>
  <si>
    <t>S Grills (Final)(Man)</t>
  </si>
  <si>
    <t>R Grills (Final)</t>
  </si>
  <si>
    <t>S Grills (Final)</t>
  </si>
  <si>
    <t>Other (Manual)</t>
  </si>
  <si>
    <t>Lab. Log/Supp</t>
  </si>
  <si>
    <t>Labor Support (Final)</t>
  </si>
  <si>
    <t>Lab. Plan/Warr</t>
  </si>
  <si>
    <t>Labor Plan/Warr (Final)</t>
  </si>
  <si>
    <t>PRICE SUMMARY</t>
  </si>
  <si>
    <t>Material + Labor</t>
  </si>
  <si>
    <t>Anc Mat Rate</t>
  </si>
  <si>
    <t>MF DUCT BOARD &amp; FLEX</t>
  </si>
  <si>
    <t>DB Waste Rate</t>
  </si>
  <si>
    <t>Tag</t>
  </si>
  <si>
    <t>MEAS LEN (mm)</t>
  </si>
  <si>
    <t>CRD ("x")</t>
  </si>
  <si>
    <t>Adj. Width (in)</t>
  </si>
  <si>
    <t>Adj. Height (in)</t>
  </si>
  <si>
    <t>DB Total</t>
  </si>
  <si>
    <t>DB Sheets</t>
  </si>
  <si>
    <t>DB Cost</t>
  </si>
  <si>
    <t>DB Build Cost</t>
  </si>
  <si>
    <t>DB Install</t>
  </si>
  <si>
    <t>Flex Duct</t>
  </si>
  <si>
    <t>Flex Labor</t>
  </si>
  <si>
    <t>CRD</t>
  </si>
  <si>
    <t>S/R Plenum</t>
  </si>
  <si>
    <t>Anc. Mat</t>
  </si>
  <si>
    <t>Flex duct sizes(in)</t>
  </si>
  <si>
    <t>Flex duct costs($/ft)</t>
  </si>
  <si>
    <t>Collar Cost</t>
  </si>
  <si>
    <t>Supply/Return Plenum Cost</t>
  </si>
  <si>
    <t>CRD Cost (Round)</t>
  </si>
  <si>
    <t>CRD Cost (Square)</t>
  </si>
  <si>
    <t>Ductboard Cost/Sht (R8)</t>
  </si>
  <si>
    <t>DB Manufacture Labor Time (Sht/hr)</t>
  </si>
  <si>
    <t>14*8</t>
  </si>
  <si>
    <t>DB Onsite Build Labor Rate (Shts/hr)</t>
  </si>
  <si>
    <t>DB Build Profit (Sht/hr)</t>
  </si>
  <si>
    <t>DB Install Labor (Shts/Hr)</t>
  </si>
  <si>
    <t>DB/Flex Labor Rate ($/hr)</t>
  </si>
  <si>
    <t>Base Flex run time (hours)</t>
  </si>
  <si>
    <t>Time bonus per foot</t>
  </si>
  <si>
    <t>16*14</t>
  </si>
  <si>
    <t>16*12</t>
  </si>
  <si>
    <t>12*8</t>
  </si>
  <si>
    <t>16*16</t>
  </si>
  <si>
    <t>12*10</t>
  </si>
  <si>
    <t>Materials Pricing</t>
  </si>
  <si>
    <t>Select</t>
  </si>
  <si>
    <t>Brand</t>
  </si>
  <si>
    <t>Ref Date</t>
  </si>
  <si>
    <t>100 Ft</t>
  </si>
  <si>
    <t>6 Ft</t>
  </si>
  <si>
    <t>Roll</t>
  </si>
  <si>
    <t>Bottle</t>
  </si>
  <si>
    <t>Rate/Hr</t>
  </si>
  <si>
    <t>Thermostat 1</t>
  </si>
  <si>
    <t>Thermostat 2</t>
  </si>
  <si>
    <t>Sensor</t>
  </si>
  <si>
    <t>250 Ft Roll</t>
  </si>
  <si>
    <t>Mot. Damper</t>
  </si>
  <si>
    <t>3/4" 10 Ft Stick</t>
  </si>
  <si>
    <t>3/4" Unit</t>
  </si>
  <si>
    <t>1 1/8" x 1/2"</t>
  </si>
  <si>
    <t xml:space="preserve">4" </t>
  </si>
  <si>
    <t>10 Ft</t>
  </si>
  <si>
    <t>5 Ft</t>
  </si>
  <si>
    <t>Tube</t>
  </si>
  <si>
    <t>4'10'</t>
  </si>
  <si>
    <t>R 6 Sheet</t>
  </si>
  <si>
    <t>R 8 Sheet</t>
  </si>
  <si>
    <t>10*10</t>
  </si>
  <si>
    <t>18*18</t>
  </si>
  <si>
    <t>8*8</t>
  </si>
  <si>
    <t>(S) 14*8</t>
  </si>
  <si>
    <t>Size 16 (in*in)</t>
  </si>
  <si>
    <t>Size 17 (in*in)</t>
  </si>
  <si>
    <t>Size 18 (in*in)</t>
  </si>
  <si>
    <t>Size 19 (in*in)</t>
  </si>
  <si>
    <t>Size 20 (in*in)</t>
  </si>
  <si>
    <t>8*10</t>
  </si>
  <si>
    <t>Size 21 (in*in)</t>
  </si>
  <si>
    <t>R 6 25' Bag</t>
  </si>
  <si>
    <t>R 8 25' Bag</t>
  </si>
  <si>
    <t>1 Gal</t>
  </si>
  <si>
    <t>Bucket</t>
  </si>
  <si>
    <t>5 Gal</t>
  </si>
  <si>
    <t>181 2.5"</t>
  </si>
  <si>
    <t>50 pc</t>
  </si>
  <si>
    <t>bag</t>
  </si>
  <si>
    <t>16x16</t>
  </si>
  <si>
    <t>30x10</t>
  </si>
  <si>
    <t>Contingency</t>
  </si>
  <si>
    <t>$/hr</t>
  </si>
  <si>
    <t>Can we have a checkbox on the duct page to selevt for drops?</t>
  </si>
  <si>
    <t>need double walled duct option in addition to int &amp; 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</si>
</sst>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44" formatCode="_(&quot;$&quot;* #,##0.00_);_(&quot;$&quot;* \(#,##0.00\);_(&quot;$&quot;* &quot;-&quot;??_);_(@_)"/>
    <numFmt numFmtId="43" formatCode="_(* #,##0.00_);_(* \(#,##0.00\);_(* &quot;-&quot;??_);_(@_)"/>
    <numFmt numFmtId="164" formatCode="0.0"/>
    <numFmt numFmtId="165" formatCode="&quot;$&quot;#,##0.00"/>
    <numFmt numFmtId="166" formatCode="&quot;$&quot;#,##0"/>
    <numFmt numFmtId="167" formatCode="&quot;$&quot;#,##0.0"/>
    <numFmt numFmtId="168" formatCode="0.0%"/>
    <numFmt numFmtId="169" formatCode="_(* #,##0_);_(* \(#,##0\);_(* &quot;-&quot;??_);_(@_)"/>
    <numFmt numFmtId="170" formatCode="0.0000"/>
    <numFmt numFmtId="171" formatCode="0.000"/>
    <numFmt numFmtId="172" formatCode="0.00000"/>
    <numFmt numFmtId="173" formatCode="0.00\ \ط\ن"/>
  </numFmts>
  <fonts count="53">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1"/>
      <color rgb="FF002060"/>
      <name val="Calibri"/>
      <family val="2"/>
      <scheme val="minor"/>
    </font>
    <font>
      <b/>
      <sz val="11"/>
      <color rgb="FF002060"/>
      <name val="Calibri"/>
      <family val="2"/>
      <scheme val="minor"/>
    </font>
    <font>
      <b/>
      <sz val="14"/>
      <color rgb="FF002060"/>
      <name val="Calibri"/>
      <family val="2"/>
      <scheme val="minor"/>
    </font>
    <font>
      <b/>
      <sz val="11"/>
      <color theme="0"/>
      <name val="Calibri"/>
      <family val="2"/>
      <scheme val="minor"/>
    </font>
    <font>
      <sz val="11"/>
      <color theme="0"/>
      <name val="Calibri"/>
      <family val="2"/>
      <scheme val="minor"/>
    </font>
    <font>
      <sz val="11"/>
      <color rgb="FF00B0F0"/>
      <name val="Calibri"/>
      <family val="2"/>
      <scheme val="minor"/>
    </font>
    <font>
      <b/>
      <sz val="13"/>
      <color theme="0"/>
      <name val="Calibri"/>
      <family val="2"/>
      <scheme val="minor"/>
    </font>
    <font>
      <sz val="11"/>
      <name val="Calibri"/>
      <family val="2"/>
      <scheme val="minor"/>
    </font>
    <font>
      <b/>
      <u/>
      <sz val="16"/>
      <color rgb="FF000000"/>
      <name val="Calibri"/>
      <family val="2"/>
      <scheme val="minor"/>
    </font>
    <font>
      <sz val="14"/>
      <color rgb="FFFF0000"/>
      <name val="Calibri"/>
      <family val="2"/>
      <scheme val="minor"/>
    </font>
    <font>
      <sz val="14"/>
      <color rgb="FF000000"/>
      <name val="Calibri"/>
      <family val="2"/>
      <scheme val="minor"/>
    </font>
    <font>
      <b/>
      <sz val="14"/>
      <color rgb="FF000000"/>
      <name val="Calibri"/>
      <family val="2"/>
      <scheme val="minor"/>
    </font>
    <font>
      <b/>
      <sz val="14"/>
      <color rgb="FFFF0000"/>
      <name val="Calibri"/>
      <family val="2"/>
      <scheme val="minor"/>
    </font>
    <font>
      <b/>
      <sz val="11"/>
      <name val="Calibri"/>
      <family val="2"/>
      <scheme val="minor"/>
    </font>
    <font>
      <sz val="11"/>
      <color theme="4" tint="-0.249977111117893"/>
      <name val="Calibri"/>
      <family val="2"/>
      <scheme val="minor"/>
    </font>
    <font>
      <i/>
      <sz val="11"/>
      <color theme="0" tint="-0.249977111117893"/>
      <name val="Calibri"/>
      <family val="2"/>
      <scheme val="minor"/>
    </font>
    <font>
      <i/>
      <sz val="11"/>
      <color rgb="FFFF0000"/>
      <name val="Calibri"/>
      <family val="2"/>
      <scheme val="minor"/>
    </font>
    <font>
      <b/>
      <sz val="12"/>
      <name val="Calibri"/>
      <family val="2"/>
      <scheme val="minor"/>
    </font>
    <font>
      <b/>
      <sz val="12"/>
      <color theme="0"/>
      <name val="Calibri"/>
      <family val="2"/>
      <scheme val="minor"/>
    </font>
    <font>
      <i/>
      <sz val="11"/>
      <color theme="1"/>
      <name val="Calibri"/>
      <family val="2"/>
      <scheme val="minor"/>
    </font>
    <font>
      <sz val="11"/>
      <color theme="4" tint="-0.499984740745262"/>
      <name val="Calibri"/>
      <family val="2"/>
      <scheme val="minor"/>
    </font>
    <font>
      <sz val="11"/>
      <color theme="3" tint="0.249977111117893"/>
      <name val="Calibri"/>
      <family val="2"/>
      <scheme val="minor"/>
    </font>
    <font>
      <sz val="11"/>
      <color theme="0" tint="-0.14999847407452621"/>
      <name val="Calibri"/>
      <family val="2"/>
      <scheme val="minor"/>
    </font>
    <font>
      <b/>
      <sz val="11"/>
      <color theme="3" tint="0.249977111117893"/>
      <name val="Calibri"/>
      <family val="2"/>
      <scheme val="minor"/>
    </font>
    <font>
      <b/>
      <sz val="13"/>
      <color theme="1"/>
      <name val="Calibri"/>
      <family val="2"/>
      <scheme val="minor"/>
    </font>
    <font>
      <sz val="11"/>
      <color theme="9" tint="-0.249977111117893"/>
      <name val="Calibri"/>
      <family val="2"/>
      <scheme val="minor"/>
    </font>
    <font>
      <b/>
      <sz val="11"/>
      <color theme="0" tint="-0.34998626667073579"/>
      <name val="Calibri"/>
      <family val="2"/>
      <scheme val="minor"/>
    </font>
    <font>
      <sz val="11"/>
      <color theme="0" tint="-0.34998626667073579"/>
      <name val="Calibri"/>
      <family val="2"/>
      <scheme val="minor"/>
    </font>
    <font>
      <b/>
      <sz val="11"/>
      <color theme="0" tint="-0.249977111117893"/>
      <name val="Calibri"/>
      <family val="2"/>
      <scheme val="minor"/>
    </font>
    <font>
      <sz val="11"/>
      <color theme="0" tint="-0.249977111117893"/>
      <name val="Calibri"/>
      <family val="2"/>
      <scheme val="minor"/>
    </font>
    <font>
      <sz val="11"/>
      <color theme="1" tint="4.9989318521683403E-2"/>
      <name val="Calibri"/>
      <family val="2"/>
      <scheme val="minor"/>
    </font>
    <font>
      <u/>
      <sz val="11"/>
      <color theme="10"/>
      <name val="Calibri"/>
      <family val="2"/>
      <scheme val="minor"/>
    </font>
    <font>
      <b/>
      <sz val="10"/>
      <name val="Arial"/>
      <family val="2"/>
    </font>
    <font>
      <b/>
      <sz val="11"/>
      <name val="Times New Roman"/>
      <family val="1"/>
    </font>
    <font>
      <b/>
      <vertAlign val="superscript"/>
      <sz val="10"/>
      <name val="Arial"/>
      <family val="2"/>
    </font>
    <font>
      <b/>
      <vertAlign val="superscript"/>
      <sz val="11"/>
      <name val="Times New Roman"/>
      <family val="1"/>
    </font>
    <font>
      <sz val="11"/>
      <name val="Times New Roman"/>
      <family val="1"/>
    </font>
    <font>
      <sz val="10"/>
      <name val="Arial"/>
      <family val="2"/>
    </font>
    <font>
      <i/>
      <sz val="8"/>
      <name val="Times New Roman"/>
      <family val="1"/>
    </font>
    <font>
      <sz val="9"/>
      <name val="Times New Roman"/>
      <family val="1"/>
    </font>
    <font>
      <sz val="8"/>
      <name val="Times New Roman"/>
      <family val="1"/>
    </font>
    <font>
      <sz val="12"/>
      <name val="Times New Roman"/>
      <family val="1"/>
    </font>
    <font>
      <sz val="11"/>
      <color rgb="FF000000"/>
      <name val="Comic Sans MS"/>
      <family val="4"/>
    </font>
    <font>
      <i/>
      <sz val="9"/>
      <name val="Times New Roman"/>
      <family val="1"/>
    </font>
    <font>
      <b/>
      <sz val="48"/>
      <color theme="1"/>
      <name val="Calibri"/>
      <family val="2"/>
      <scheme val="minor"/>
    </font>
    <font>
      <sz val="11"/>
      <color rgb="FFFF0000"/>
      <name val="Calibri"/>
      <family val="2"/>
      <charset val="178"/>
      <scheme val="minor"/>
    </font>
    <font>
      <b/>
      <vertAlign val="superscript"/>
      <sz val="14"/>
      <color theme="1"/>
      <name val="Calibri"/>
      <family val="2"/>
      <scheme val="minor"/>
    </font>
    <font>
      <sz val="12"/>
      <color rgb="FF000000"/>
      <name val="Arial"/>
      <family val="2"/>
    </font>
    <font>
      <b/>
      <vertAlign val="superscript"/>
      <sz val="11"/>
      <color theme="1"/>
      <name val="Calibri"/>
      <family val="2"/>
      <scheme val="minor"/>
    </font>
  </fonts>
  <fills count="31">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00FF00"/>
        <bgColor indexed="64"/>
      </patternFill>
    </fill>
    <fill>
      <patternFill patternType="solid">
        <fgColor theme="0" tint="-0.14999847407452621"/>
        <bgColor indexed="64"/>
      </patternFill>
    </fill>
    <fill>
      <patternFill patternType="solid">
        <fgColor rgb="FF0070C0"/>
        <bgColor indexed="64"/>
      </patternFill>
    </fill>
    <fill>
      <patternFill patternType="solid">
        <fgColor theme="9" tint="0.79998168889431442"/>
        <bgColor indexed="64"/>
      </patternFill>
    </fill>
    <fill>
      <patternFill patternType="solid">
        <fgColor rgb="FF00B0F0"/>
        <bgColor indexed="64"/>
      </patternFill>
    </fill>
    <fill>
      <patternFill patternType="solid">
        <fgColor rgb="FF002060"/>
        <bgColor indexed="64"/>
      </patternFill>
    </fill>
    <fill>
      <patternFill patternType="solid">
        <fgColor theme="2"/>
        <bgColor indexed="64"/>
      </patternFill>
    </fill>
    <fill>
      <patternFill patternType="solid">
        <fgColor rgb="FFD9D9D9"/>
        <bgColor rgb="FF000000"/>
      </patternFill>
    </fill>
    <fill>
      <patternFill patternType="solid">
        <fgColor rgb="FFFFFFFF"/>
        <bgColor rgb="FF000000"/>
      </patternFill>
    </fill>
    <fill>
      <patternFill patternType="solid">
        <fgColor rgb="FFF2DCDB"/>
        <bgColor rgb="FF000000"/>
      </patternFill>
    </fill>
    <fill>
      <patternFill patternType="solid">
        <fgColor rgb="FFDCE6F1"/>
        <bgColor rgb="FF000000"/>
      </patternFill>
    </fill>
    <fill>
      <patternFill patternType="solid">
        <fgColor rgb="FF92D05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4" tint="-0.499984740745262"/>
        <bgColor indexed="64"/>
      </patternFill>
    </fill>
    <fill>
      <patternFill patternType="solid">
        <fgColor theme="0"/>
        <bgColor indexed="64"/>
      </patternFill>
    </fill>
    <fill>
      <patternFill patternType="solid">
        <fgColor theme="3" tint="9.9978637043366805E-2"/>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0.34998626667073579"/>
        <bgColor indexed="64"/>
      </patternFill>
    </fill>
    <fill>
      <patternFill patternType="solid">
        <fgColor rgb="FFA5A5A5"/>
      </patternFill>
    </fill>
    <fill>
      <patternFill patternType="solid">
        <fgColor rgb="FFFF0000"/>
        <bgColor indexed="64"/>
      </patternFill>
    </fill>
    <fill>
      <patternFill patternType="solid">
        <fgColor rgb="FFFFC000"/>
        <bgColor indexed="64"/>
      </patternFill>
    </fill>
    <fill>
      <patternFill patternType="solid">
        <fgColor theme="7"/>
        <bgColor indexed="64"/>
      </patternFill>
    </fill>
  </fills>
  <borders count="168">
    <border>
      <left/>
      <right/>
      <top/>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bottom style="dotted">
        <color theme="0" tint="-0.14996795556505021"/>
      </bottom>
      <diagonal/>
    </border>
    <border>
      <left/>
      <right/>
      <top style="dotted">
        <color theme="0" tint="-0.14996795556505021"/>
      </top>
      <bottom style="dotted">
        <color theme="0" tint="-0.14996795556505021"/>
      </bottom>
      <diagonal/>
    </border>
    <border>
      <left/>
      <right/>
      <top style="dotted">
        <color theme="0" tint="-0.14996795556505021"/>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dotted">
        <color theme="0" tint="-0.14996795556505021"/>
      </bottom>
      <diagonal/>
    </border>
    <border>
      <left style="thin">
        <color indexed="64"/>
      </left>
      <right style="thin">
        <color indexed="64"/>
      </right>
      <top style="dotted">
        <color theme="0" tint="-0.14996795556505021"/>
      </top>
      <bottom style="thin">
        <color indexed="64"/>
      </bottom>
      <diagonal/>
    </border>
    <border>
      <left/>
      <right/>
      <top style="dotted">
        <color theme="0" tint="-0.14996795556505021"/>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top/>
      <bottom style="dotted">
        <color theme="0" tint="-0.14993743705557422"/>
      </bottom>
      <diagonal/>
    </border>
    <border>
      <left style="double">
        <color indexed="64"/>
      </left>
      <right style="medium">
        <color indexed="64"/>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style="medium">
        <color indexed="64"/>
      </left>
      <right/>
      <top style="double">
        <color indexed="64"/>
      </top>
      <bottom style="medium">
        <color indexed="64"/>
      </bottom>
      <diagonal/>
    </border>
    <border>
      <left/>
      <right style="double">
        <color indexed="64"/>
      </right>
      <top style="double">
        <color indexed="64"/>
      </top>
      <bottom style="medium">
        <color indexed="64"/>
      </bottom>
      <diagonal/>
    </border>
    <border>
      <left style="double">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double">
        <color indexed="64"/>
      </right>
      <top style="medium">
        <color indexed="64"/>
      </top>
      <bottom style="medium">
        <color indexed="64"/>
      </bottom>
      <diagonal/>
    </border>
    <border>
      <left style="double">
        <color indexed="64"/>
      </left>
      <right style="medium">
        <color indexed="64"/>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style="double">
        <color indexed="64"/>
      </right>
      <top style="medium">
        <color indexed="64"/>
      </top>
      <bottom style="double">
        <color indexed="64"/>
      </bottom>
      <diagonal/>
    </border>
    <border>
      <left/>
      <right/>
      <top style="thin">
        <color indexed="64"/>
      </top>
      <bottom style="dotted">
        <color theme="0" tint="-0.24994659260841701"/>
      </bottom>
      <diagonal/>
    </border>
    <border>
      <left/>
      <right/>
      <top style="dotted">
        <color theme="0" tint="-0.24994659260841701"/>
      </top>
      <bottom style="dotted">
        <color theme="0" tint="-0.24994659260841701"/>
      </bottom>
      <diagonal/>
    </border>
    <border>
      <left/>
      <right/>
      <top style="dotted">
        <color theme="0" tint="-0.24994659260841701"/>
      </top>
      <bottom style="thin">
        <color indexed="64"/>
      </bottom>
      <diagonal/>
    </border>
    <border>
      <left/>
      <right style="dotted">
        <color theme="0" tint="-0.24994659260841701"/>
      </right>
      <top style="thin">
        <color indexed="64"/>
      </top>
      <bottom style="dotted">
        <color theme="0" tint="-0.24994659260841701"/>
      </bottom>
      <diagonal/>
    </border>
    <border>
      <left style="dotted">
        <color theme="0" tint="-0.24994659260841701"/>
      </left>
      <right style="dotted">
        <color theme="0" tint="-0.24994659260841701"/>
      </right>
      <top style="thin">
        <color indexed="64"/>
      </top>
      <bottom style="dotted">
        <color theme="0" tint="-0.24994659260841701"/>
      </bottom>
      <diagonal/>
    </border>
    <border>
      <left/>
      <right style="dotted">
        <color theme="0" tint="-0.24994659260841701"/>
      </right>
      <top style="dotted">
        <color theme="0" tint="-0.24994659260841701"/>
      </top>
      <bottom style="dotted">
        <color theme="0" tint="-0.24994659260841701"/>
      </bottom>
      <diagonal/>
    </border>
    <border>
      <left style="dotted">
        <color theme="0" tint="-0.24994659260841701"/>
      </left>
      <right style="dotted">
        <color theme="0" tint="-0.24994659260841701"/>
      </right>
      <top style="dotted">
        <color theme="0" tint="-0.24994659260841701"/>
      </top>
      <bottom style="dotted">
        <color theme="0" tint="-0.24994659260841701"/>
      </bottom>
      <diagonal/>
    </border>
    <border>
      <left/>
      <right style="dotted">
        <color theme="0" tint="-0.24994659260841701"/>
      </right>
      <top style="dotted">
        <color theme="0" tint="-0.24994659260841701"/>
      </top>
      <bottom style="thin">
        <color indexed="64"/>
      </bottom>
      <diagonal/>
    </border>
    <border>
      <left style="dotted">
        <color theme="0" tint="-0.24994659260841701"/>
      </left>
      <right style="dotted">
        <color theme="0" tint="-0.24994659260841701"/>
      </right>
      <top style="dotted">
        <color theme="0" tint="-0.24994659260841701"/>
      </top>
      <bottom style="thin">
        <color indexed="64"/>
      </bottom>
      <diagonal/>
    </border>
    <border>
      <left/>
      <right/>
      <top style="thin">
        <color indexed="64"/>
      </top>
      <bottom style="dotted">
        <color theme="0" tint="-0.14996795556505021"/>
      </bottom>
      <diagonal/>
    </border>
    <border>
      <left style="thin">
        <color indexed="64"/>
      </left>
      <right style="thin">
        <color indexed="64"/>
      </right>
      <top style="thin">
        <color indexed="64"/>
      </top>
      <bottom style="dotted">
        <color theme="0" tint="-0.14996795556505021"/>
      </bottom>
      <diagonal/>
    </border>
    <border>
      <left style="thin">
        <color indexed="64"/>
      </left>
      <right style="thin">
        <color indexed="64"/>
      </right>
      <top style="dotted">
        <color theme="0" tint="-0.14996795556505021"/>
      </top>
      <bottom style="dotted">
        <color theme="0" tint="-0.14996795556505021"/>
      </bottom>
      <diagonal/>
    </border>
    <border>
      <left style="thin">
        <color indexed="64"/>
      </left>
      <right/>
      <top style="thin">
        <color indexed="64"/>
      </top>
      <bottom style="dotted">
        <color theme="0" tint="-0.14996795556505021"/>
      </bottom>
      <diagonal/>
    </border>
    <border>
      <left style="thin">
        <color indexed="64"/>
      </left>
      <right/>
      <top style="dotted">
        <color theme="0" tint="-0.14996795556505021"/>
      </top>
      <bottom style="dotted">
        <color theme="0" tint="-0.14996795556505021"/>
      </bottom>
      <diagonal/>
    </border>
    <border>
      <left style="thin">
        <color indexed="64"/>
      </left>
      <right/>
      <top style="dotted">
        <color theme="0" tint="-0.14996795556505021"/>
      </top>
      <bottom style="thin">
        <color indexed="64"/>
      </bottom>
      <diagonal/>
    </border>
    <border>
      <left style="thin">
        <color indexed="64"/>
      </left>
      <right/>
      <top/>
      <bottom style="dotted">
        <color theme="0" tint="-0.14996795556505021"/>
      </bottom>
      <diagonal/>
    </border>
    <border>
      <left style="dotted">
        <color theme="0" tint="-0.24994659260841701"/>
      </left>
      <right style="thin">
        <color indexed="64"/>
      </right>
      <top style="thin">
        <color indexed="64"/>
      </top>
      <bottom style="dotted">
        <color theme="0" tint="-0.24994659260841701"/>
      </bottom>
      <diagonal/>
    </border>
    <border>
      <left style="dotted">
        <color theme="0" tint="-0.24994659260841701"/>
      </left>
      <right style="thin">
        <color indexed="64"/>
      </right>
      <top style="dotted">
        <color theme="0" tint="-0.24994659260841701"/>
      </top>
      <bottom style="dotted">
        <color theme="0" tint="-0.24994659260841701"/>
      </bottom>
      <diagonal/>
    </border>
    <border>
      <left style="dotted">
        <color theme="0" tint="-0.24994659260841701"/>
      </left>
      <right style="thin">
        <color indexed="64"/>
      </right>
      <top style="dotted">
        <color theme="0" tint="-0.24994659260841701"/>
      </top>
      <bottom style="thin">
        <color indexed="64"/>
      </bottom>
      <diagonal/>
    </border>
    <border>
      <left/>
      <right style="thin">
        <color indexed="64"/>
      </right>
      <top style="thin">
        <color indexed="64"/>
      </top>
      <bottom style="dotted">
        <color theme="0" tint="-0.14996795556505021"/>
      </bottom>
      <diagonal/>
    </border>
    <border>
      <left/>
      <right style="thin">
        <color indexed="64"/>
      </right>
      <top style="dotted">
        <color theme="0" tint="-0.14996795556505021"/>
      </top>
      <bottom style="dotted">
        <color theme="0" tint="-0.14996795556505021"/>
      </bottom>
      <diagonal/>
    </border>
    <border>
      <left/>
      <right style="thin">
        <color indexed="64"/>
      </right>
      <top style="dotted">
        <color theme="0" tint="-0.14996795556505021"/>
      </top>
      <bottom style="thin">
        <color indexed="64"/>
      </bottom>
      <diagonal/>
    </border>
    <border>
      <left style="dotted">
        <color theme="0" tint="-0.24994659260841701"/>
      </left>
      <right/>
      <top style="thin">
        <color indexed="64"/>
      </top>
      <bottom style="dotted">
        <color theme="0" tint="-0.24994659260841701"/>
      </bottom>
      <diagonal/>
    </border>
    <border>
      <left style="dotted">
        <color theme="0" tint="-0.24994659260841701"/>
      </left>
      <right/>
      <top style="dotted">
        <color theme="0" tint="-0.24994659260841701"/>
      </top>
      <bottom style="dotted">
        <color theme="0" tint="-0.24994659260841701"/>
      </bottom>
      <diagonal/>
    </border>
    <border>
      <left style="dotted">
        <color theme="0" tint="-0.24994659260841701"/>
      </left>
      <right/>
      <top style="dotted">
        <color theme="0" tint="-0.24994659260841701"/>
      </top>
      <bottom style="thin">
        <color indexed="64"/>
      </bottom>
      <diagonal/>
    </border>
    <border>
      <left/>
      <right style="thin">
        <color indexed="64"/>
      </right>
      <top style="thin">
        <color indexed="64"/>
      </top>
      <bottom style="dotted">
        <color theme="0" tint="-0.24994659260841701"/>
      </bottom>
      <diagonal/>
    </border>
    <border>
      <left/>
      <right style="thin">
        <color indexed="64"/>
      </right>
      <top style="dotted">
        <color theme="0" tint="-0.24994659260841701"/>
      </top>
      <bottom style="dotted">
        <color theme="0" tint="-0.24994659260841701"/>
      </bottom>
      <diagonal/>
    </border>
    <border>
      <left/>
      <right style="thin">
        <color indexed="64"/>
      </right>
      <top style="dotted">
        <color theme="0" tint="-0.24994659260841701"/>
      </top>
      <bottom style="thin">
        <color indexed="64"/>
      </bottom>
      <diagonal/>
    </border>
    <border>
      <left style="thin">
        <color indexed="64"/>
      </left>
      <right/>
      <top style="thin">
        <color indexed="64"/>
      </top>
      <bottom style="dotted">
        <color theme="0" tint="-0.24994659260841701"/>
      </bottom>
      <diagonal/>
    </border>
    <border>
      <left style="thin">
        <color indexed="64"/>
      </left>
      <right/>
      <top style="dotted">
        <color theme="0" tint="-0.24994659260841701"/>
      </top>
      <bottom style="dotted">
        <color theme="0" tint="-0.24994659260841701"/>
      </bottom>
      <diagonal/>
    </border>
    <border>
      <left style="thin">
        <color indexed="64"/>
      </left>
      <right/>
      <top style="dotted">
        <color theme="0" tint="-0.24994659260841701"/>
      </top>
      <bottom style="thin">
        <color indexed="64"/>
      </bottom>
      <diagonal/>
    </border>
    <border>
      <left style="thin">
        <color indexed="64"/>
      </left>
      <right style="thin">
        <color indexed="64"/>
      </right>
      <top style="thin">
        <color indexed="64"/>
      </top>
      <bottom style="dotted">
        <color theme="0" tint="-0.24994659260841701"/>
      </bottom>
      <diagonal/>
    </border>
    <border>
      <left style="thin">
        <color indexed="64"/>
      </left>
      <right style="thin">
        <color indexed="64"/>
      </right>
      <top style="dotted">
        <color theme="0" tint="-0.24994659260841701"/>
      </top>
      <bottom style="dotted">
        <color theme="0" tint="-0.24994659260841701"/>
      </bottom>
      <diagonal/>
    </border>
    <border>
      <left style="thin">
        <color indexed="64"/>
      </left>
      <right style="thin">
        <color indexed="64"/>
      </right>
      <top style="dotted">
        <color theme="0" tint="-0.24994659260841701"/>
      </top>
      <bottom style="thin">
        <color indexed="64"/>
      </bottom>
      <diagonal/>
    </border>
    <border>
      <left style="dotted">
        <color theme="0" tint="-0.14996795556505021"/>
      </left>
      <right style="dotted">
        <color theme="0" tint="-0.14996795556505021"/>
      </right>
      <top style="dotted">
        <color theme="0" tint="-0.14996795556505021"/>
      </top>
      <bottom/>
      <diagonal/>
    </border>
    <border>
      <left/>
      <right style="dotted">
        <color theme="0" tint="-0.14996795556505021"/>
      </right>
      <top style="dotted">
        <color theme="0" tint="-0.14996795556505021"/>
      </top>
      <bottom/>
      <diagonal/>
    </border>
    <border>
      <left style="dotted">
        <color theme="0" tint="-0.14996795556505021"/>
      </left>
      <right style="thin">
        <color indexed="64"/>
      </right>
      <top style="dotted">
        <color theme="0" tint="-0.14996795556505021"/>
      </top>
      <bottom style="thin">
        <color indexed="64"/>
      </bottom>
      <diagonal/>
    </border>
    <border>
      <left style="thin">
        <color indexed="64"/>
      </left>
      <right style="dotted">
        <color theme="0" tint="-0.14996795556505021"/>
      </right>
      <top style="dotted">
        <color theme="0" tint="-0.14996795556505021"/>
      </top>
      <bottom style="thin">
        <color indexed="64"/>
      </bottom>
      <diagonal/>
    </border>
    <border>
      <left style="dotted">
        <color theme="0" tint="-0.14996795556505021"/>
      </left>
      <right style="dotted">
        <color theme="0" tint="-0.14996795556505021"/>
      </right>
      <top style="dotted">
        <color theme="0" tint="-0.14996795556505021"/>
      </top>
      <bottom style="dotted">
        <color theme="0" tint="-0.14996795556505021"/>
      </bottom>
      <diagonal/>
    </border>
    <border>
      <left/>
      <right style="dotted">
        <color theme="0" tint="-0.14996795556505021"/>
      </right>
      <top style="dotted">
        <color theme="0" tint="-0.14996795556505021"/>
      </top>
      <bottom style="dotted">
        <color theme="0" tint="-0.14996795556505021"/>
      </bottom>
      <diagonal/>
    </border>
    <border>
      <left style="dotted">
        <color theme="0" tint="-0.14996795556505021"/>
      </left>
      <right style="thin">
        <color indexed="64"/>
      </right>
      <top style="dotted">
        <color theme="0" tint="-0.14996795556505021"/>
      </top>
      <bottom style="dotted">
        <color theme="0" tint="-0.14996795556505021"/>
      </bottom>
      <diagonal/>
    </border>
    <border>
      <left style="thin">
        <color indexed="64"/>
      </left>
      <right style="dotted">
        <color theme="0" tint="-0.14996795556505021"/>
      </right>
      <top style="dotted">
        <color theme="0" tint="-0.14996795556505021"/>
      </top>
      <bottom style="dotted">
        <color theme="0" tint="-0.14996795556505021"/>
      </bottom>
      <diagonal/>
    </border>
    <border>
      <left/>
      <right/>
      <top/>
      <bottom style="dotted">
        <color theme="0" tint="-0.24994659260841701"/>
      </bottom>
      <diagonal/>
    </border>
    <border>
      <left style="dotted">
        <color theme="0" tint="-0.14996795556505021"/>
      </left>
      <right style="dotted">
        <color theme="0" tint="-0.14996795556505021"/>
      </right>
      <top style="thin">
        <color indexed="64"/>
      </top>
      <bottom style="dotted">
        <color theme="0" tint="-0.14996795556505021"/>
      </bottom>
      <diagonal/>
    </border>
    <border>
      <left/>
      <right style="dotted">
        <color theme="0" tint="-0.14996795556505021"/>
      </right>
      <top style="thin">
        <color indexed="64"/>
      </top>
      <bottom style="dotted">
        <color theme="0" tint="-0.14996795556505021"/>
      </bottom>
      <diagonal/>
    </border>
    <border>
      <left style="dotted">
        <color theme="0" tint="-0.14996795556505021"/>
      </left>
      <right style="thin">
        <color indexed="64"/>
      </right>
      <top style="thin">
        <color indexed="64"/>
      </top>
      <bottom style="dotted">
        <color theme="0" tint="-0.14996795556505021"/>
      </bottom>
      <diagonal/>
    </border>
    <border>
      <left style="thin">
        <color indexed="64"/>
      </left>
      <right style="dotted">
        <color theme="0" tint="-0.14996795556505021"/>
      </right>
      <top style="thin">
        <color indexed="64"/>
      </top>
      <bottom style="dotted">
        <color theme="0" tint="-0.14996795556505021"/>
      </bottom>
      <diagonal/>
    </border>
    <border>
      <left style="dotted">
        <color theme="0" tint="-0.34998626667073579"/>
      </left>
      <right style="thin">
        <color indexed="64"/>
      </right>
      <top style="thin">
        <color theme="0" tint="-0.34998626667073579"/>
      </top>
      <bottom style="thin">
        <color indexed="64"/>
      </bottom>
      <diagonal/>
    </border>
    <border>
      <left style="dotted">
        <color theme="0" tint="-0.34998626667073579"/>
      </left>
      <right style="dotted">
        <color theme="0" tint="-0.34998626667073579"/>
      </right>
      <top style="thin">
        <color theme="0" tint="-0.34998626667073579"/>
      </top>
      <bottom style="thin">
        <color indexed="64"/>
      </bottom>
      <diagonal/>
    </border>
    <border>
      <left style="thin">
        <color indexed="64"/>
      </left>
      <right style="dotted">
        <color theme="0" tint="-0.34998626667073579"/>
      </right>
      <top style="thin">
        <color theme="0" tint="-0.34998626667073579"/>
      </top>
      <bottom style="thin">
        <color indexed="64"/>
      </bottom>
      <diagonal/>
    </border>
    <border>
      <left/>
      <right/>
      <top/>
      <bottom style="thin">
        <color theme="0" tint="-0.14996795556505021"/>
      </bottom>
      <diagonal/>
    </border>
    <border>
      <left style="dotted">
        <color theme="0" tint="-0.34998626667073579"/>
      </left>
      <right style="thin">
        <color indexed="64"/>
      </right>
      <top style="thin">
        <color theme="0" tint="-0.34998626667073579"/>
      </top>
      <bottom style="thin">
        <color theme="0" tint="-0.34998626667073579"/>
      </bottom>
      <diagonal/>
    </border>
    <border>
      <left style="dotted">
        <color theme="0" tint="-0.34998626667073579"/>
      </left>
      <right style="dotted">
        <color theme="0" tint="-0.34998626667073579"/>
      </right>
      <top style="thin">
        <color theme="0" tint="-0.34998626667073579"/>
      </top>
      <bottom style="thin">
        <color theme="0" tint="-0.34998626667073579"/>
      </bottom>
      <diagonal/>
    </border>
    <border>
      <left style="thin">
        <color indexed="64"/>
      </left>
      <right style="dotted">
        <color theme="0" tint="-0.34998626667073579"/>
      </right>
      <top style="thin">
        <color theme="0" tint="-0.34998626667073579"/>
      </top>
      <bottom style="thin">
        <color theme="0" tint="-0.34998626667073579"/>
      </bottom>
      <diagonal/>
    </border>
    <border>
      <left/>
      <right style="thin">
        <color indexed="64"/>
      </right>
      <top/>
      <bottom style="thin">
        <color theme="0" tint="-0.14996795556505021"/>
      </bottom>
      <diagonal/>
    </border>
    <border>
      <left style="dotted">
        <color theme="0" tint="-0.34998626667073579"/>
      </left>
      <right style="thin">
        <color indexed="64"/>
      </right>
      <top style="thin">
        <color indexed="64"/>
      </top>
      <bottom style="thin">
        <color theme="0" tint="-0.34998626667073579"/>
      </bottom>
      <diagonal/>
    </border>
    <border>
      <left style="dotted">
        <color theme="0" tint="-0.34998626667073579"/>
      </left>
      <right style="dotted">
        <color theme="0" tint="-0.34998626667073579"/>
      </right>
      <top style="thin">
        <color indexed="64"/>
      </top>
      <bottom style="thin">
        <color theme="0" tint="-0.34998626667073579"/>
      </bottom>
      <diagonal/>
    </border>
    <border>
      <left style="thin">
        <color indexed="64"/>
      </left>
      <right style="dotted">
        <color theme="0" tint="-0.34998626667073579"/>
      </right>
      <top style="thin">
        <color indexed="64"/>
      </top>
      <bottom style="thin">
        <color theme="0" tint="-0.34998626667073579"/>
      </bottom>
      <diagonal/>
    </border>
    <border>
      <left style="dotted">
        <color theme="0" tint="-0.24994659260841701"/>
      </left>
      <right style="thin">
        <color indexed="64"/>
      </right>
      <top/>
      <bottom style="thin">
        <color indexed="64"/>
      </bottom>
      <diagonal/>
    </border>
    <border>
      <left style="dotted">
        <color theme="0" tint="-0.24994659260841701"/>
      </left>
      <right style="dotted">
        <color theme="0" tint="-0.24994659260841701"/>
      </right>
      <top/>
      <bottom style="thin">
        <color indexed="64"/>
      </bottom>
      <diagonal/>
    </border>
    <border>
      <left/>
      <right style="dotted">
        <color theme="0" tint="-0.24994659260841701"/>
      </right>
      <top/>
      <bottom style="thin">
        <color indexed="64"/>
      </bottom>
      <diagonal/>
    </border>
    <border>
      <left/>
      <right style="dotted">
        <color theme="0" tint="-0.34998626667073579"/>
      </right>
      <top style="thin">
        <color indexed="64"/>
      </top>
      <bottom style="thin">
        <color indexed="64"/>
      </bottom>
      <diagonal/>
    </border>
    <border>
      <left/>
      <right/>
      <top style="dotted">
        <color theme="0" tint="-0.34998626667073579"/>
      </top>
      <bottom style="dotted">
        <color theme="0" tint="-0.34998626667073579"/>
      </bottom>
      <diagonal/>
    </border>
    <border>
      <left/>
      <right style="dotted">
        <color theme="0" tint="-0.34998626667073579"/>
      </right>
      <top style="dotted">
        <color theme="0" tint="-0.34998626667073579"/>
      </top>
      <bottom style="dotted">
        <color theme="0" tint="-0.34998626667073579"/>
      </bottom>
      <diagonal/>
    </border>
    <border>
      <left style="dotted">
        <color theme="0" tint="-0.34998626667073579"/>
      </left>
      <right/>
      <top style="dotted">
        <color theme="0" tint="-0.34998626667073579"/>
      </top>
      <bottom style="dotted">
        <color theme="0" tint="-0.34998626667073579"/>
      </bottom>
      <diagonal/>
    </border>
    <border>
      <left style="dotted">
        <color theme="0" tint="-0.34998626667073579"/>
      </left>
      <right style="dotted">
        <color theme="0" tint="-0.34998626667073579"/>
      </right>
      <top style="dotted">
        <color theme="0" tint="-0.34998626667073579"/>
      </top>
      <bottom style="dotted">
        <color theme="0" tint="-0.34998626667073579"/>
      </bottom>
      <diagonal/>
    </border>
    <border>
      <left/>
      <right/>
      <top/>
      <bottom style="dotted">
        <color theme="0" tint="-0.34998626667073579"/>
      </bottom>
      <diagonal/>
    </border>
    <border>
      <left/>
      <right style="dotted">
        <color theme="0" tint="-0.34998626667073579"/>
      </right>
      <top/>
      <bottom style="dotted">
        <color theme="0" tint="-0.34998626667073579"/>
      </bottom>
      <diagonal/>
    </border>
    <border>
      <left/>
      <right style="dotted">
        <color theme="0" tint="-0.34998626667073579"/>
      </right>
      <top/>
      <bottom style="thin">
        <color indexed="64"/>
      </bottom>
      <diagonal/>
    </border>
    <border>
      <left/>
      <right style="dotted">
        <color theme="0" tint="-0.34998626667073579"/>
      </right>
      <top style="thin">
        <color indexed="64"/>
      </top>
      <bottom/>
      <diagonal/>
    </border>
    <border>
      <left style="dotted">
        <color theme="0" tint="-0.34998626667073579"/>
      </left>
      <right style="thin">
        <color indexed="64"/>
      </right>
      <top style="dotted">
        <color theme="0" tint="-0.34998626667073579"/>
      </top>
      <bottom style="thin">
        <color indexed="64"/>
      </bottom>
      <diagonal/>
    </border>
    <border>
      <left style="dotted">
        <color theme="0" tint="-0.34998626667073579"/>
      </left>
      <right style="dotted">
        <color theme="0" tint="-0.34998626667073579"/>
      </right>
      <top style="dotted">
        <color theme="0" tint="-0.34998626667073579"/>
      </top>
      <bottom style="thin">
        <color indexed="64"/>
      </bottom>
      <diagonal/>
    </border>
    <border>
      <left/>
      <right style="dotted">
        <color theme="0" tint="-0.34998626667073579"/>
      </right>
      <top style="dotted">
        <color theme="0" tint="-0.34998626667073579"/>
      </top>
      <bottom style="thin">
        <color indexed="64"/>
      </bottom>
      <diagonal/>
    </border>
    <border>
      <left style="dotted">
        <color theme="0" tint="-0.34998626667073579"/>
      </left>
      <right/>
      <top style="thin">
        <color indexed="64"/>
      </top>
      <bottom style="thin">
        <color indexed="64"/>
      </bottom>
      <diagonal/>
    </border>
    <border>
      <left style="dotted">
        <color theme="0" tint="-0.34998626667073579"/>
      </left>
      <right style="dotted">
        <color theme="0" tint="-0.34998626667073579"/>
      </right>
      <top style="thin">
        <color indexed="64"/>
      </top>
      <bottom style="thin">
        <color indexed="64"/>
      </bottom>
      <diagonal/>
    </border>
    <border>
      <left/>
      <right style="dotted">
        <color theme="0" tint="-0.34998626667073579"/>
      </right>
      <top/>
      <bottom/>
      <diagonal/>
    </border>
    <border>
      <left style="dotted">
        <color theme="0" tint="-0.34998626667073579"/>
      </left>
      <right style="thin">
        <color indexed="64"/>
      </right>
      <top style="thin">
        <color indexed="64"/>
      </top>
      <bottom style="thin">
        <color indexed="64"/>
      </bottom>
      <diagonal/>
    </border>
    <border>
      <left style="thin">
        <color indexed="64"/>
      </left>
      <right style="dotted">
        <color theme="0" tint="-0.34998626667073579"/>
      </right>
      <top style="thin">
        <color indexed="64"/>
      </top>
      <bottom style="thin">
        <color indexed="64"/>
      </bottom>
      <diagonal/>
    </border>
    <border>
      <left style="dotted">
        <color theme="0" tint="-0.34998626667073579"/>
      </left>
      <right style="thin">
        <color indexed="64"/>
      </right>
      <top style="dotted">
        <color theme="0" tint="-0.24994659260841701"/>
      </top>
      <bottom style="dotted">
        <color theme="0" tint="-0.24994659260841701"/>
      </bottom>
      <diagonal/>
    </border>
    <border>
      <left/>
      <right style="dotted">
        <color theme="0" tint="-0.34998626667073579"/>
      </right>
      <top style="dotted">
        <color theme="0" tint="-0.24994659260841701"/>
      </top>
      <bottom style="dotted">
        <color theme="0" tint="-0.24994659260841701"/>
      </bottom>
      <diagonal/>
    </border>
    <border>
      <left style="thin">
        <color indexed="64"/>
      </left>
      <right style="dotted">
        <color theme="0" tint="-0.34998626667073579"/>
      </right>
      <top style="dotted">
        <color theme="0" tint="-0.24994659260841701"/>
      </top>
      <bottom style="dotted">
        <color theme="0" tint="-0.24994659260841701"/>
      </bottom>
      <diagonal/>
    </border>
    <border>
      <left style="dotted">
        <color theme="0" tint="-0.34998626667073579"/>
      </left>
      <right style="thin">
        <color indexed="64"/>
      </right>
      <top style="thin">
        <color indexed="64"/>
      </top>
      <bottom/>
      <diagonal/>
    </border>
    <border>
      <left style="thin">
        <color indexed="64"/>
      </left>
      <right style="dotted">
        <color theme="0" tint="-0.34998626667073579"/>
      </right>
      <top style="thin">
        <color indexed="64"/>
      </top>
      <bottom/>
      <diagonal/>
    </border>
    <border>
      <left style="dotted">
        <color theme="0" tint="-0.34998626667073579"/>
      </left>
      <right style="thin">
        <color indexed="64"/>
      </right>
      <top/>
      <bottom/>
      <diagonal/>
    </border>
    <border>
      <left style="thin">
        <color indexed="64"/>
      </left>
      <right style="dotted">
        <color theme="0" tint="-0.34998626667073579"/>
      </right>
      <top/>
      <bottom/>
      <diagonal/>
    </border>
    <border>
      <left style="dotted">
        <color theme="0" tint="-0.34998626667073579"/>
      </left>
      <right style="thin">
        <color indexed="64"/>
      </right>
      <top style="dotted">
        <color theme="0" tint="-0.24994659260841701"/>
      </top>
      <bottom style="thin">
        <color indexed="64"/>
      </bottom>
      <diagonal/>
    </border>
    <border>
      <left/>
      <right style="dotted">
        <color theme="0" tint="-0.34998626667073579"/>
      </right>
      <top style="dotted">
        <color theme="0" tint="-0.24994659260841701"/>
      </top>
      <bottom style="thin">
        <color indexed="64"/>
      </bottom>
      <diagonal/>
    </border>
    <border>
      <left style="thin">
        <color indexed="64"/>
      </left>
      <right style="dotted">
        <color theme="0" tint="-0.34998626667073579"/>
      </right>
      <top style="dotted">
        <color theme="0" tint="-0.24994659260841701"/>
      </top>
      <bottom style="thin">
        <color indexed="64"/>
      </bottom>
      <diagonal/>
    </border>
    <border>
      <left style="dotted">
        <color theme="0" tint="-0.34998626667073579"/>
      </left>
      <right style="thin">
        <color indexed="64"/>
      </right>
      <top style="thin">
        <color indexed="64"/>
      </top>
      <bottom style="dotted">
        <color theme="0" tint="-0.34998626667073579"/>
      </bottom>
      <diagonal/>
    </border>
    <border>
      <left style="thin">
        <color indexed="64"/>
      </left>
      <right style="dotted">
        <color theme="0" tint="-0.34998626667073579"/>
      </right>
      <top style="thin">
        <color indexed="64"/>
      </top>
      <bottom style="dotted">
        <color theme="0" tint="-0.34998626667073579"/>
      </bottom>
      <diagonal/>
    </border>
    <border>
      <left style="dotted">
        <color theme="0" tint="-0.34998626667073579"/>
      </left>
      <right style="thin">
        <color indexed="64"/>
      </right>
      <top/>
      <bottom style="dotted">
        <color theme="0" tint="-0.34998626667073579"/>
      </bottom>
      <diagonal/>
    </border>
    <border>
      <left style="thin">
        <color indexed="64"/>
      </left>
      <right style="dotted">
        <color theme="0" tint="-0.34998626667073579"/>
      </right>
      <top/>
      <bottom style="dotted">
        <color theme="0" tint="-0.34998626667073579"/>
      </bottom>
      <diagonal/>
    </border>
    <border>
      <left style="dotted">
        <color theme="0" tint="-0.34998626667073579"/>
      </left>
      <right style="thin">
        <color indexed="64"/>
      </right>
      <top/>
      <bottom style="thin">
        <color indexed="64"/>
      </bottom>
      <diagonal/>
    </border>
    <border>
      <left style="thin">
        <color indexed="64"/>
      </left>
      <right style="dotted">
        <color theme="0" tint="-0.34998626667073579"/>
      </right>
      <top/>
      <bottom style="thin">
        <color indexed="64"/>
      </bottom>
      <diagonal/>
    </border>
    <border>
      <left style="thin">
        <color theme="0" tint="-0.24994659260841701"/>
      </left>
      <right/>
      <top style="thin">
        <color indexed="64"/>
      </top>
      <bottom style="dotted">
        <color theme="0" tint="-0.14996795556505021"/>
      </bottom>
      <diagonal/>
    </border>
    <border>
      <left style="thin">
        <color theme="0" tint="-0.24994659260841701"/>
      </left>
      <right/>
      <top/>
      <bottom style="dotted">
        <color theme="0" tint="-0.14996795556505021"/>
      </bottom>
      <diagonal/>
    </border>
    <border>
      <left style="thin">
        <color theme="0" tint="-0.24994659260841701"/>
      </left>
      <right/>
      <top/>
      <bottom style="thin">
        <color indexed="64"/>
      </bottom>
      <diagonal/>
    </border>
    <border>
      <left style="thin">
        <color theme="0" tint="-0.24994659260841701"/>
      </left>
      <right style="thin">
        <color indexed="64"/>
      </right>
      <top/>
      <bottom style="dotted">
        <color theme="0" tint="-0.14996795556505021"/>
      </bottom>
      <diagonal/>
    </border>
    <border>
      <left style="thin">
        <color theme="0" tint="-0.24994659260841701"/>
      </left>
      <right style="thin">
        <color indexed="64"/>
      </right>
      <top style="dotted">
        <color theme="0" tint="-0.14996795556505021"/>
      </top>
      <bottom style="thin">
        <color indexed="64"/>
      </bottom>
      <diagonal/>
    </border>
    <border>
      <left style="thin">
        <color theme="0" tint="-0.24994659260841701"/>
      </left>
      <right style="thin">
        <color theme="0" tint="-0.24994659260841701"/>
      </right>
      <top style="thin">
        <color indexed="64"/>
      </top>
      <bottom style="dotted">
        <color theme="0" tint="-0.14996795556505021"/>
      </bottom>
      <diagonal/>
    </border>
    <border>
      <left style="thin">
        <color theme="0" tint="-0.24994659260841701"/>
      </left>
      <right style="thin">
        <color theme="0" tint="-0.24994659260841701"/>
      </right>
      <top/>
      <bottom style="dotted">
        <color theme="0" tint="-0.14996795556505021"/>
      </bottom>
      <diagonal/>
    </border>
    <border diagonalUp="1">
      <left/>
      <right/>
      <top style="thin">
        <color indexed="64"/>
      </top>
      <bottom style="dotted">
        <color theme="0" tint="-0.14996795556505021"/>
      </bottom>
      <diagonal style="thin">
        <color theme="1" tint="0.24994659260841701"/>
      </diagonal>
    </border>
    <border diagonalUp="1">
      <left/>
      <right/>
      <top/>
      <bottom style="dotted">
        <color theme="0" tint="-0.14996795556505021"/>
      </bottom>
      <diagonal style="thin">
        <color theme="1" tint="0.24994659260841701"/>
      </diagonal>
    </border>
    <border diagonalUp="1">
      <left/>
      <right/>
      <top style="dotted">
        <color theme="0" tint="-0.14996795556505021"/>
      </top>
      <bottom style="thin">
        <color indexed="64"/>
      </bottom>
      <diagonal style="thin">
        <color theme="1" tint="0.24994659260841701"/>
      </diagonal>
    </border>
    <border diagonalUp="1">
      <left/>
      <right style="thin">
        <color theme="0" tint="-0.24994659260841701"/>
      </right>
      <top style="thin">
        <color indexed="64"/>
      </top>
      <bottom style="dotted">
        <color theme="0" tint="-0.14996795556505021"/>
      </bottom>
      <diagonal style="thin">
        <color theme="1" tint="0.24994659260841701"/>
      </diagonal>
    </border>
    <border diagonalUp="1">
      <left/>
      <right style="thin">
        <color theme="0" tint="-0.24994659260841701"/>
      </right>
      <top/>
      <bottom style="dotted">
        <color theme="0" tint="-0.14996795556505021"/>
      </bottom>
      <diagonal style="thin">
        <color theme="1" tint="0.24994659260841701"/>
      </diagonal>
    </border>
    <border diagonalUp="1">
      <left/>
      <right style="thin">
        <color theme="0" tint="-0.24994659260841701"/>
      </right>
      <top style="dotted">
        <color theme="0" tint="-0.14996795556505021"/>
      </top>
      <bottom style="thin">
        <color indexed="64"/>
      </bottom>
      <diagonal style="thin">
        <color theme="1" tint="0.24994659260841701"/>
      </diagonal>
    </border>
    <border>
      <left style="thin">
        <color theme="0" tint="-0.24994659260841701"/>
      </left>
      <right/>
      <top style="dotted">
        <color theme="0" tint="-0.14996795556505021"/>
      </top>
      <bottom style="dotted">
        <color theme="0" tint="-0.14996795556505021"/>
      </bottom>
      <diagonal/>
    </border>
    <border>
      <left style="thin">
        <color theme="0" tint="-0.24994659260841701"/>
      </left>
      <right/>
      <top style="dotted">
        <color theme="0" tint="-0.14996795556505021"/>
      </top>
      <bottom style="thin">
        <color indexed="64"/>
      </bottom>
      <diagonal/>
    </border>
    <border>
      <left/>
      <right style="thin">
        <color theme="0" tint="-0.24994659260841701"/>
      </right>
      <top style="thin">
        <color indexed="64"/>
      </top>
      <bottom style="dotted">
        <color theme="0" tint="-0.14996795556505021"/>
      </bottom>
      <diagonal/>
    </border>
    <border>
      <left/>
      <right style="thin">
        <color theme="0" tint="-0.24994659260841701"/>
      </right>
      <top/>
      <bottom style="dotted">
        <color theme="0" tint="-0.14996795556505021"/>
      </bottom>
      <diagonal/>
    </border>
    <border>
      <left/>
      <right style="thin">
        <color theme="0" tint="-0.24994659260841701"/>
      </right>
      <top style="dotted">
        <color theme="0" tint="-0.14996795556505021"/>
      </top>
      <bottom style="thin">
        <color indexed="64"/>
      </bottom>
      <diagonal/>
    </border>
    <border>
      <left style="double">
        <color rgb="FF3F3F3F"/>
      </left>
      <right style="double">
        <color rgb="FF3F3F3F"/>
      </right>
      <top style="double">
        <color rgb="FF3F3F3F"/>
      </top>
      <bottom style="double">
        <color rgb="FF3F3F3F"/>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double">
        <color rgb="FF3F3F3F"/>
      </left>
      <right/>
      <top style="double">
        <color rgb="FF3F3F3F"/>
      </top>
      <bottom style="double">
        <color rgb="FF3F3F3F"/>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s>
  <cellStyleXfs count="6">
    <xf numFmtId="0" fontId="0" fillId="0" borderId="0"/>
    <xf numFmtId="9"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7" fillId="27" borderId="147" applyNumberFormat="0" applyAlignment="0" applyProtection="0"/>
    <xf numFmtId="0" fontId="35" fillId="0" borderId="0" applyNumberFormat="0" applyFill="0" applyBorder="0" applyAlignment="0" applyProtection="0"/>
  </cellStyleXfs>
  <cellXfs count="947">
    <xf numFmtId="0" fontId="0" fillId="0" borderId="0" xfId="0"/>
    <xf numFmtId="0" fontId="0" fillId="0" borderId="0" xfId="0" applyAlignment="1">
      <alignment horizontal="center"/>
    </xf>
    <xf numFmtId="0" fontId="0" fillId="0" borderId="0" xfId="0" applyAlignment="1">
      <alignment vertical="center" wrapText="1"/>
    </xf>
    <xf numFmtId="0" fontId="0" fillId="0" borderId="0" xfId="0" applyAlignment="1">
      <alignment horizontal="left" vertical="center" wrapText="1"/>
    </xf>
    <xf numFmtId="1" fontId="0" fillId="0" borderId="0" xfId="0" applyNumberFormat="1" applyAlignment="1">
      <alignment horizontal="center"/>
    </xf>
    <xf numFmtId="164" fontId="0" fillId="0" borderId="0" xfId="0" applyNumberFormat="1" applyAlignment="1">
      <alignment horizontal="center"/>
    </xf>
    <xf numFmtId="49" fontId="0" fillId="0" borderId="0" xfId="0" applyNumberFormat="1" applyAlignment="1">
      <alignment horizontal="center"/>
    </xf>
    <xf numFmtId="0" fontId="2" fillId="0" borderId="1" xfId="0" applyFont="1" applyBorder="1" applyAlignment="1">
      <alignment horizontal="center"/>
    </xf>
    <xf numFmtId="49" fontId="2" fillId="0" borderId="1" xfId="0" applyNumberFormat="1" applyFont="1" applyBorder="1" applyAlignment="1">
      <alignment horizontal="center"/>
    </xf>
    <xf numFmtId="164" fontId="2" fillId="0" borderId="1" xfId="0" applyNumberFormat="1" applyFont="1" applyBorder="1" applyAlignment="1">
      <alignment horizontal="center"/>
    </xf>
    <xf numFmtId="0" fontId="3" fillId="0" borderId="0" xfId="0" applyFont="1"/>
    <xf numFmtId="0" fontId="0" fillId="0" borderId="4" xfId="0" applyBorder="1" applyAlignment="1">
      <alignment vertical="center" wrapText="1"/>
    </xf>
    <xf numFmtId="164" fontId="0" fillId="0" borderId="4" xfId="0" applyNumberFormat="1"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vertical="center" wrapText="1"/>
    </xf>
    <xf numFmtId="0" fontId="0" fillId="0" borderId="5" xfId="0" applyBorder="1" applyAlignment="1">
      <alignment horizontal="left" vertical="center" wrapText="1"/>
    </xf>
    <xf numFmtId="0" fontId="0" fillId="0" borderId="0" xfId="0" applyAlignment="1">
      <alignment horizontal="right"/>
    </xf>
    <xf numFmtId="2" fontId="0" fillId="0" borderId="0" xfId="0" applyNumberFormat="1" applyAlignment="1">
      <alignment horizontal="center"/>
    </xf>
    <xf numFmtId="165" fontId="0" fillId="0" borderId="4" xfId="0" applyNumberFormat="1" applyBorder="1" applyAlignment="1">
      <alignment horizontal="left" vertical="center" wrapText="1"/>
    </xf>
    <xf numFmtId="165" fontId="0" fillId="0" borderId="0" xfId="0" applyNumberFormat="1"/>
    <xf numFmtId="166" fontId="0" fillId="0" borderId="4" xfId="0" applyNumberFormat="1" applyBorder="1" applyAlignment="1">
      <alignment vertical="center" wrapText="1"/>
    </xf>
    <xf numFmtId="0" fontId="2" fillId="0" borderId="0" xfId="0" applyFont="1" applyAlignment="1">
      <alignment horizontal="center"/>
    </xf>
    <xf numFmtId="2" fontId="0" fillId="0" borderId="0" xfId="0" applyNumberFormat="1"/>
    <xf numFmtId="167" fontId="0" fillId="0" borderId="0" xfId="0" applyNumberFormat="1"/>
    <xf numFmtId="0" fontId="0" fillId="0" borderId="0" xfId="0" quotePrefix="1"/>
    <xf numFmtId="166" fontId="0" fillId="0" borderId="4" xfId="0" applyNumberFormat="1" applyBorder="1"/>
    <xf numFmtId="166" fontId="0" fillId="0" borderId="4" xfId="0" applyNumberFormat="1" applyBorder="1" applyAlignment="1">
      <alignment horizontal="right" vertical="center" wrapText="1"/>
    </xf>
    <xf numFmtId="166" fontId="0" fillId="0" borderId="0" xfId="0" applyNumberFormat="1"/>
    <xf numFmtId="49" fontId="0" fillId="0" borderId="1" xfId="0" applyNumberFormat="1" applyBorder="1" applyAlignment="1">
      <alignment horizontal="center"/>
    </xf>
    <xf numFmtId="166" fontId="0" fillId="0" borderId="1" xfId="0" applyNumberFormat="1" applyBorder="1"/>
    <xf numFmtId="0" fontId="2" fillId="0" borderId="2" xfId="0" applyFont="1" applyBorder="1" applyAlignment="1">
      <alignment horizontal="center"/>
    </xf>
    <xf numFmtId="165" fontId="0" fillId="0" borderId="5" xfId="0" applyNumberFormat="1" applyBorder="1" applyAlignment="1">
      <alignment horizontal="left" vertical="center" wrapText="1"/>
    </xf>
    <xf numFmtId="166" fontId="0" fillId="0" borderId="5" xfId="0" applyNumberFormat="1" applyBorder="1" applyAlignment="1">
      <alignment horizontal="left" vertical="center" wrapText="1"/>
    </xf>
    <xf numFmtId="164" fontId="0" fillId="0" borderId="5" xfId="0" applyNumberFormat="1" applyBorder="1" applyAlignment="1">
      <alignment horizontal="left" vertical="center" wrapText="1"/>
    </xf>
    <xf numFmtId="167" fontId="0" fillId="0" borderId="5" xfId="0" applyNumberFormat="1" applyBorder="1" applyAlignment="1">
      <alignment horizontal="left" vertical="center" wrapText="1"/>
    </xf>
    <xf numFmtId="0" fontId="0" fillId="0" borderId="7" xfId="0" applyBorder="1" applyAlignment="1">
      <alignment horizontal="center"/>
    </xf>
    <xf numFmtId="9" fontId="0" fillId="0" borderId="0" xfId="0" applyNumberFormat="1"/>
    <xf numFmtId="0" fontId="4" fillId="2" borderId="4" xfId="0" applyFont="1" applyFill="1" applyBorder="1" applyAlignment="1">
      <alignment horizontal="center" vertical="center" wrapText="1"/>
    </xf>
    <xf numFmtId="164" fontId="4" fillId="2" borderId="4" xfId="0" applyNumberFormat="1" applyFont="1" applyFill="1" applyBorder="1" applyAlignment="1">
      <alignment horizontal="center" vertical="center" wrapText="1"/>
    </xf>
    <xf numFmtId="0" fontId="4" fillId="2" borderId="5" xfId="0" applyFont="1" applyFill="1" applyBorder="1" applyAlignment="1">
      <alignment horizontal="center" vertical="center" wrapText="1"/>
    </xf>
    <xf numFmtId="164" fontId="4" fillId="2" borderId="5" xfId="0" applyNumberFormat="1" applyFont="1" applyFill="1" applyBorder="1" applyAlignment="1">
      <alignment horizontal="center" vertical="center" wrapText="1"/>
    </xf>
    <xf numFmtId="164" fontId="4" fillId="0" borderId="4" xfId="0" applyNumberFormat="1" applyFont="1" applyBorder="1" applyAlignment="1">
      <alignment horizontal="center" vertical="center" wrapText="1"/>
    </xf>
    <xf numFmtId="1" fontId="4" fillId="2" borderId="4" xfId="0" applyNumberFormat="1" applyFont="1" applyFill="1" applyBorder="1" applyAlignment="1">
      <alignment horizontal="right" vertical="center" wrapText="1"/>
    </xf>
    <xf numFmtId="166" fontId="0" fillId="2" borderId="4" xfId="0" applyNumberFormat="1" applyFill="1" applyBorder="1" applyAlignment="1">
      <alignment vertical="center" wrapText="1"/>
    </xf>
    <xf numFmtId="0" fontId="0" fillId="0" borderId="6" xfId="0" applyBorder="1" applyAlignment="1">
      <alignment vertical="center" wrapText="1"/>
    </xf>
    <xf numFmtId="0" fontId="4" fillId="2" borderId="6" xfId="0" applyFont="1" applyFill="1" applyBorder="1" applyAlignment="1">
      <alignment horizontal="center" vertical="center" wrapText="1"/>
    </xf>
    <xf numFmtId="166" fontId="0" fillId="2" borderId="6" xfId="0" applyNumberFormat="1" applyFill="1" applyBorder="1" applyAlignment="1">
      <alignment vertical="center" wrapText="1"/>
    </xf>
    <xf numFmtId="166" fontId="0" fillId="0" borderId="6" xfId="0" applyNumberFormat="1" applyBorder="1" applyAlignment="1">
      <alignment horizontal="right" vertical="center" wrapText="1"/>
    </xf>
    <xf numFmtId="165" fontId="0" fillId="0" borderId="6" xfId="0" applyNumberFormat="1" applyBorder="1" applyAlignment="1">
      <alignment horizontal="right" vertical="center" wrapText="1"/>
    </xf>
    <xf numFmtId="166" fontId="0" fillId="0" borderId="6" xfId="0" applyNumberFormat="1" applyBorder="1" applyAlignment="1">
      <alignment vertical="center" wrapText="1"/>
    </xf>
    <xf numFmtId="166" fontId="0" fillId="0" borderId="6" xfId="0" applyNumberFormat="1" applyBorder="1"/>
    <xf numFmtId="0" fontId="0" fillId="0" borderId="6" xfId="0" applyBorder="1" applyAlignment="1">
      <alignment horizontal="left" vertical="center" wrapText="1"/>
    </xf>
    <xf numFmtId="0" fontId="0" fillId="2" borderId="4" xfId="0" applyFill="1" applyBorder="1" applyAlignment="1">
      <alignment horizontal="center" vertical="center" wrapText="1"/>
    </xf>
    <xf numFmtId="166" fontId="0" fillId="2" borderId="5" xfId="0" applyNumberFormat="1" applyFill="1" applyBorder="1" applyAlignment="1">
      <alignment horizontal="center" vertical="center" wrapText="1"/>
    </xf>
    <xf numFmtId="166" fontId="0" fillId="2" borderId="4" xfId="0" applyNumberFormat="1" applyFill="1" applyBorder="1" applyAlignment="1">
      <alignment horizontal="right" vertical="center" wrapText="1"/>
    </xf>
    <xf numFmtId="0" fontId="0" fillId="2" borderId="6" xfId="0" applyFill="1" applyBorder="1" applyAlignment="1">
      <alignment horizontal="center" vertical="center" wrapText="1"/>
    </xf>
    <xf numFmtId="166" fontId="0" fillId="2" borderId="6" xfId="0" applyNumberFormat="1" applyFill="1" applyBorder="1" applyAlignment="1">
      <alignment horizontal="center" vertical="center" wrapText="1"/>
    </xf>
    <xf numFmtId="166" fontId="0" fillId="2" borderId="6" xfId="0" applyNumberFormat="1" applyFill="1" applyBorder="1" applyAlignment="1">
      <alignment horizontal="right" vertical="center" wrapText="1"/>
    </xf>
    <xf numFmtId="1" fontId="4" fillId="2" borderId="6" xfId="0" applyNumberFormat="1" applyFont="1" applyFill="1" applyBorder="1" applyAlignment="1">
      <alignment horizontal="right" vertical="center" wrapText="1"/>
    </xf>
    <xf numFmtId="0" fontId="3" fillId="0" borderId="1" xfId="0" applyFont="1" applyBorder="1"/>
    <xf numFmtId="0" fontId="0" fillId="0" borderId="1" xfId="0" applyBorder="1"/>
    <xf numFmtId="164" fontId="0" fillId="0" borderId="1" xfId="0" applyNumberFormat="1" applyBorder="1" applyAlignment="1">
      <alignment horizontal="center"/>
    </xf>
    <xf numFmtId="1" fontId="0" fillId="0" borderId="1" xfId="0" applyNumberFormat="1" applyBorder="1" applyAlignment="1">
      <alignment horizontal="center"/>
    </xf>
    <xf numFmtId="9" fontId="0" fillId="2" borderId="0" xfId="0" applyNumberFormat="1" applyFill="1" applyAlignment="1">
      <alignment vertical="center" wrapText="1"/>
    </xf>
    <xf numFmtId="0" fontId="0" fillId="0" borderId="3" xfId="0" applyBorder="1"/>
    <xf numFmtId="0" fontId="2" fillId="0" borderId="1" xfId="0" applyFont="1" applyBorder="1"/>
    <xf numFmtId="0" fontId="2" fillId="0" borderId="9" xfId="0" applyFont="1" applyBorder="1" applyAlignment="1">
      <alignment horizontal="center"/>
    </xf>
    <xf numFmtId="0" fontId="2" fillId="0" borderId="8" xfId="0" applyFont="1" applyBorder="1"/>
    <xf numFmtId="9" fontId="0" fillId="0" borderId="0" xfId="1" applyFont="1" applyBorder="1"/>
    <xf numFmtId="1" fontId="0" fillId="0" borderId="8" xfId="0" applyNumberFormat="1" applyBorder="1" applyAlignment="1">
      <alignment horizontal="center"/>
    </xf>
    <xf numFmtId="0" fontId="0" fillId="0" borderId="9" xfId="0" applyBorder="1"/>
    <xf numFmtId="0" fontId="2" fillId="0" borderId="10" xfId="0" applyFont="1" applyBorder="1"/>
    <xf numFmtId="0" fontId="2" fillId="0" borderId="11" xfId="0" applyFont="1" applyBorder="1"/>
    <xf numFmtId="0" fontId="2" fillId="0" borderId="13" xfId="0" applyFont="1" applyBorder="1"/>
    <xf numFmtId="164" fontId="0" fillId="0" borderId="0" xfId="0" applyNumberFormat="1"/>
    <xf numFmtId="0" fontId="0" fillId="0" borderId="1" xfId="0" applyBorder="1" applyAlignment="1">
      <alignment horizontal="center"/>
    </xf>
    <xf numFmtId="166" fontId="0" fillId="0" borderId="1" xfId="0" applyNumberFormat="1" applyBorder="1" applyAlignment="1">
      <alignment vertical="center" wrapText="1"/>
    </xf>
    <xf numFmtId="0" fontId="0" fillId="0" borderId="1" xfId="0" applyBorder="1" applyAlignment="1">
      <alignment horizontal="left" vertical="center" wrapText="1"/>
    </xf>
    <xf numFmtId="0" fontId="0" fillId="0" borderId="8" xfId="0" applyBorder="1" applyAlignment="1">
      <alignment horizontal="center"/>
    </xf>
    <xf numFmtId="9" fontId="4" fillId="2" borderId="9" xfId="0" applyNumberFormat="1" applyFont="1" applyFill="1" applyBorder="1"/>
    <xf numFmtId="166" fontId="4" fillId="2" borderId="4" xfId="0" applyNumberFormat="1" applyFont="1" applyFill="1" applyBorder="1" applyAlignment="1">
      <alignment vertical="center" wrapText="1"/>
    </xf>
    <xf numFmtId="166" fontId="4" fillId="2" borderId="6" xfId="0" applyNumberFormat="1" applyFont="1" applyFill="1" applyBorder="1" applyAlignment="1">
      <alignment vertical="center" wrapText="1"/>
    </xf>
    <xf numFmtId="166" fontId="4" fillId="2" borderId="5" xfId="0" applyNumberFormat="1" applyFont="1" applyFill="1" applyBorder="1" applyAlignment="1">
      <alignment horizontal="right" vertical="center" wrapText="1"/>
    </xf>
    <xf numFmtId="166" fontId="4" fillId="2" borderId="4" xfId="0" applyNumberFormat="1" applyFont="1" applyFill="1" applyBorder="1" applyAlignment="1">
      <alignment horizontal="right" vertical="center" wrapText="1"/>
    </xf>
    <xf numFmtId="166" fontId="4" fillId="2" borderId="6" xfId="0" applyNumberFormat="1" applyFont="1" applyFill="1" applyBorder="1" applyAlignment="1">
      <alignment horizontal="right" vertical="center" wrapText="1"/>
    </xf>
    <xf numFmtId="0" fontId="2" fillId="0" borderId="15" xfId="0" applyFont="1" applyBorder="1" applyAlignment="1">
      <alignment horizontal="center"/>
    </xf>
    <xf numFmtId="166" fontId="0" fillId="0" borderId="16" xfId="0" applyNumberFormat="1" applyBorder="1"/>
    <xf numFmtId="166" fontId="0" fillId="0" borderId="17" xfId="0" applyNumberFormat="1" applyBorder="1"/>
    <xf numFmtId="166" fontId="0" fillId="0" borderId="7" xfId="0" applyNumberFormat="1" applyBorder="1" applyAlignment="1">
      <alignment vertical="center" wrapText="1"/>
    </xf>
    <xf numFmtId="165" fontId="0" fillId="0" borderId="1" xfId="0" applyNumberFormat="1" applyBorder="1"/>
    <xf numFmtId="166" fontId="0" fillId="0" borderId="1" xfId="0" applyNumberFormat="1" applyBorder="1" applyAlignment="1">
      <alignment horizontal="center"/>
    </xf>
    <xf numFmtId="166" fontId="0" fillId="0" borderId="1" xfId="0" applyNumberFormat="1" applyBorder="1" applyAlignment="1">
      <alignment horizontal="left" vertical="center" wrapText="1"/>
    </xf>
    <xf numFmtId="0" fontId="2" fillId="0" borderId="7" xfId="0" applyFont="1" applyBorder="1" applyAlignment="1">
      <alignment horizontal="center"/>
    </xf>
    <xf numFmtId="165" fontId="0" fillId="0" borderId="7" xfId="0" applyNumberFormat="1" applyBorder="1"/>
    <xf numFmtId="166" fontId="2" fillId="0" borderId="1" xfId="0" applyNumberFormat="1" applyFont="1" applyBorder="1"/>
    <xf numFmtId="166" fontId="2" fillId="0" borderId="1" xfId="0" applyNumberFormat="1" applyFont="1" applyBorder="1" applyAlignment="1">
      <alignment vertical="center" wrapText="1"/>
    </xf>
    <xf numFmtId="0" fontId="2" fillId="0" borderId="8" xfId="0" applyFont="1" applyBorder="1" applyAlignment="1">
      <alignment horizontal="center"/>
    </xf>
    <xf numFmtId="166" fontId="2" fillId="0" borderId="7" xfId="0" applyNumberFormat="1" applyFont="1" applyBorder="1"/>
    <xf numFmtId="0" fontId="0" fillId="0" borderId="8" xfId="0" applyBorder="1" applyAlignment="1">
      <alignment horizontal="right"/>
    </xf>
    <xf numFmtId="2" fontId="0" fillId="2" borderId="9" xfId="0" applyNumberFormat="1" applyFill="1" applyBorder="1" applyAlignment="1">
      <alignment horizontal="center"/>
    </xf>
    <xf numFmtId="1" fontId="2" fillId="0" borderId="1" xfId="0" applyNumberFormat="1" applyFont="1" applyBorder="1"/>
    <xf numFmtId="0" fontId="0" fillId="0" borderId="3" xfId="0" applyBorder="1" applyAlignment="1">
      <alignment horizontal="center"/>
    </xf>
    <xf numFmtId="0" fontId="0" fillId="0" borderId="3" xfId="0" applyBorder="1" applyAlignment="1">
      <alignment horizontal="left" vertical="center" wrapText="1"/>
    </xf>
    <xf numFmtId="166" fontId="2" fillId="0" borderId="3" xfId="0" applyNumberFormat="1" applyFont="1" applyBorder="1"/>
    <xf numFmtId="166" fontId="2" fillId="0" borderId="3" xfId="0" applyNumberFormat="1" applyFont="1" applyBorder="1" applyAlignment="1">
      <alignment vertical="center" wrapText="1"/>
    </xf>
    <xf numFmtId="166" fontId="2" fillId="0" borderId="19" xfId="0" applyNumberFormat="1" applyFont="1" applyBorder="1" applyAlignment="1">
      <alignment vertical="center" wrapText="1"/>
    </xf>
    <xf numFmtId="9" fontId="4" fillId="2" borderId="0" xfId="0" applyNumberFormat="1" applyFont="1" applyFill="1"/>
    <xf numFmtId="0" fontId="7" fillId="6" borderId="1" xfId="0" applyFont="1" applyFill="1" applyBorder="1" applyAlignment="1">
      <alignment horizontal="center"/>
    </xf>
    <xf numFmtId="166" fontId="2" fillId="7" borderId="1" xfId="0" applyNumberFormat="1" applyFont="1" applyFill="1" applyBorder="1"/>
    <xf numFmtId="9" fontId="0" fillId="7" borderId="3" xfId="1" applyFont="1" applyFill="1" applyBorder="1"/>
    <xf numFmtId="9" fontId="0" fillId="7" borderId="12" xfId="1" applyFont="1" applyFill="1" applyBorder="1"/>
    <xf numFmtId="166" fontId="0" fillId="0" borderId="13" xfId="0" applyNumberFormat="1" applyBorder="1"/>
    <xf numFmtId="166" fontId="2" fillId="7" borderId="8" xfId="0" applyNumberFormat="1" applyFont="1" applyFill="1" applyBorder="1"/>
    <xf numFmtId="166" fontId="2" fillId="7" borderId="9" xfId="0" applyNumberFormat="1" applyFont="1" applyFill="1" applyBorder="1"/>
    <xf numFmtId="0" fontId="2" fillId="0" borderId="7" xfId="0" applyFont="1" applyBorder="1"/>
    <xf numFmtId="0" fontId="0" fillId="0" borderId="19" xfId="0" applyBorder="1"/>
    <xf numFmtId="0" fontId="2" fillId="7" borderId="7" xfId="0" applyFont="1" applyFill="1" applyBorder="1"/>
    <xf numFmtId="0" fontId="7" fillId="6" borderId="8" xfId="0" applyFont="1" applyFill="1" applyBorder="1" applyAlignment="1">
      <alignment horizontal="center"/>
    </xf>
    <xf numFmtId="166" fontId="5" fillId="4" borderId="15" xfId="0" applyNumberFormat="1" applyFont="1" applyFill="1" applyBorder="1"/>
    <xf numFmtId="166" fontId="5" fillId="3" borderId="20" xfId="0" applyNumberFormat="1" applyFont="1" applyFill="1" applyBorder="1"/>
    <xf numFmtId="168" fontId="5" fillId="3" borderId="19" xfId="1" applyNumberFormat="1" applyFont="1" applyFill="1" applyBorder="1"/>
    <xf numFmtId="0" fontId="0" fillId="0" borderId="10" xfId="0" applyBorder="1"/>
    <xf numFmtId="164" fontId="0" fillId="7" borderId="7" xfId="0" applyNumberFormat="1" applyFill="1" applyBorder="1" applyAlignment="1">
      <alignment horizontal="center"/>
    </xf>
    <xf numFmtId="0" fontId="0" fillId="0" borderId="11" xfId="0" applyBorder="1"/>
    <xf numFmtId="166" fontId="5" fillId="3" borderId="19" xfId="0" applyNumberFormat="1" applyFont="1" applyFill="1" applyBorder="1"/>
    <xf numFmtId="166" fontId="5" fillId="4" borderId="7" xfId="0" applyNumberFormat="1" applyFont="1" applyFill="1" applyBorder="1"/>
    <xf numFmtId="0" fontId="2" fillId="0" borderId="0" xfId="0" applyFont="1"/>
    <xf numFmtId="0" fontId="0" fillId="0" borderId="2" xfId="0" applyBorder="1"/>
    <xf numFmtId="9" fontId="0" fillId="0" borderId="0" xfId="0" applyNumberFormat="1" applyAlignment="1">
      <alignment horizontal="center"/>
    </xf>
    <xf numFmtId="0" fontId="9" fillId="2" borderId="0" xfId="0" applyFont="1" applyFill="1" applyAlignment="1">
      <alignment horizontal="center"/>
    </xf>
    <xf numFmtId="166" fontId="0" fillId="0" borderId="0" xfId="0" applyNumberFormat="1" applyAlignment="1">
      <alignment horizontal="center"/>
    </xf>
    <xf numFmtId="166" fontId="0" fillId="0" borderId="3" xfId="0" applyNumberFormat="1" applyBorder="1" applyAlignment="1">
      <alignment horizontal="center"/>
    </xf>
    <xf numFmtId="0" fontId="10" fillId="9" borderId="0" xfId="0" applyFont="1" applyFill="1"/>
    <xf numFmtId="0" fontId="8" fillId="9" borderId="0" xfId="0" applyFont="1" applyFill="1"/>
    <xf numFmtId="0" fontId="0" fillId="0" borderId="15" xfId="0" applyBorder="1"/>
    <xf numFmtId="0" fontId="0" fillId="0" borderId="4" xfId="0" applyBorder="1"/>
    <xf numFmtId="0" fontId="0" fillId="0" borderId="0" xfId="0" quotePrefix="1" applyAlignment="1">
      <alignment horizontal="center"/>
    </xf>
    <xf numFmtId="1" fontId="0" fillId="0" borderId="4" xfId="0" applyNumberFormat="1" applyBorder="1" applyAlignment="1">
      <alignment horizontal="center"/>
    </xf>
    <xf numFmtId="9" fontId="9" fillId="2" borderId="0" xfId="0" applyNumberFormat="1" applyFont="1" applyFill="1" applyAlignment="1">
      <alignment horizontal="center"/>
    </xf>
    <xf numFmtId="166" fontId="0" fillId="0" borderId="0" xfId="0" quotePrefix="1" applyNumberFormat="1" applyAlignment="1">
      <alignment horizontal="center"/>
    </xf>
    <xf numFmtId="9" fontId="0" fillId="0" borderId="4" xfId="0" quotePrefix="1" applyNumberFormat="1" applyBorder="1" applyAlignment="1">
      <alignment horizontal="center"/>
    </xf>
    <xf numFmtId="1" fontId="9" fillId="2" borderId="0" xfId="0" applyNumberFormat="1" applyFont="1" applyFill="1" applyAlignment="1">
      <alignment horizontal="center"/>
    </xf>
    <xf numFmtId="0" fontId="9" fillId="2" borderId="2" xfId="0" applyFont="1" applyFill="1" applyBorder="1" applyAlignment="1">
      <alignment horizontal="center"/>
    </xf>
    <xf numFmtId="0" fontId="0" fillId="0" borderId="22" xfId="0" applyBorder="1"/>
    <xf numFmtId="166" fontId="11" fillId="0" borderId="22" xfId="0" applyNumberFormat="1" applyFont="1" applyBorder="1" applyAlignment="1">
      <alignment horizontal="center"/>
    </xf>
    <xf numFmtId="166" fontId="2" fillId="0" borderId="0" xfId="0" applyNumberFormat="1" applyFont="1"/>
    <xf numFmtId="6" fontId="0" fillId="0" borderId="0" xfId="0" applyNumberFormat="1"/>
    <xf numFmtId="0" fontId="4" fillId="2" borderId="0" xfId="0" applyFont="1" applyFill="1" applyAlignment="1">
      <alignment horizontal="center" vertical="center" wrapText="1"/>
    </xf>
    <xf numFmtId="0" fontId="4" fillId="2" borderId="18" xfId="0" applyFont="1" applyFill="1" applyBorder="1" applyAlignment="1">
      <alignment horizontal="center" vertical="center" wrapText="1"/>
    </xf>
    <xf numFmtId="0" fontId="0" fillId="0" borderId="1" xfId="0" applyBorder="1" applyAlignment="1">
      <alignment horizontal="right"/>
    </xf>
    <xf numFmtId="0" fontId="0" fillId="0" borderId="8" xfId="0" applyBorder="1"/>
    <xf numFmtId="0" fontId="0" fillId="0" borderId="1" xfId="0" applyBorder="1" applyAlignment="1">
      <alignment vertical="center" wrapText="1"/>
    </xf>
    <xf numFmtId="9" fontId="0" fillId="2" borderId="1" xfId="0" applyNumberFormat="1" applyFill="1" applyBorder="1" applyAlignment="1">
      <alignment vertical="center" wrapText="1"/>
    </xf>
    <xf numFmtId="165" fontId="0" fillId="0" borderId="9" xfId="0" applyNumberFormat="1" applyBorder="1"/>
    <xf numFmtId="10" fontId="0" fillId="0" borderId="0" xfId="0" applyNumberFormat="1" applyAlignment="1">
      <alignment horizontal="center"/>
    </xf>
    <xf numFmtId="166" fontId="2" fillId="0" borderId="11" xfId="0" applyNumberFormat="1" applyFont="1" applyBorder="1"/>
    <xf numFmtId="10" fontId="0" fillId="0" borderId="14" xfId="1" applyNumberFormat="1" applyFont="1" applyBorder="1" applyAlignment="1">
      <alignment horizontal="right"/>
    </xf>
    <xf numFmtId="9" fontId="2" fillId="7" borderId="9" xfId="1" applyFont="1" applyFill="1" applyBorder="1"/>
    <xf numFmtId="166" fontId="0" fillId="0" borderId="14" xfId="0" applyNumberFormat="1" applyBorder="1" applyAlignment="1">
      <alignment horizontal="right"/>
    </xf>
    <xf numFmtId="166" fontId="2" fillId="0" borderId="12" xfId="0" applyNumberFormat="1" applyFont="1" applyBorder="1" applyAlignment="1">
      <alignment horizontal="right"/>
    </xf>
    <xf numFmtId="0" fontId="6" fillId="2" borderId="1" xfId="0" applyFont="1" applyFill="1" applyBorder="1"/>
    <xf numFmtId="0" fontId="0" fillId="2" borderId="1" xfId="0" applyFill="1" applyBorder="1"/>
    <xf numFmtId="0" fontId="0" fillId="0" borderId="9" xfId="0" applyBorder="1" applyAlignment="1">
      <alignment horizontal="center"/>
    </xf>
    <xf numFmtId="1" fontId="11" fillId="0" borderId="4" xfId="1" applyNumberFormat="1" applyFont="1" applyFill="1" applyBorder="1" applyAlignment="1">
      <alignment horizontal="center"/>
    </xf>
    <xf numFmtId="166" fontId="11" fillId="0" borderId="4" xfId="1" applyNumberFormat="1" applyFont="1" applyFill="1" applyBorder="1" applyAlignment="1">
      <alignment horizontal="center"/>
    </xf>
    <xf numFmtId="166" fontId="11" fillId="0" borderId="0" xfId="1" applyNumberFormat="1" applyFont="1" applyFill="1" applyBorder="1" applyAlignment="1">
      <alignment horizontal="center"/>
    </xf>
    <xf numFmtId="9" fontId="9" fillId="10" borderId="0" xfId="1" applyFont="1" applyFill="1" applyBorder="1" applyAlignment="1">
      <alignment horizontal="center"/>
    </xf>
    <xf numFmtId="164" fontId="0" fillId="2" borderId="15" xfId="0" applyNumberFormat="1" applyFill="1" applyBorder="1" applyAlignment="1">
      <alignment horizontal="center"/>
    </xf>
    <xf numFmtId="164" fontId="0" fillId="2" borderId="20" xfId="0" applyNumberFormat="1" applyFill="1" applyBorder="1" applyAlignment="1">
      <alignment horizontal="center"/>
    </xf>
    <xf numFmtId="0" fontId="13" fillId="0" borderId="23"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26" xfId="0" applyFont="1" applyBorder="1" applyAlignment="1">
      <alignment horizontal="center" vertical="center" wrapText="1"/>
    </xf>
    <xf numFmtId="0" fontId="14" fillId="11" borderId="27" xfId="0" applyFont="1" applyFill="1" applyBorder="1" applyAlignment="1">
      <alignment horizontal="center" vertical="center"/>
    </xf>
    <xf numFmtId="0" fontId="14" fillId="11" borderId="28" xfId="0" applyFont="1" applyFill="1" applyBorder="1" applyAlignment="1">
      <alignment horizontal="center" vertical="center"/>
    </xf>
    <xf numFmtId="0" fontId="14" fillId="11" borderId="29" xfId="0" applyFont="1" applyFill="1" applyBorder="1" applyAlignment="1">
      <alignment horizontal="center" vertical="center"/>
    </xf>
    <xf numFmtId="0" fontId="14" fillId="11" borderId="30" xfId="0" applyFont="1" applyFill="1" applyBorder="1" applyAlignment="1">
      <alignment horizontal="center" vertical="center"/>
    </xf>
    <xf numFmtId="0" fontId="14" fillId="0" borderId="27"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12" borderId="27" xfId="0" applyFont="1" applyFill="1" applyBorder="1" applyAlignment="1">
      <alignment horizontal="center" vertical="center"/>
    </xf>
    <xf numFmtId="0" fontId="14" fillId="12" borderId="28" xfId="0" applyFont="1" applyFill="1" applyBorder="1" applyAlignment="1">
      <alignment horizontal="center" vertical="center"/>
    </xf>
    <xf numFmtId="0" fontId="14" fillId="12" borderId="29" xfId="0" applyFont="1" applyFill="1" applyBorder="1" applyAlignment="1">
      <alignment horizontal="center" vertical="center"/>
    </xf>
    <xf numFmtId="0" fontId="14" fillId="12" borderId="30" xfId="0" applyFont="1" applyFill="1" applyBorder="1" applyAlignment="1">
      <alignment horizontal="center" vertical="center"/>
    </xf>
    <xf numFmtId="0" fontId="14" fillId="0" borderId="0" xfId="0" applyFont="1"/>
    <xf numFmtId="0" fontId="14" fillId="12" borderId="31" xfId="0" applyFont="1" applyFill="1" applyBorder="1" applyAlignment="1">
      <alignment horizontal="center" vertical="center"/>
    </xf>
    <xf numFmtId="0" fontId="14" fillId="12" borderId="32" xfId="0" applyFont="1" applyFill="1" applyBorder="1" applyAlignment="1">
      <alignment horizontal="center" vertical="center"/>
    </xf>
    <xf numFmtId="0" fontId="14" fillId="12" borderId="33" xfId="0" applyFont="1" applyFill="1" applyBorder="1" applyAlignment="1">
      <alignment horizontal="center" vertical="center"/>
    </xf>
    <xf numFmtId="0" fontId="14" fillId="12" borderId="34" xfId="0" applyFont="1" applyFill="1" applyBorder="1" applyAlignment="1">
      <alignment horizontal="center" vertical="center"/>
    </xf>
    <xf numFmtId="0" fontId="14" fillId="0" borderId="0" xfId="0" applyFont="1" applyAlignment="1">
      <alignment horizontal="center" vertical="center"/>
    </xf>
    <xf numFmtId="0" fontId="15" fillId="13" borderId="7" xfId="0" applyFont="1" applyFill="1" applyBorder="1" applyAlignment="1">
      <alignment horizontal="center"/>
    </xf>
    <xf numFmtId="0" fontId="15" fillId="13" borderId="7" xfId="0" applyFont="1" applyFill="1" applyBorder="1" applyAlignment="1">
      <alignment horizontal="center" wrapText="1"/>
    </xf>
    <xf numFmtId="0" fontId="16" fillId="14" borderId="7" xfId="0" applyFont="1" applyFill="1" applyBorder="1" applyAlignment="1">
      <alignment horizontal="center"/>
    </xf>
    <xf numFmtId="2" fontId="15" fillId="13" borderId="7" xfId="0" applyNumberFormat="1" applyFont="1" applyFill="1" applyBorder="1" applyAlignment="1">
      <alignment horizontal="center" wrapText="1"/>
    </xf>
    <xf numFmtId="0" fontId="0" fillId="0" borderId="20" xfId="0" applyBorder="1" applyAlignment="1">
      <alignment horizontal="center"/>
    </xf>
    <xf numFmtId="0" fontId="0" fillId="0" borderId="19" xfId="0" applyBorder="1" applyAlignment="1">
      <alignment horizontal="center"/>
    </xf>
    <xf numFmtId="166" fontId="0" fillId="0" borderId="5" xfId="0" applyNumberFormat="1" applyBorder="1" applyAlignment="1">
      <alignment horizontal="right" vertical="center" wrapText="1"/>
    </xf>
    <xf numFmtId="0" fontId="0" fillId="0" borderId="35" xfId="0" applyBorder="1" applyAlignment="1">
      <alignment horizontal="center"/>
    </xf>
    <xf numFmtId="0" fontId="0" fillId="0" borderId="35" xfId="0" applyBorder="1"/>
    <xf numFmtId="0" fontId="0" fillId="0" borderId="36" xfId="0" applyBorder="1" applyAlignment="1">
      <alignment horizontal="center"/>
    </xf>
    <xf numFmtId="0" fontId="0" fillId="0" borderId="36" xfId="0" applyBorder="1"/>
    <xf numFmtId="0" fontId="0" fillId="0" borderId="37" xfId="0" applyBorder="1"/>
    <xf numFmtId="9" fontId="0" fillId="0" borderId="0" xfId="1" applyFont="1"/>
    <xf numFmtId="9" fontId="0" fillId="15" borderId="0" xfId="0" applyNumberFormat="1" applyFill="1"/>
    <xf numFmtId="0" fontId="2" fillId="0" borderId="3" xfId="0" applyFont="1" applyBorder="1" applyAlignment="1">
      <alignment horizontal="center"/>
    </xf>
    <xf numFmtId="9" fontId="0" fillId="15" borderId="3" xfId="0" applyNumberFormat="1" applyFill="1" applyBorder="1"/>
    <xf numFmtId="49" fontId="0" fillId="0" borderId="8" xfId="0" applyNumberFormat="1" applyBorder="1" applyAlignment="1">
      <alignment horizontal="center"/>
    </xf>
    <xf numFmtId="0" fontId="0" fillId="0" borderId="20" xfId="0" applyBorder="1"/>
    <xf numFmtId="164" fontId="11" fillId="8" borderId="9" xfId="0" applyNumberFormat="1" applyFont="1" applyFill="1" applyBorder="1" applyAlignment="1">
      <alignment horizontal="center"/>
    </xf>
    <xf numFmtId="0" fontId="17" fillId="8" borderId="9" xfId="0" applyFont="1" applyFill="1" applyBorder="1" applyAlignment="1">
      <alignment horizontal="center"/>
    </xf>
    <xf numFmtId="166" fontId="0" fillId="0" borderId="3" xfId="0" applyNumberFormat="1" applyBorder="1"/>
    <xf numFmtId="164" fontId="0" fillId="0" borderId="1" xfId="0" applyNumberFormat="1" applyBorder="1"/>
    <xf numFmtId="9" fontId="0" fillId="0" borderId="0" xfId="1" quotePrefix="1" applyFont="1" applyAlignment="1">
      <alignment horizontal="center"/>
    </xf>
    <xf numFmtId="0" fontId="0" fillId="0" borderId="13"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166" fontId="0" fillId="0" borderId="14" xfId="2" applyNumberFormat="1" applyFont="1" applyBorder="1" applyAlignment="1">
      <alignment horizontal="center"/>
    </xf>
    <xf numFmtId="166" fontId="0" fillId="0" borderId="12" xfId="2" applyNumberFormat="1" applyFont="1" applyBorder="1" applyAlignment="1">
      <alignment horizontal="center"/>
    </xf>
    <xf numFmtId="166" fontId="0" fillId="0" borderId="19" xfId="0" applyNumberFormat="1" applyBorder="1"/>
    <xf numFmtId="1" fontId="8" fillId="9" borderId="1" xfId="0" applyNumberFormat="1" applyFont="1" applyFill="1" applyBorder="1" applyAlignment="1">
      <alignment horizontal="right"/>
    </xf>
    <xf numFmtId="10" fontId="18" fillId="5" borderId="1" xfId="0" applyNumberFormat="1" applyFont="1" applyFill="1" applyBorder="1" applyAlignment="1">
      <alignment horizontal="center"/>
    </xf>
    <xf numFmtId="0" fontId="7" fillId="9" borderId="1" xfId="0" applyFont="1" applyFill="1" applyBorder="1"/>
    <xf numFmtId="0" fontId="8" fillId="9" borderId="1" xfId="0" applyFont="1" applyFill="1" applyBorder="1"/>
    <xf numFmtId="49" fontId="8" fillId="9" borderId="1" xfId="0" applyNumberFormat="1" applyFont="1" applyFill="1" applyBorder="1" applyAlignment="1">
      <alignment horizontal="center"/>
    </xf>
    <xf numFmtId="164" fontId="8" fillId="9" borderId="1" xfId="0" applyNumberFormat="1" applyFont="1" applyFill="1" applyBorder="1" applyAlignment="1">
      <alignment horizontal="center"/>
    </xf>
    <xf numFmtId="1" fontId="8" fillId="9" borderId="1" xfId="0" applyNumberFormat="1" applyFont="1" applyFill="1" applyBorder="1" applyAlignment="1">
      <alignment horizontal="center"/>
    </xf>
    <xf numFmtId="0" fontId="0" fillId="0" borderId="38" xfId="0" applyBorder="1" applyAlignment="1">
      <alignment horizontal="center"/>
    </xf>
    <xf numFmtId="0" fontId="18" fillId="2" borderId="39" xfId="0" applyFont="1" applyFill="1" applyBorder="1"/>
    <xf numFmtId="0" fontId="18" fillId="2" borderId="39" xfId="0" applyFont="1" applyFill="1" applyBorder="1" applyAlignment="1">
      <alignment horizontal="center"/>
    </xf>
    <xf numFmtId="166" fontId="18" fillId="2" borderId="39" xfId="0" applyNumberFormat="1" applyFont="1" applyFill="1" applyBorder="1"/>
    <xf numFmtId="166" fontId="0" fillId="0" borderId="39" xfId="0" applyNumberFormat="1" applyBorder="1"/>
    <xf numFmtId="49" fontId="18" fillId="2" borderId="39" xfId="0" applyNumberFormat="1" applyFont="1" applyFill="1" applyBorder="1" applyAlignment="1">
      <alignment horizontal="center"/>
    </xf>
    <xf numFmtId="164" fontId="18" fillId="2" borderId="39" xfId="0" applyNumberFormat="1" applyFont="1" applyFill="1" applyBorder="1" applyAlignment="1">
      <alignment horizontal="center"/>
    </xf>
    <xf numFmtId="1" fontId="18" fillId="2" borderId="39" xfId="0" applyNumberFormat="1" applyFont="1" applyFill="1" applyBorder="1" applyAlignment="1">
      <alignment horizontal="center"/>
    </xf>
    <xf numFmtId="166" fontId="0" fillId="0" borderId="39" xfId="0" applyNumberFormat="1" applyBorder="1" applyAlignment="1">
      <alignment horizontal="right"/>
    </xf>
    <xf numFmtId="0" fontId="0" fillId="0" borderId="40" xfId="0" applyBorder="1" applyAlignment="1">
      <alignment horizontal="center"/>
    </xf>
    <xf numFmtId="0" fontId="18" fillId="2" borderId="41" xfId="0" applyFont="1" applyFill="1" applyBorder="1"/>
    <xf numFmtId="0" fontId="18" fillId="2" borderId="41" xfId="0" applyFont="1" applyFill="1" applyBorder="1" applyAlignment="1">
      <alignment horizontal="center"/>
    </xf>
    <xf numFmtId="166" fontId="18" fillId="2" borderId="41" xfId="0" applyNumberFormat="1" applyFont="1" applyFill="1" applyBorder="1"/>
    <xf numFmtId="166" fontId="0" fillId="0" borderId="41" xfId="0" applyNumberFormat="1" applyBorder="1"/>
    <xf numFmtId="49" fontId="18" fillId="2" borderId="41" xfId="0" applyNumberFormat="1" applyFont="1" applyFill="1" applyBorder="1" applyAlignment="1">
      <alignment horizontal="center"/>
    </xf>
    <xf numFmtId="164" fontId="18" fillId="2" borderId="41" xfId="0" applyNumberFormat="1" applyFont="1" applyFill="1" applyBorder="1" applyAlignment="1">
      <alignment horizontal="center"/>
    </xf>
    <xf numFmtId="1" fontId="18" fillId="2" borderId="41" xfId="0" applyNumberFormat="1" applyFont="1" applyFill="1" applyBorder="1" applyAlignment="1">
      <alignment horizontal="center"/>
    </xf>
    <xf numFmtId="166" fontId="0" fillId="0" borderId="41" xfId="0" applyNumberFormat="1" applyBorder="1" applyAlignment="1">
      <alignment horizontal="right"/>
    </xf>
    <xf numFmtId="0" fontId="0" fillId="0" borderId="42" xfId="0" applyBorder="1" applyAlignment="1">
      <alignment horizontal="center"/>
    </xf>
    <xf numFmtId="0" fontId="18" fillId="2" borderId="43" xfId="0" applyFont="1" applyFill="1" applyBorder="1"/>
    <xf numFmtId="0" fontId="18" fillId="2" borderId="43" xfId="0" applyFont="1" applyFill="1" applyBorder="1" applyAlignment="1">
      <alignment horizontal="center"/>
    </xf>
    <xf numFmtId="166" fontId="18" fillId="2" borderId="43" xfId="0" applyNumberFormat="1" applyFont="1" applyFill="1" applyBorder="1"/>
    <xf numFmtId="166" fontId="0" fillId="0" borderId="43" xfId="0" applyNumberFormat="1" applyBorder="1"/>
    <xf numFmtId="49" fontId="18" fillId="2" borderId="43" xfId="0" applyNumberFormat="1" applyFont="1" applyFill="1" applyBorder="1" applyAlignment="1">
      <alignment horizontal="center"/>
    </xf>
    <xf numFmtId="164" fontId="18" fillId="2" borderId="43" xfId="0" applyNumberFormat="1" applyFont="1" applyFill="1" applyBorder="1" applyAlignment="1">
      <alignment horizontal="center"/>
    </xf>
    <xf numFmtId="1" fontId="18" fillId="2" borderId="43" xfId="0" applyNumberFormat="1" applyFont="1" applyFill="1" applyBorder="1" applyAlignment="1">
      <alignment horizontal="center"/>
    </xf>
    <xf numFmtId="166" fontId="0" fillId="0" borderId="43" xfId="0" applyNumberFormat="1" applyBorder="1" applyAlignment="1">
      <alignment horizontal="right"/>
    </xf>
    <xf numFmtId="166" fontId="0" fillId="0" borderId="7" xfId="0" applyNumberFormat="1" applyBorder="1"/>
    <xf numFmtId="0" fontId="0" fillId="0" borderId="12" xfId="0" applyBorder="1"/>
    <xf numFmtId="166" fontId="0" fillId="0" borderId="9" xfId="0" applyNumberFormat="1" applyBorder="1"/>
    <xf numFmtId="0" fontId="0" fillId="0" borderId="44" xfId="0" applyBorder="1" applyAlignment="1">
      <alignment horizontal="center"/>
    </xf>
    <xf numFmtId="166" fontId="0" fillId="0" borderId="44" xfId="0" applyNumberFormat="1" applyBorder="1"/>
    <xf numFmtId="0" fontId="0" fillId="0" borderId="45" xfId="0" applyBorder="1"/>
    <xf numFmtId="166" fontId="0" fillId="0" borderId="45" xfId="0" applyNumberFormat="1" applyBorder="1"/>
    <xf numFmtId="0" fontId="0" fillId="0" borderId="5" xfId="0" applyBorder="1"/>
    <xf numFmtId="0" fontId="0" fillId="0" borderId="5" xfId="0" applyBorder="1" applyAlignment="1">
      <alignment horizontal="center"/>
    </xf>
    <xf numFmtId="166" fontId="0" fillId="0" borderId="5" xfId="0" applyNumberFormat="1" applyBorder="1"/>
    <xf numFmtId="0" fontId="0" fillId="0" borderId="46" xfId="0" applyBorder="1"/>
    <xf numFmtId="166" fontId="0" fillId="0" borderId="46" xfId="0" applyNumberFormat="1" applyBorder="1"/>
    <xf numFmtId="0" fontId="19" fillId="0" borderId="5" xfId="0" applyFont="1" applyBorder="1" applyAlignment="1">
      <alignment horizontal="center"/>
    </xf>
    <xf numFmtId="0" fontId="0" fillId="0" borderId="6" xfId="0" applyBorder="1"/>
    <xf numFmtId="0" fontId="19" fillId="0" borderId="6" xfId="0" applyFont="1" applyBorder="1" applyAlignment="1">
      <alignment horizontal="center"/>
    </xf>
    <xf numFmtId="0" fontId="0" fillId="0" borderId="17" xfId="0" applyBorder="1"/>
    <xf numFmtId="0" fontId="0" fillId="0" borderId="47" xfId="0" applyBorder="1"/>
    <xf numFmtId="0" fontId="0" fillId="0" borderId="48" xfId="0" applyBorder="1"/>
    <xf numFmtId="0" fontId="0" fillId="0" borderId="49" xfId="0" applyBorder="1"/>
    <xf numFmtId="0" fontId="0" fillId="0" borderId="50" xfId="0" applyBorder="1"/>
    <xf numFmtId="0" fontId="0" fillId="0" borderId="4" xfId="0" applyBorder="1" applyAlignment="1">
      <alignment horizontal="center"/>
    </xf>
    <xf numFmtId="0" fontId="0" fillId="9" borderId="14" xfId="0" applyFill="1" applyBorder="1"/>
    <xf numFmtId="49" fontId="0" fillId="0" borderId="9" xfId="0" applyNumberFormat="1" applyBorder="1" applyAlignment="1">
      <alignment horizontal="center"/>
    </xf>
    <xf numFmtId="166" fontId="0" fillId="0" borderId="51" xfId="0" applyNumberFormat="1" applyBorder="1" applyAlignment="1">
      <alignment horizontal="right"/>
    </xf>
    <xf numFmtId="166" fontId="0" fillId="0" borderId="52" xfId="0" applyNumberFormat="1" applyBorder="1" applyAlignment="1">
      <alignment horizontal="right"/>
    </xf>
    <xf numFmtId="166" fontId="0" fillId="0" borderId="53" xfId="0" applyNumberFormat="1" applyBorder="1" applyAlignment="1">
      <alignment horizontal="right"/>
    </xf>
    <xf numFmtId="0" fontId="8" fillId="9" borderId="1" xfId="0" applyFont="1" applyFill="1" applyBorder="1" applyAlignment="1">
      <alignment horizontal="left"/>
    </xf>
    <xf numFmtId="1" fontId="0" fillId="0" borderId="14" xfId="2" applyNumberFormat="1" applyFont="1" applyBorder="1" applyAlignment="1">
      <alignment horizontal="center"/>
    </xf>
    <xf numFmtId="1" fontId="0" fillId="0" borderId="12" xfId="2" applyNumberFormat="1" applyFont="1" applyBorder="1" applyAlignment="1">
      <alignment horizontal="center"/>
    </xf>
    <xf numFmtId="0" fontId="8" fillId="9" borderId="9" xfId="0" applyFont="1" applyFill="1" applyBorder="1"/>
    <xf numFmtId="0" fontId="2" fillId="16" borderId="8" xfId="0" applyFont="1" applyFill="1" applyBorder="1"/>
    <xf numFmtId="0" fontId="0" fillId="16" borderId="1" xfId="0" applyFill="1" applyBorder="1"/>
    <xf numFmtId="0" fontId="0" fillId="16" borderId="9" xfId="0" applyFill="1" applyBorder="1"/>
    <xf numFmtId="166" fontId="0" fillId="0" borderId="0" xfId="2" applyNumberFormat="1" applyFont="1" applyBorder="1" applyAlignment="1">
      <alignment horizontal="center"/>
    </xf>
    <xf numFmtId="166" fontId="0" fillId="0" borderId="3" xfId="2" applyNumberFormat="1" applyFont="1" applyBorder="1" applyAlignment="1">
      <alignment horizontal="center"/>
    </xf>
    <xf numFmtId="0" fontId="0" fillId="0" borderId="11" xfId="0" applyBorder="1" applyAlignment="1">
      <alignment horizontal="left"/>
    </xf>
    <xf numFmtId="166" fontId="0" fillId="0" borderId="8" xfId="0" applyNumberFormat="1" applyBorder="1"/>
    <xf numFmtId="0" fontId="20" fillId="0" borderId="0" xfId="0" applyFont="1"/>
    <xf numFmtId="165" fontId="0" fillId="0" borderId="0" xfId="0" applyNumberFormat="1" applyAlignment="1">
      <alignment horizontal="center"/>
    </xf>
    <xf numFmtId="165" fontId="2" fillId="0" borderId="0" xfId="0" applyNumberFormat="1" applyFont="1"/>
    <xf numFmtId="0" fontId="0" fillId="0" borderId="47" xfId="0" applyBorder="1" applyAlignment="1">
      <alignment horizontal="center"/>
    </xf>
    <xf numFmtId="166" fontId="0" fillId="0" borderId="44" xfId="2" applyNumberFormat="1" applyFont="1" applyBorder="1" applyAlignment="1">
      <alignment horizontal="center"/>
    </xf>
    <xf numFmtId="166" fontId="0" fillId="0" borderId="54" xfId="2" applyNumberFormat="1" applyFont="1" applyBorder="1" applyAlignment="1">
      <alignment horizontal="center"/>
    </xf>
    <xf numFmtId="0" fontId="0" fillId="0" borderId="48" xfId="0" applyBorder="1" applyAlignment="1">
      <alignment horizontal="center"/>
    </xf>
    <xf numFmtId="166" fontId="0" fillId="0" borderId="5" xfId="2" applyNumberFormat="1" applyFont="1" applyBorder="1" applyAlignment="1">
      <alignment horizontal="center"/>
    </xf>
    <xf numFmtId="166" fontId="0" fillId="0" borderId="55" xfId="2" applyNumberFormat="1" applyFont="1" applyBorder="1" applyAlignment="1">
      <alignment horizontal="center"/>
    </xf>
    <xf numFmtId="0" fontId="0" fillId="0" borderId="49" xfId="0" applyBorder="1" applyAlignment="1">
      <alignment horizontal="center"/>
    </xf>
    <xf numFmtId="166" fontId="0" fillId="0" borderId="6" xfId="2" applyNumberFormat="1" applyFont="1" applyBorder="1" applyAlignment="1">
      <alignment horizontal="center"/>
    </xf>
    <xf numFmtId="166" fontId="0" fillId="0" borderId="56" xfId="2" applyNumberFormat="1" applyFont="1" applyBorder="1" applyAlignment="1">
      <alignment horizontal="center"/>
    </xf>
    <xf numFmtId="165" fontId="0" fillId="0" borderId="20" xfId="0" applyNumberFormat="1" applyBorder="1" applyAlignment="1">
      <alignment horizontal="center"/>
    </xf>
    <xf numFmtId="165" fontId="0" fillId="0" borderId="19" xfId="0" applyNumberFormat="1" applyBorder="1" applyAlignment="1">
      <alignment horizontal="center"/>
    </xf>
    <xf numFmtId="1" fontId="2" fillId="0" borderId="7" xfId="0" applyNumberFormat="1" applyFont="1" applyBorder="1" applyAlignment="1">
      <alignment horizontal="center"/>
    </xf>
    <xf numFmtId="166" fontId="11" fillId="0" borderId="39" xfId="0" applyNumberFormat="1" applyFont="1" applyBorder="1" applyAlignment="1">
      <alignment horizontal="right"/>
    </xf>
    <xf numFmtId="166" fontId="11" fillId="0" borderId="41" xfId="0" applyNumberFormat="1" applyFont="1" applyBorder="1" applyAlignment="1">
      <alignment horizontal="right"/>
    </xf>
    <xf numFmtId="166" fontId="19" fillId="0" borderId="4" xfId="0" applyNumberFormat="1" applyFont="1" applyBorder="1"/>
    <xf numFmtId="166" fontId="19" fillId="0" borderId="44" xfId="0" applyNumberFormat="1" applyFont="1" applyBorder="1"/>
    <xf numFmtId="166" fontId="19" fillId="0" borderId="45" xfId="0" applyNumberFormat="1" applyFont="1" applyBorder="1"/>
    <xf numFmtId="166" fontId="19" fillId="0" borderId="5" xfId="0" applyNumberFormat="1" applyFont="1" applyBorder="1"/>
    <xf numFmtId="166" fontId="19" fillId="0" borderId="46" xfId="0" applyNumberFormat="1" applyFont="1" applyBorder="1"/>
    <xf numFmtId="168" fontId="0" fillId="0" borderId="0" xfId="1" applyNumberFormat="1" applyFont="1"/>
    <xf numFmtId="168" fontId="9" fillId="2" borderId="0" xfId="1" applyNumberFormat="1" applyFont="1" applyFill="1" applyAlignment="1">
      <alignment horizontal="center"/>
    </xf>
    <xf numFmtId="166" fontId="0" fillId="0" borderId="2" xfId="0" applyNumberFormat="1" applyBorder="1" applyAlignment="1">
      <alignment horizontal="right"/>
    </xf>
    <xf numFmtId="166" fontId="0" fillId="0" borderId="0" xfId="0" applyNumberFormat="1" applyAlignment="1">
      <alignment horizontal="right"/>
    </xf>
    <xf numFmtId="166" fontId="0" fillId="0" borderId="2" xfId="0" applyNumberFormat="1" applyBorder="1"/>
    <xf numFmtId="0" fontId="2" fillId="0" borderId="0" xfId="0" applyFont="1" applyAlignment="1">
      <alignment horizontal="left"/>
    </xf>
    <xf numFmtId="0" fontId="0" fillId="0" borderId="0" xfId="0" applyAlignment="1">
      <alignment horizontal="left"/>
    </xf>
    <xf numFmtId="0" fontId="0" fillId="0" borderId="1" xfId="0" applyBorder="1" applyAlignment="1">
      <alignment horizontal="left"/>
    </xf>
    <xf numFmtId="0" fontId="7" fillId="9" borderId="3" xfId="0" applyFont="1" applyFill="1" applyBorder="1"/>
    <xf numFmtId="0" fontId="8" fillId="9" borderId="3" xfId="0" applyFont="1" applyFill="1" applyBorder="1"/>
    <xf numFmtId="10" fontId="2" fillId="0" borderId="0" xfId="1" applyNumberFormat="1" applyFont="1"/>
    <xf numFmtId="9" fontId="5" fillId="2" borderId="0" xfId="0" applyNumberFormat="1" applyFont="1" applyFill="1"/>
    <xf numFmtId="0" fontId="11" fillId="17" borderId="3" xfId="0" applyFont="1" applyFill="1" applyBorder="1"/>
    <xf numFmtId="0" fontId="21" fillId="17" borderId="3" xfId="0" applyFont="1" applyFill="1" applyBorder="1"/>
    <xf numFmtId="10" fontId="0" fillId="0" borderId="0" xfId="0" applyNumberFormat="1"/>
    <xf numFmtId="10" fontId="0" fillId="0" borderId="3" xfId="0" applyNumberFormat="1" applyBorder="1"/>
    <xf numFmtId="9" fontId="2" fillId="15" borderId="0" xfId="1" applyFont="1" applyFill="1"/>
    <xf numFmtId="166" fontId="2" fillId="15" borderId="0" xfId="1" applyNumberFormat="1" applyFont="1" applyFill="1"/>
    <xf numFmtId="0" fontId="0" fillId="0" borderId="3" xfId="0" quotePrefix="1" applyBorder="1" applyAlignment="1">
      <alignment horizontal="center"/>
    </xf>
    <xf numFmtId="10" fontId="0" fillId="0" borderId="0" xfId="1" applyNumberFormat="1" applyFont="1"/>
    <xf numFmtId="0" fontId="2" fillId="0" borderId="8" xfId="0" applyFont="1" applyBorder="1" applyAlignment="1">
      <alignment horizontal="left"/>
    </xf>
    <xf numFmtId="0" fontId="2" fillId="0" borderId="1" xfId="0" applyFont="1" applyBorder="1" applyAlignment="1">
      <alignment horizontal="left"/>
    </xf>
    <xf numFmtId="0" fontId="2" fillId="0" borderId="9" xfId="0" applyFont="1" applyBorder="1" applyAlignment="1">
      <alignment horizontal="left"/>
    </xf>
    <xf numFmtId="0" fontId="2" fillId="3" borderId="0" xfId="0" applyFont="1" applyFill="1"/>
    <xf numFmtId="0" fontId="0" fillId="3" borderId="0" xfId="0" applyFill="1"/>
    <xf numFmtId="169" fontId="18" fillId="2" borderId="39" xfId="2" applyNumberFormat="1" applyFont="1" applyFill="1" applyBorder="1"/>
    <xf numFmtId="169" fontId="18" fillId="2" borderId="41" xfId="2" applyNumberFormat="1" applyFont="1" applyFill="1" applyBorder="1"/>
    <xf numFmtId="169" fontId="18" fillId="2" borderId="43" xfId="2" applyNumberFormat="1" applyFont="1" applyFill="1" applyBorder="1"/>
    <xf numFmtId="49" fontId="0" fillId="0" borderId="0" xfId="0" applyNumberFormat="1" applyAlignment="1">
      <alignment horizontal="left"/>
    </xf>
    <xf numFmtId="49" fontId="2" fillId="0" borderId="0" xfId="0" applyNumberFormat="1" applyFont="1" applyAlignment="1">
      <alignment horizontal="center"/>
    </xf>
    <xf numFmtId="166" fontId="0" fillId="0" borderId="12" xfId="0" applyNumberFormat="1" applyBorder="1"/>
    <xf numFmtId="165" fontId="0" fillId="0" borderId="14" xfId="2" applyNumberFormat="1" applyFont="1" applyBorder="1" applyAlignment="1">
      <alignment horizontal="center"/>
    </xf>
    <xf numFmtId="165" fontId="0" fillId="0" borderId="12" xfId="2" applyNumberFormat="1" applyFont="1" applyBorder="1" applyAlignment="1">
      <alignment horizontal="center"/>
    </xf>
    <xf numFmtId="2" fontId="0" fillId="0" borderId="14" xfId="2" applyNumberFormat="1" applyFont="1" applyBorder="1" applyAlignment="1">
      <alignment horizontal="center"/>
    </xf>
    <xf numFmtId="2" fontId="0" fillId="0" borderId="12" xfId="2" applyNumberFormat="1" applyFont="1" applyBorder="1" applyAlignment="1">
      <alignment horizontal="center"/>
    </xf>
    <xf numFmtId="0" fontId="3" fillId="5" borderId="3" xfId="0" applyFont="1" applyFill="1" applyBorder="1" applyAlignment="1">
      <alignment horizontal="left"/>
    </xf>
    <xf numFmtId="0" fontId="0" fillId="5" borderId="3" xfId="0" applyFill="1" applyBorder="1" applyAlignment="1">
      <alignment horizontal="left"/>
    </xf>
    <xf numFmtId="0" fontId="22" fillId="18" borderId="0" xfId="0" applyFont="1" applyFill="1"/>
    <xf numFmtId="0" fontId="8" fillId="18" borderId="0" xfId="0" applyFont="1" applyFill="1"/>
    <xf numFmtId="0" fontId="7" fillId="18" borderId="8" xfId="0" applyFont="1" applyFill="1" applyBorder="1"/>
    <xf numFmtId="0" fontId="8" fillId="18" borderId="1" xfId="0" applyFont="1" applyFill="1" applyBorder="1"/>
    <xf numFmtId="0" fontId="7" fillId="18" borderId="1" xfId="0" applyFont="1" applyFill="1" applyBorder="1"/>
    <xf numFmtId="0" fontId="0" fillId="0" borderId="38" xfId="0" applyBorder="1" applyAlignment="1">
      <alignment horizontal="left"/>
    </xf>
    <xf numFmtId="0" fontId="0" fillId="0" borderId="57" xfId="0" applyBorder="1"/>
    <xf numFmtId="0" fontId="0" fillId="0" borderId="40" xfId="0" applyBorder="1" applyAlignment="1">
      <alignment horizontal="left"/>
    </xf>
    <xf numFmtId="0" fontId="0" fillId="0" borderId="41" xfId="0" applyBorder="1"/>
    <xf numFmtId="0" fontId="0" fillId="0" borderId="58" xfId="0" applyBorder="1"/>
    <xf numFmtId="0" fontId="0" fillId="0" borderId="59" xfId="0" applyBorder="1"/>
    <xf numFmtId="0" fontId="4" fillId="5" borderId="40" xfId="0" applyFont="1" applyFill="1" applyBorder="1" applyAlignment="1">
      <alignment horizontal="left"/>
    </xf>
    <xf numFmtId="166" fontId="4" fillId="5" borderId="41" xfId="0" applyNumberFormat="1" applyFont="1" applyFill="1" applyBorder="1"/>
    <xf numFmtId="0" fontId="4" fillId="5" borderId="42" xfId="0" applyFont="1" applyFill="1" applyBorder="1" applyAlignment="1">
      <alignment horizontal="left"/>
    </xf>
    <xf numFmtId="166" fontId="4" fillId="5" borderId="43" xfId="0" applyNumberFormat="1" applyFont="1" applyFill="1" applyBorder="1"/>
    <xf numFmtId="0" fontId="9" fillId="0" borderId="0" xfId="0" applyFont="1" applyAlignment="1">
      <alignment horizontal="center"/>
    </xf>
    <xf numFmtId="1" fontId="9" fillId="0" borderId="0" xfId="0" applyNumberFormat="1" applyFont="1" applyAlignment="1">
      <alignment horizontal="center"/>
    </xf>
    <xf numFmtId="9" fontId="9" fillId="0" borderId="0" xfId="0" applyNumberFormat="1" applyFont="1" applyAlignment="1">
      <alignment horizontal="center"/>
    </xf>
    <xf numFmtId="9" fontId="0" fillId="0" borderId="0" xfId="1" quotePrefix="1" applyFont="1" applyFill="1" applyAlignment="1">
      <alignment horizontal="center"/>
    </xf>
    <xf numFmtId="0" fontId="9" fillId="0" borderId="2" xfId="0" applyFont="1" applyBorder="1" applyAlignment="1">
      <alignment horizontal="center"/>
    </xf>
    <xf numFmtId="10" fontId="11" fillId="0" borderId="21" xfId="0" applyNumberFormat="1" applyFont="1" applyBorder="1"/>
    <xf numFmtId="9" fontId="11" fillId="0" borderId="12" xfId="0" applyNumberFormat="1" applyFont="1" applyBorder="1"/>
    <xf numFmtId="166" fontId="0" fillId="0" borderId="60" xfId="0" applyNumberFormat="1" applyBorder="1" applyAlignment="1">
      <alignment horizontal="right"/>
    </xf>
    <xf numFmtId="166" fontId="0" fillId="0" borderId="61" xfId="0" applyNumberFormat="1" applyBorder="1" applyAlignment="1">
      <alignment horizontal="right"/>
    </xf>
    <xf numFmtId="166" fontId="0" fillId="0" borderId="62" xfId="0" applyNumberFormat="1" applyBorder="1" applyAlignment="1">
      <alignment horizontal="right"/>
    </xf>
    <xf numFmtId="166" fontId="0" fillId="0" borderId="63" xfId="0" applyNumberFormat="1" applyBorder="1" applyAlignment="1">
      <alignment horizontal="right"/>
    </xf>
    <xf numFmtId="166" fontId="0" fillId="0" borderId="64" xfId="0" applyNumberFormat="1" applyBorder="1" applyAlignment="1">
      <alignment horizontal="right"/>
    </xf>
    <xf numFmtId="166" fontId="0" fillId="0" borderId="65" xfId="0" applyNumberFormat="1" applyBorder="1" applyAlignment="1">
      <alignment horizontal="right"/>
    </xf>
    <xf numFmtId="0" fontId="8" fillId="9" borderId="13" xfId="0" applyFont="1" applyFill="1" applyBorder="1"/>
    <xf numFmtId="0" fontId="2" fillId="16" borderId="1" xfId="0" applyFont="1" applyFill="1" applyBorder="1"/>
    <xf numFmtId="166" fontId="0" fillId="0" borderId="38" xfId="0" applyNumberFormat="1" applyBorder="1" applyAlignment="1">
      <alignment horizontal="right"/>
    </xf>
    <xf numFmtId="166" fontId="0" fillId="0" borderId="40" xfId="0" applyNumberFormat="1" applyBorder="1" applyAlignment="1">
      <alignment horizontal="right"/>
    </xf>
    <xf numFmtId="166" fontId="0" fillId="0" borderId="42" xfId="0" applyNumberFormat="1" applyBorder="1" applyAlignment="1">
      <alignment horizontal="right"/>
    </xf>
    <xf numFmtId="0" fontId="8" fillId="9" borderId="20" xfId="0" applyFont="1" applyFill="1" applyBorder="1"/>
    <xf numFmtId="49" fontId="0" fillId="0" borderId="7" xfId="0" applyNumberFormat="1" applyBorder="1" applyAlignment="1">
      <alignment horizontal="center"/>
    </xf>
    <xf numFmtId="166" fontId="0" fillId="0" borderId="66" xfId="0" applyNumberFormat="1" applyBorder="1" applyAlignment="1">
      <alignment horizontal="right"/>
    </xf>
    <xf numFmtId="166" fontId="0" fillId="0" borderId="67" xfId="0" applyNumberFormat="1" applyBorder="1" applyAlignment="1">
      <alignment horizontal="right"/>
    </xf>
    <xf numFmtId="166" fontId="0" fillId="0" borderId="68" xfId="0" applyNumberFormat="1" applyBorder="1" applyAlignment="1">
      <alignment horizontal="right"/>
    </xf>
    <xf numFmtId="0" fontId="8" fillId="9" borderId="7" xfId="0" applyFont="1" applyFill="1" applyBorder="1"/>
    <xf numFmtId="1" fontId="9" fillId="0" borderId="4" xfId="0" applyNumberFormat="1" applyFont="1" applyBorder="1" applyAlignment="1">
      <alignment horizontal="center"/>
    </xf>
    <xf numFmtId="1" fontId="11" fillId="0" borderId="4" xfId="0" applyNumberFormat="1" applyFont="1" applyBorder="1" applyAlignment="1">
      <alignment horizontal="center"/>
    </xf>
    <xf numFmtId="1" fontId="11" fillId="0" borderId="0" xfId="0" applyNumberFormat="1" applyFont="1" applyAlignment="1">
      <alignment horizontal="center"/>
    </xf>
    <xf numFmtId="0" fontId="11" fillId="0" borderId="8" xfId="0" applyFont="1" applyBorder="1" applyAlignment="1">
      <alignment horizontal="center"/>
    </xf>
    <xf numFmtId="0" fontId="0" fillId="0" borderId="7" xfId="0" applyBorder="1"/>
    <xf numFmtId="166" fontId="0" fillId="0" borderId="14" xfId="0" applyNumberFormat="1" applyBorder="1"/>
    <xf numFmtId="166" fontId="0" fillId="0" borderId="0" xfId="2" applyNumberFormat="1" applyFont="1" applyBorder="1"/>
    <xf numFmtId="166" fontId="0" fillId="0" borderId="11" xfId="0" applyNumberFormat="1" applyBorder="1"/>
    <xf numFmtId="166" fontId="0" fillId="0" borderId="3" xfId="2" applyNumberFormat="1" applyFont="1" applyBorder="1"/>
    <xf numFmtId="164" fontId="18" fillId="0" borderId="39" xfId="0" applyNumberFormat="1" applyFont="1" applyBorder="1" applyAlignment="1">
      <alignment horizontal="center"/>
    </xf>
    <xf numFmtId="164" fontId="18" fillId="0" borderId="41" xfId="0" applyNumberFormat="1" applyFont="1" applyBorder="1" applyAlignment="1">
      <alignment horizontal="center"/>
    </xf>
    <xf numFmtId="164" fontId="18" fillId="0" borderId="43" xfId="0" applyNumberFormat="1" applyFont="1" applyBorder="1" applyAlignment="1">
      <alignment horizontal="center"/>
    </xf>
    <xf numFmtId="0" fontId="2" fillId="19" borderId="11" xfId="0" applyFont="1" applyFill="1" applyBorder="1"/>
    <xf numFmtId="166" fontId="2" fillId="19" borderId="11" xfId="0" applyNumberFormat="1" applyFont="1" applyFill="1" applyBorder="1"/>
    <xf numFmtId="166" fontId="2" fillId="19" borderId="3" xfId="0" applyNumberFormat="1" applyFont="1" applyFill="1" applyBorder="1"/>
    <xf numFmtId="166" fontId="2" fillId="19" borderId="12" xfId="0" applyNumberFormat="1" applyFont="1" applyFill="1" applyBorder="1" applyAlignment="1">
      <alignment horizontal="right"/>
    </xf>
    <xf numFmtId="14" fontId="0" fillId="0" borderId="0" xfId="0" applyNumberFormat="1"/>
    <xf numFmtId="165" fontId="0" fillId="0" borderId="0" xfId="0" applyNumberFormat="1" applyAlignment="1">
      <alignment horizontal="right"/>
    </xf>
    <xf numFmtId="169" fontId="0" fillId="0" borderId="0" xfId="2" applyNumberFormat="1" applyFont="1"/>
    <xf numFmtId="2" fontId="0" fillId="0" borderId="0" xfId="0" applyNumberFormat="1" applyAlignment="1">
      <alignment horizontal="right"/>
    </xf>
    <xf numFmtId="170" fontId="0" fillId="0" borderId="0" xfId="0" applyNumberFormat="1" applyAlignment="1">
      <alignment horizontal="right"/>
    </xf>
    <xf numFmtId="166" fontId="0" fillId="0" borderId="7" xfId="0" applyNumberFormat="1" applyBorder="1" applyAlignment="1">
      <alignment horizontal="center"/>
    </xf>
    <xf numFmtId="166" fontId="2" fillId="0" borderId="0" xfId="0" applyNumberFormat="1" applyFont="1" applyAlignment="1">
      <alignment horizontal="center"/>
    </xf>
    <xf numFmtId="166" fontId="2" fillId="0" borderId="7" xfId="0" applyNumberFormat="1" applyFont="1" applyBorder="1" applyAlignment="1">
      <alignment horizontal="right"/>
    </xf>
    <xf numFmtId="14" fontId="4" fillId="5" borderId="69" xfId="0" applyNumberFormat="1" applyFont="1" applyFill="1" applyBorder="1"/>
    <xf numFmtId="0" fontId="4" fillId="5" borderId="69" xfId="0" applyFont="1" applyFill="1" applyBorder="1"/>
    <xf numFmtId="166" fontId="4" fillId="5" borderId="69" xfId="0" applyNumberFormat="1" applyFont="1" applyFill="1" applyBorder="1"/>
    <xf numFmtId="0" fontId="4" fillId="5" borderId="70" xfId="0" applyFont="1" applyFill="1" applyBorder="1"/>
    <xf numFmtId="166" fontId="0" fillId="0" borderId="71" xfId="0" applyNumberFormat="1" applyBorder="1" applyAlignment="1">
      <alignment horizontal="center"/>
    </xf>
    <xf numFmtId="1" fontId="0" fillId="0" borderId="72" xfId="0" applyNumberFormat="1" applyBorder="1" applyAlignment="1">
      <alignment horizontal="center"/>
    </xf>
    <xf numFmtId="3" fontId="0" fillId="0" borderId="17" xfId="2" applyNumberFormat="1" applyFont="1" applyBorder="1" applyAlignment="1">
      <alignment horizontal="center"/>
    </xf>
    <xf numFmtId="166" fontId="2" fillId="8" borderId="7" xfId="0" applyNumberFormat="1" applyFont="1" applyFill="1" applyBorder="1" applyAlignment="1">
      <alignment horizontal="right"/>
    </xf>
    <xf numFmtId="165" fontId="0" fillId="0" borderId="12" xfId="0" applyNumberFormat="1" applyBorder="1" applyAlignment="1">
      <alignment horizontal="right"/>
    </xf>
    <xf numFmtId="169" fontId="0" fillId="8" borderId="7" xfId="2" applyNumberFormat="1" applyFont="1" applyFill="1" applyBorder="1"/>
    <xf numFmtId="0" fontId="23" fillId="0" borderId="0" xfId="0" applyFont="1" applyAlignment="1">
      <alignment horizontal="center"/>
    </xf>
    <xf numFmtId="14" fontId="4" fillId="5" borderId="73" xfId="0" applyNumberFormat="1" applyFont="1" applyFill="1" applyBorder="1"/>
    <xf numFmtId="0" fontId="4" fillId="5" borderId="73" xfId="0" applyFont="1" applyFill="1" applyBorder="1"/>
    <xf numFmtId="166" fontId="4" fillId="5" borderId="73" xfId="0" applyNumberFormat="1" applyFont="1" applyFill="1" applyBorder="1"/>
    <xf numFmtId="0" fontId="4" fillId="5" borderId="74" xfId="0" applyFont="1" applyFill="1" applyBorder="1"/>
    <xf numFmtId="166" fontId="0" fillId="0" borderId="75" xfId="0" applyNumberFormat="1" applyBorder="1" applyAlignment="1">
      <alignment horizontal="center"/>
    </xf>
    <xf numFmtId="1" fontId="0" fillId="0" borderId="76" xfId="0" applyNumberFormat="1" applyBorder="1" applyAlignment="1">
      <alignment horizontal="center"/>
    </xf>
    <xf numFmtId="3" fontId="0" fillId="0" borderId="76" xfId="2" applyNumberFormat="1" applyFont="1" applyBorder="1" applyAlignment="1">
      <alignment horizontal="center"/>
    </xf>
    <xf numFmtId="165" fontId="0" fillId="0" borderId="14" xfId="0" applyNumberFormat="1" applyBorder="1" applyAlignment="1">
      <alignment horizontal="right"/>
    </xf>
    <xf numFmtId="169" fontId="0" fillId="0" borderId="20" xfId="2" applyNumberFormat="1" applyFont="1" applyBorder="1"/>
    <xf numFmtId="49" fontId="24" fillId="0" borderId="36" xfId="0" applyNumberFormat="1" applyFont="1" applyBorder="1" applyAlignment="1">
      <alignment horizontal="center"/>
    </xf>
    <xf numFmtId="2" fontId="24" fillId="0" borderId="36" xfId="0" applyNumberFormat="1" applyFont="1" applyBorder="1" applyAlignment="1">
      <alignment horizontal="center"/>
    </xf>
    <xf numFmtId="49" fontId="24" fillId="0" borderId="35" xfId="0" applyNumberFormat="1" applyFont="1" applyBorder="1" applyAlignment="1">
      <alignment horizontal="center"/>
    </xf>
    <xf numFmtId="165" fontId="2" fillId="0" borderId="7" xfId="0" applyNumberFormat="1" applyFont="1" applyBorder="1" applyAlignment="1">
      <alignment horizontal="right"/>
    </xf>
    <xf numFmtId="169" fontId="2" fillId="0" borderId="7" xfId="2" applyNumberFormat="1" applyFont="1" applyBorder="1" applyAlignment="1">
      <alignment horizontal="center"/>
    </xf>
    <xf numFmtId="0" fontId="7" fillId="20" borderId="7" xfId="0" applyFont="1" applyFill="1" applyBorder="1" applyAlignment="1">
      <alignment horizontal="center"/>
    </xf>
    <xf numFmtId="2" fontId="24" fillId="21" borderId="36" xfId="0" applyNumberFormat="1" applyFont="1" applyFill="1" applyBorder="1" applyAlignment="1">
      <alignment horizontal="center"/>
    </xf>
    <xf numFmtId="2" fontId="24" fillId="21" borderId="35" xfId="0" applyNumberFormat="1" applyFont="1" applyFill="1" applyBorder="1" applyAlignment="1">
      <alignment horizontal="center"/>
    </xf>
    <xf numFmtId="1" fontId="24" fillId="2" borderId="37" xfId="0" applyNumberFormat="1" applyFont="1" applyFill="1" applyBorder="1" applyAlignment="1">
      <alignment horizontal="center"/>
    </xf>
    <xf numFmtId="1" fontId="24" fillId="2" borderId="36" xfId="0" applyNumberFormat="1" applyFont="1" applyFill="1" applyBorder="1" applyAlignment="1">
      <alignment horizontal="center"/>
    </xf>
    <xf numFmtId="1" fontId="24" fillId="2" borderId="35" xfId="0" applyNumberFormat="1" applyFont="1" applyFill="1" applyBorder="1" applyAlignment="1">
      <alignment horizontal="center"/>
    </xf>
    <xf numFmtId="2" fontId="24" fillId="0" borderId="37" xfId="0" applyNumberFormat="1" applyFont="1" applyBorder="1" applyAlignment="1">
      <alignment horizontal="center"/>
    </xf>
    <xf numFmtId="2" fontId="24" fillId="0" borderId="35" xfId="0" applyNumberFormat="1" applyFont="1" applyBorder="1" applyAlignment="1">
      <alignment horizontal="center"/>
    </xf>
    <xf numFmtId="0" fontId="0" fillId="0" borderId="2" xfId="0" applyBorder="1" applyAlignment="1">
      <alignment horizontal="center"/>
    </xf>
    <xf numFmtId="0" fontId="0" fillId="0" borderId="3" xfId="0" applyBorder="1" applyAlignment="1">
      <alignment horizontal="right"/>
    </xf>
    <xf numFmtId="0" fontId="0" fillId="0" borderId="77" xfId="0" applyBorder="1" applyAlignment="1">
      <alignment horizontal="center"/>
    </xf>
    <xf numFmtId="2" fontId="24" fillId="0" borderId="77" xfId="0" applyNumberFormat="1" applyFont="1" applyBorder="1" applyAlignment="1">
      <alignment horizontal="center"/>
    </xf>
    <xf numFmtId="166" fontId="0" fillId="0" borderId="12" xfId="0" applyNumberFormat="1" applyBorder="1" applyAlignment="1">
      <alignment horizontal="right"/>
    </xf>
    <xf numFmtId="169" fontId="0" fillId="0" borderId="19" xfId="2" applyNumberFormat="1" applyFont="1" applyBorder="1"/>
    <xf numFmtId="0" fontId="0" fillId="0" borderId="37" xfId="0" applyBorder="1" applyAlignment="1">
      <alignment horizontal="center"/>
    </xf>
    <xf numFmtId="49" fontId="24" fillId="0" borderId="37" xfId="0" applyNumberFormat="1" applyFont="1" applyBorder="1" applyAlignment="1">
      <alignment horizontal="center"/>
    </xf>
    <xf numFmtId="2" fontId="24" fillId="2" borderId="37" xfId="0" applyNumberFormat="1" applyFont="1" applyFill="1" applyBorder="1" applyAlignment="1">
      <alignment horizontal="center"/>
    </xf>
    <xf numFmtId="2" fontId="24" fillId="2" borderId="36" xfId="0" applyNumberFormat="1" applyFont="1" applyFill="1" applyBorder="1" applyAlignment="1">
      <alignment horizontal="center"/>
    </xf>
    <xf numFmtId="2" fontId="24" fillId="2" borderId="35" xfId="0" applyNumberFormat="1" applyFont="1" applyFill="1" applyBorder="1" applyAlignment="1">
      <alignment horizontal="center"/>
    </xf>
    <xf numFmtId="0" fontId="0" fillId="0" borderId="12" xfId="0" applyBorder="1" applyAlignment="1">
      <alignment horizontal="right"/>
    </xf>
    <xf numFmtId="0" fontId="0" fillId="0" borderId="14" xfId="0" applyBorder="1" applyAlignment="1">
      <alignment horizontal="right"/>
    </xf>
    <xf numFmtId="0" fontId="0" fillId="0" borderId="14" xfId="0" applyBorder="1" applyAlignment="1">
      <alignment horizontal="center"/>
    </xf>
    <xf numFmtId="0" fontId="0" fillId="0" borderId="21" xfId="0" applyBorder="1" applyAlignment="1">
      <alignment horizontal="center"/>
    </xf>
    <xf numFmtId="0" fontId="17" fillId="21" borderId="8" xfId="0" applyFont="1" applyFill="1" applyBorder="1" applyAlignment="1">
      <alignment horizontal="center"/>
    </xf>
    <xf numFmtId="0" fontId="17" fillId="21" borderId="1" xfId="0" applyFont="1" applyFill="1" applyBorder="1" applyAlignment="1">
      <alignment horizontal="center"/>
    </xf>
    <xf numFmtId="0" fontId="17" fillId="0" borderId="8" xfId="0" applyFont="1" applyBorder="1" applyAlignment="1">
      <alignment horizontal="center"/>
    </xf>
    <xf numFmtId="164" fontId="0" fillId="0" borderId="3" xfId="0" applyNumberFormat="1" applyBorder="1" applyAlignment="1">
      <alignment horizontal="center"/>
    </xf>
    <xf numFmtId="2" fontId="4" fillId="5" borderId="73" xfId="0" applyNumberFormat="1" applyFont="1" applyFill="1" applyBorder="1"/>
    <xf numFmtId="2" fontId="4" fillId="5" borderId="74" xfId="0" applyNumberFormat="1" applyFont="1" applyFill="1" applyBorder="1"/>
    <xf numFmtId="166" fontId="2" fillId="8" borderId="19" xfId="0" applyNumberFormat="1" applyFont="1" applyFill="1" applyBorder="1" applyAlignment="1">
      <alignment horizontal="right"/>
    </xf>
    <xf numFmtId="169" fontId="0" fillId="8" borderId="19" xfId="2" applyNumberFormat="1" applyFont="1" applyFill="1" applyBorder="1"/>
    <xf numFmtId="169" fontId="0" fillId="0" borderId="20" xfId="2" applyNumberFormat="1" applyFont="1" applyFill="1" applyBorder="1"/>
    <xf numFmtId="14" fontId="4" fillId="5" borderId="78" xfId="0" applyNumberFormat="1" applyFont="1" applyFill="1" applyBorder="1"/>
    <xf numFmtId="0" fontId="4" fillId="5" borderId="78" xfId="0" applyFont="1" applyFill="1" applyBorder="1"/>
    <xf numFmtId="166" fontId="4" fillId="5" borderId="78" xfId="0" applyNumberFormat="1" applyFont="1" applyFill="1" applyBorder="1"/>
    <xf numFmtId="0" fontId="4" fillId="5" borderId="79" xfId="0" applyFont="1" applyFill="1" applyBorder="1"/>
    <xf numFmtId="166" fontId="0" fillId="0" borderId="80" xfId="0" applyNumberFormat="1" applyBorder="1" applyAlignment="1">
      <alignment horizontal="center"/>
    </xf>
    <xf numFmtId="1" fontId="0" fillId="0" borderId="81" xfId="0" applyNumberFormat="1" applyBorder="1" applyAlignment="1">
      <alignment horizontal="center"/>
    </xf>
    <xf numFmtId="14" fontId="2" fillId="0" borderId="12" xfId="0" applyNumberFormat="1" applyFont="1" applyBorder="1" applyAlignment="1">
      <alignment horizontal="center"/>
    </xf>
    <xf numFmtId="14" fontId="2" fillId="0" borderId="3" xfId="0" applyNumberFormat="1" applyFont="1" applyBorder="1" applyAlignment="1">
      <alignment horizontal="center"/>
    </xf>
    <xf numFmtId="166" fontId="2" fillId="0" borderId="3" xfId="0" applyNumberFormat="1" applyFont="1" applyBorder="1" applyAlignment="1">
      <alignment horizontal="center"/>
    </xf>
    <xf numFmtId="0" fontId="2" fillId="0" borderId="11" xfId="0" applyFont="1" applyBorder="1" applyAlignment="1">
      <alignment horizontal="center"/>
    </xf>
    <xf numFmtId="166" fontId="2" fillId="0" borderId="11" xfId="0" applyNumberFormat="1" applyFont="1" applyBorder="1" applyAlignment="1">
      <alignment horizontal="center"/>
    </xf>
    <xf numFmtId="166" fontId="2" fillId="0" borderId="11" xfId="0" applyNumberFormat="1" applyFont="1" applyBorder="1" applyAlignment="1">
      <alignment horizontal="right"/>
    </xf>
    <xf numFmtId="166" fontId="2" fillId="0" borderId="8" xfId="0" applyNumberFormat="1" applyFont="1" applyBorder="1" applyAlignment="1">
      <alignment horizontal="right"/>
    </xf>
    <xf numFmtId="169" fontId="2" fillId="0" borderId="9" xfId="2" applyNumberFormat="1" applyFont="1" applyBorder="1" applyAlignment="1">
      <alignment horizontal="center"/>
    </xf>
    <xf numFmtId="0" fontId="7" fillId="20" borderId="8" xfId="0" applyFont="1" applyFill="1" applyBorder="1" applyAlignment="1">
      <alignment horizontal="center"/>
    </xf>
    <xf numFmtId="14" fontId="0" fillId="0" borderId="21" xfId="0" applyNumberFormat="1" applyBorder="1"/>
    <xf numFmtId="14" fontId="0" fillId="0" borderId="2" xfId="0" applyNumberFormat="1" applyBorder="1"/>
    <xf numFmtId="166" fontId="2" fillId="0" borderId="2" xfId="0" applyNumberFormat="1" applyFont="1" applyBorder="1"/>
    <xf numFmtId="1" fontId="0" fillId="0" borderId="7" xfId="0" applyNumberFormat="1" applyBorder="1" applyAlignment="1">
      <alignment horizontal="center"/>
    </xf>
    <xf numFmtId="1" fontId="0" fillId="0" borderId="37" xfId="0" applyNumberFormat="1" applyBorder="1" applyAlignment="1">
      <alignment horizontal="center"/>
    </xf>
    <xf numFmtId="164" fontId="25" fillId="2" borderId="37" xfId="0" applyNumberFormat="1" applyFont="1" applyFill="1" applyBorder="1"/>
    <xf numFmtId="164" fontId="25" fillId="2" borderId="36" xfId="0" applyNumberFormat="1" applyFont="1" applyFill="1" applyBorder="1"/>
    <xf numFmtId="1" fontId="0" fillId="0" borderId="36" xfId="0" applyNumberFormat="1" applyBorder="1" applyAlignment="1">
      <alignment horizontal="center"/>
    </xf>
    <xf numFmtId="164" fontId="25" fillId="2" borderId="35" xfId="0" applyNumberFormat="1" applyFont="1" applyFill="1" applyBorder="1"/>
    <xf numFmtId="164" fontId="25" fillId="3" borderId="36" xfId="0" applyNumberFormat="1" applyFont="1" applyFill="1" applyBorder="1"/>
    <xf numFmtId="164" fontId="25" fillId="3" borderId="35" xfId="0" applyNumberFormat="1" applyFont="1" applyFill="1" applyBorder="1"/>
    <xf numFmtId="1" fontId="0" fillId="0" borderId="7" xfId="0" applyNumberFormat="1" applyBorder="1"/>
    <xf numFmtId="1" fontId="0" fillId="0" borderId="3" xfId="0" applyNumberFormat="1" applyBorder="1"/>
    <xf numFmtId="164" fontId="0" fillId="0" borderId="3" xfId="0" applyNumberFormat="1" applyBorder="1"/>
    <xf numFmtId="1" fontId="0" fillId="0" borderId="0" xfId="0" applyNumberFormat="1"/>
    <xf numFmtId="1" fontId="0" fillId="0" borderId="35" xfId="0" applyNumberFormat="1" applyBorder="1" applyAlignment="1">
      <alignment horizontal="center"/>
    </xf>
    <xf numFmtId="1" fontId="0" fillId="0" borderId="21" xfId="0" applyNumberFormat="1" applyBorder="1"/>
    <xf numFmtId="1" fontId="0" fillId="0" borderId="2" xfId="0" applyNumberFormat="1" applyBorder="1"/>
    <xf numFmtId="1" fontId="0" fillId="0" borderId="9" xfId="0" applyNumberFormat="1" applyBorder="1"/>
    <xf numFmtId="1" fontId="0" fillId="0" borderId="1" xfId="0" applyNumberFormat="1" applyBorder="1"/>
    <xf numFmtId="1" fontId="0" fillId="0" borderId="19" xfId="0" applyNumberFormat="1" applyBorder="1"/>
    <xf numFmtId="1" fontId="25" fillId="2" borderId="82" xfId="0" applyNumberFormat="1" applyFont="1" applyFill="1" applyBorder="1"/>
    <xf numFmtId="1" fontId="25" fillId="2" borderId="83" xfId="0" applyNumberFormat="1" applyFont="1" applyFill="1" applyBorder="1"/>
    <xf numFmtId="1" fontId="25" fillId="2" borderId="84" xfId="0" applyNumberFormat="1" applyFont="1" applyFill="1" applyBorder="1"/>
    <xf numFmtId="0" fontId="26" fillId="0" borderId="85" xfId="0" applyFont="1" applyBorder="1" applyAlignment="1">
      <alignment horizontal="center"/>
    </xf>
    <xf numFmtId="1" fontId="0" fillId="0" borderId="20" xfId="0" applyNumberFormat="1" applyBorder="1"/>
    <xf numFmtId="1" fontId="25" fillId="2" borderId="86" xfId="0" applyNumberFormat="1" applyFont="1" applyFill="1" applyBorder="1"/>
    <xf numFmtId="1" fontId="25" fillId="2" borderId="87" xfId="0" applyNumberFormat="1" applyFont="1" applyFill="1" applyBorder="1"/>
    <xf numFmtId="1" fontId="25" fillId="2" borderId="88" xfId="0" applyNumberFormat="1" applyFont="1" applyFill="1" applyBorder="1"/>
    <xf numFmtId="0" fontId="25" fillId="2" borderId="0" xfId="0" applyFont="1" applyFill="1" applyAlignment="1">
      <alignment horizontal="center"/>
    </xf>
    <xf numFmtId="0" fontId="0" fillId="0" borderId="89" xfId="0" applyBorder="1" applyAlignment="1">
      <alignment horizontal="center"/>
    </xf>
    <xf numFmtId="1" fontId="0" fillId="0" borderId="15" xfId="0" applyNumberFormat="1" applyBorder="1"/>
    <xf numFmtId="1" fontId="25" fillId="2" borderId="90" xfId="0" applyNumberFormat="1" applyFont="1" applyFill="1" applyBorder="1"/>
    <xf numFmtId="1" fontId="25" fillId="2" borderId="91" xfId="0" applyNumberFormat="1" applyFont="1" applyFill="1" applyBorder="1"/>
    <xf numFmtId="1" fontId="25" fillId="2" borderId="92" xfId="0" applyNumberFormat="1" applyFont="1" applyFill="1" applyBorder="1"/>
    <xf numFmtId="0" fontId="25" fillId="2" borderId="2" xfId="0" applyFont="1" applyFill="1" applyBorder="1" applyAlignment="1">
      <alignment horizontal="center"/>
    </xf>
    <xf numFmtId="0" fontId="0" fillId="2" borderId="1" xfId="0" applyFill="1" applyBorder="1" applyAlignment="1">
      <alignment horizontal="center"/>
    </xf>
    <xf numFmtId="0" fontId="0" fillId="2" borderId="0" xfId="0" applyFill="1"/>
    <xf numFmtId="0" fontId="27" fillId="2" borderId="0" xfId="0" applyFont="1" applyFill="1"/>
    <xf numFmtId="0" fontId="28" fillId="2" borderId="1" xfId="0" applyFont="1" applyFill="1" applyBorder="1"/>
    <xf numFmtId="166" fontId="2" fillId="0" borderId="3" xfId="2" applyNumberFormat="1" applyFont="1" applyBorder="1"/>
    <xf numFmtId="166" fontId="2" fillId="0" borderId="0" xfId="2" applyNumberFormat="1" applyFont="1"/>
    <xf numFmtId="166" fontId="2" fillId="8" borderId="7" xfId="0" applyNumberFormat="1" applyFont="1" applyFill="1" applyBorder="1"/>
    <xf numFmtId="166" fontId="0" fillId="0" borderId="93" xfId="0" applyNumberFormat="1" applyBorder="1" applyAlignment="1">
      <alignment horizontal="center"/>
    </xf>
    <xf numFmtId="166" fontId="0" fillId="0" borderId="94" xfId="0" applyNumberFormat="1" applyBorder="1" applyAlignment="1">
      <alignment horizontal="center"/>
    </xf>
    <xf numFmtId="166" fontId="0" fillId="0" borderId="95" xfId="0" applyNumberFormat="1" applyBorder="1" applyAlignment="1">
      <alignment horizontal="center"/>
    </xf>
    <xf numFmtId="0" fontId="23" fillId="0" borderId="3" xfId="0" applyFont="1" applyBorder="1" applyAlignment="1">
      <alignment horizontal="center"/>
    </xf>
    <xf numFmtId="0" fontId="0" fillId="0" borderId="14" xfId="0" applyBorder="1"/>
    <xf numFmtId="166" fontId="0" fillId="0" borderId="51" xfId="0" applyNumberFormat="1" applyBorder="1" applyAlignment="1">
      <alignment horizontal="center"/>
    </xf>
    <xf numFmtId="166" fontId="0" fillId="0" borderId="39" xfId="0" applyNumberFormat="1" applyBorder="1" applyAlignment="1">
      <alignment horizontal="center"/>
    </xf>
    <xf numFmtId="166" fontId="0" fillId="0" borderId="38" xfId="0" applyNumberFormat="1" applyBorder="1" applyAlignment="1">
      <alignment horizontal="center"/>
    </xf>
    <xf numFmtId="0" fontId="0" fillId="0" borderId="2" xfId="0" applyBorder="1" applyAlignment="1">
      <alignment horizontal="right"/>
    </xf>
    <xf numFmtId="166" fontId="0" fillId="0" borderId="14" xfId="0" applyNumberFormat="1" applyBorder="1" applyAlignment="1">
      <alignment horizontal="center"/>
    </xf>
    <xf numFmtId="165" fontId="0" fillId="0" borderId="14" xfId="0" applyNumberFormat="1" applyBorder="1"/>
    <xf numFmtId="164" fontId="11" fillId="0" borderId="1" xfId="0" applyNumberFormat="1" applyFont="1" applyBorder="1" applyAlignment="1">
      <alignment horizontal="center"/>
    </xf>
    <xf numFmtId="164" fontId="11" fillId="0" borderId="96" xfId="0" applyNumberFormat="1" applyFont="1" applyBorder="1" applyAlignment="1">
      <alignment horizontal="center"/>
    </xf>
    <xf numFmtId="166" fontId="2" fillId="0" borderId="7" xfId="0" applyNumberFormat="1" applyFont="1" applyBorder="1" applyAlignment="1">
      <alignment horizontal="center"/>
    </xf>
    <xf numFmtId="1" fontId="0" fillId="21" borderId="1" xfId="0" applyNumberFormat="1" applyFill="1" applyBorder="1" applyAlignment="1">
      <alignment horizontal="center"/>
    </xf>
    <xf numFmtId="164" fontId="11" fillId="0" borderId="97" xfId="0" applyNumberFormat="1" applyFont="1" applyBorder="1" applyAlignment="1">
      <alignment horizontal="center"/>
    </xf>
    <xf numFmtId="164" fontId="11" fillId="0" borderId="98" xfId="0" applyNumberFormat="1" applyFont="1" applyBorder="1" applyAlignment="1">
      <alignment horizontal="center"/>
    </xf>
    <xf numFmtId="1" fontId="25" fillId="2" borderId="99" xfId="0" applyNumberFormat="1" applyFont="1" applyFill="1" applyBorder="1" applyAlignment="1">
      <alignment horizontal="center"/>
    </xf>
    <xf numFmtId="1" fontId="25" fillId="2" borderId="100" xfId="0" applyNumberFormat="1" applyFont="1" applyFill="1" applyBorder="1" applyAlignment="1">
      <alignment horizontal="center"/>
    </xf>
    <xf numFmtId="1" fontId="25" fillId="2" borderId="98" xfId="0" applyNumberFormat="1" applyFont="1" applyFill="1" applyBorder="1" applyAlignment="1">
      <alignment horizontal="center"/>
    </xf>
    <xf numFmtId="1" fontId="25" fillId="2" borderId="97" xfId="0" applyNumberFormat="1" applyFont="1" applyFill="1" applyBorder="1" applyAlignment="1">
      <alignment horizontal="center"/>
    </xf>
    <xf numFmtId="164" fontId="0" fillId="0" borderId="96" xfId="0" applyNumberFormat="1" applyBorder="1" applyAlignment="1">
      <alignment horizontal="center"/>
    </xf>
    <xf numFmtId="1" fontId="0" fillId="0" borderId="101" xfId="0" applyNumberFormat="1" applyBorder="1" applyAlignment="1">
      <alignment horizontal="center"/>
    </xf>
    <xf numFmtId="1" fontId="0" fillId="0" borderId="102" xfId="0" applyNumberFormat="1" applyBorder="1" applyAlignment="1">
      <alignment horizontal="center"/>
    </xf>
    <xf numFmtId="1" fontId="2" fillId="21" borderId="1" xfId="0" applyNumberFormat="1" applyFont="1" applyFill="1" applyBorder="1" applyAlignment="1">
      <alignment horizontal="left"/>
    </xf>
    <xf numFmtId="1" fontId="25" fillId="21" borderId="99" xfId="0" applyNumberFormat="1" applyFont="1" applyFill="1" applyBorder="1" applyAlignment="1">
      <alignment horizontal="center"/>
    </xf>
    <xf numFmtId="1" fontId="25" fillId="21" borderId="100" xfId="0" applyNumberFormat="1" applyFont="1" applyFill="1" applyBorder="1" applyAlignment="1">
      <alignment horizontal="center"/>
    </xf>
    <xf numFmtId="1" fontId="25" fillId="21" borderId="98" xfId="0" applyNumberFormat="1" applyFont="1" applyFill="1" applyBorder="1" applyAlignment="1">
      <alignment horizontal="center"/>
    </xf>
    <xf numFmtId="0" fontId="0" fillId="21" borderId="0" xfId="0" applyFill="1"/>
    <xf numFmtId="165" fontId="0" fillId="0" borderId="20" xfId="0" applyNumberFormat="1" applyBorder="1"/>
    <xf numFmtId="9" fontId="0" fillId="0" borderId="20" xfId="0" applyNumberFormat="1" applyBorder="1"/>
    <xf numFmtId="2" fontId="0" fillId="0" borderId="101" xfId="0" applyNumberFormat="1" applyBorder="1" applyAlignment="1">
      <alignment horizontal="center"/>
    </xf>
    <xf numFmtId="2" fontId="0" fillId="0" borderId="102" xfId="0" applyNumberFormat="1" applyBorder="1" applyAlignment="1">
      <alignment horizontal="center"/>
    </xf>
    <xf numFmtId="1" fontId="0" fillId="0" borderId="12" xfId="0" applyNumberFormat="1" applyBorder="1" applyAlignment="1">
      <alignment horizontal="center"/>
    </xf>
    <xf numFmtId="1" fontId="0" fillId="0" borderId="103" xfId="0" applyNumberFormat="1" applyBorder="1" applyAlignment="1">
      <alignment horizontal="center"/>
    </xf>
    <xf numFmtId="49" fontId="24" fillId="0" borderId="3" xfId="0" applyNumberFormat="1" applyFont="1" applyBorder="1" applyAlignment="1">
      <alignment horizontal="center"/>
    </xf>
    <xf numFmtId="166" fontId="0" fillId="0" borderId="21" xfId="0" applyNumberFormat="1" applyBorder="1"/>
    <xf numFmtId="165" fontId="0" fillId="0" borderId="21" xfId="0" applyNumberFormat="1" applyBorder="1"/>
    <xf numFmtId="169" fontId="0" fillId="0" borderId="15" xfId="2" applyNumberFormat="1" applyFont="1" applyBorder="1"/>
    <xf numFmtId="1" fontId="0" fillId="0" borderId="21" xfId="0" applyNumberFormat="1" applyBorder="1" applyAlignment="1">
      <alignment horizontal="center"/>
    </xf>
    <xf numFmtId="1" fontId="0" fillId="0" borderId="104" xfId="0" applyNumberFormat="1" applyBorder="1" applyAlignment="1">
      <alignment horizontal="center"/>
    </xf>
    <xf numFmtId="49" fontId="24" fillId="0" borderId="2" xfId="0" applyNumberFormat="1" applyFont="1" applyBorder="1" applyAlignment="1">
      <alignment horizontal="center"/>
    </xf>
    <xf numFmtId="165" fontId="0" fillId="0" borderId="12" xfId="0" applyNumberFormat="1" applyBorder="1"/>
    <xf numFmtId="1" fontId="25" fillId="2" borderId="105" xfId="0" applyNumberFormat="1" applyFont="1" applyFill="1" applyBorder="1" applyAlignment="1">
      <alignment horizontal="center"/>
    </xf>
    <xf numFmtId="1" fontId="25" fillId="2" borderId="106" xfId="0" applyNumberFormat="1" applyFont="1" applyFill="1" applyBorder="1" applyAlignment="1">
      <alignment horizontal="center"/>
    </xf>
    <xf numFmtId="1" fontId="25" fillId="2" borderId="107" xfId="0" applyNumberFormat="1" applyFont="1" applyFill="1" applyBorder="1" applyAlignment="1">
      <alignment horizontal="center"/>
    </xf>
    <xf numFmtId="166" fontId="0" fillId="0" borderId="12" xfId="0" applyNumberFormat="1" applyBorder="1" applyAlignment="1">
      <alignment horizontal="center"/>
    </xf>
    <xf numFmtId="1" fontId="0" fillId="0" borderId="96" xfId="0" applyNumberFormat="1" applyBorder="1" applyAlignment="1">
      <alignment horizontal="center"/>
    </xf>
    <xf numFmtId="2" fontId="0" fillId="0" borderId="36" xfId="0" applyNumberFormat="1" applyBorder="1" applyAlignment="1">
      <alignment horizontal="center"/>
    </xf>
    <xf numFmtId="2" fontId="0" fillId="0" borderId="35" xfId="0" applyNumberFormat="1" applyBorder="1" applyAlignment="1">
      <alignment horizontal="center"/>
    </xf>
    <xf numFmtId="0" fontId="0" fillId="21" borderId="36" xfId="0" applyFill="1" applyBorder="1" applyAlignment="1">
      <alignment horizontal="center"/>
    </xf>
    <xf numFmtId="49" fontId="0" fillId="21" borderId="36" xfId="0" applyNumberFormat="1" applyFill="1" applyBorder="1" applyAlignment="1">
      <alignment horizontal="center"/>
    </xf>
    <xf numFmtId="49" fontId="0" fillId="2" borderId="36" xfId="0" applyNumberFormat="1" applyFill="1" applyBorder="1" applyAlignment="1">
      <alignment horizontal="center"/>
    </xf>
    <xf numFmtId="49" fontId="0" fillId="2" borderId="35" xfId="0" applyNumberFormat="1" applyFill="1" applyBorder="1" applyAlignment="1">
      <alignment horizontal="center"/>
    </xf>
    <xf numFmtId="164" fontId="0" fillId="0" borderId="101" xfId="0" applyNumberFormat="1" applyBorder="1" applyAlignment="1">
      <alignment horizontal="center"/>
    </xf>
    <xf numFmtId="164" fontId="0" fillId="0" borderId="102" xfId="0" applyNumberFormat="1" applyBorder="1" applyAlignment="1">
      <alignment horizontal="center"/>
    </xf>
    <xf numFmtId="1" fontId="11" fillId="0" borderId="108" xfId="0" applyNumberFormat="1" applyFont="1" applyBorder="1" applyAlignment="1">
      <alignment horizontal="center"/>
    </xf>
    <xf numFmtId="1" fontId="11" fillId="0" borderId="109" xfId="0" applyNumberFormat="1" applyFont="1" applyBorder="1" applyAlignment="1">
      <alignment horizontal="center"/>
    </xf>
    <xf numFmtId="1" fontId="11" fillId="0" borderId="96" xfId="0" applyNumberFormat="1" applyFont="1" applyBorder="1" applyAlignment="1">
      <alignment horizontal="center"/>
    </xf>
    <xf numFmtId="1" fontId="25" fillId="0" borderId="3" xfId="0" applyNumberFormat="1" applyFont="1" applyBorder="1" applyAlignment="1">
      <alignment horizontal="center"/>
    </xf>
    <xf numFmtId="1" fontId="25" fillId="2" borderId="108" xfId="0" applyNumberFormat="1" applyFont="1" applyFill="1" applyBorder="1" applyAlignment="1">
      <alignment horizontal="center"/>
    </xf>
    <xf numFmtId="1" fontId="25" fillId="2" borderId="109" xfId="0" applyNumberFormat="1" applyFont="1" applyFill="1" applyBorder="1" applyAlignment="1">
      <alignment horizontal="center"/>
    </xf>
    <xf numFmtId="1" fontId="25" fillId="2" borderId="96" xfId="0" applyNumberFormat="1" applyFont="1" applyFill="1" applyBorder="1" applyAlignment="1">
      <alignment horizontal="center"/>
    </xf>
    <xf numFmtId="164" fontId="0" fillId="0" borderId="2" xfId="0" applyNumberFormat="1" applyBorder="1" applyAlignment="1">
      <alignment horizontal="center"/>
    </xf>
    <xf numFmtId="0" fontId="2" fillId="0" borderId="3" xfId="0" applyFont="1" applyBorder="1"/>
    <xf numFmtId="2" fontId="0" fillId="0" borderId="3" xfId="0" applyNumberFormat="1" applyBorder="1" applyAlignment="1">
      <alignment horizontal="right"/>
    </xf>
    <xf numFmtId="170" fontId="0" fillId="0" borderId="3" xfId="0" applyNumberFormat="1" applyBorder="1"/>
    <xf numFmtId="1" fontId="0" fillId="0" borderId="110" xfId="0" applyNumberFormat="1" applyBorder="1" applyAlignment="1">
      <alignment horizontal="center"/>
    </xf>
    <xf numFmtId="164" fontId="0" fillId="0" borderId="0" xfId="0" applyNumberFormat="1" applyAlignment="1">
      <alignment horizontal="right"/>
    </xf>
    <xf numFmtId="165" fontId="0" fillId="0" borderId="14" xfId="0" applyNumberFormat="1" applyBorder="1" applyAlignment="1">
      <alignment horizontal="center"/>
    </xf>
    <xf numFmtId="164" fontId="0" fillId="0" borderId="3" xfId="0" applyNumberFormat="1" applyBorder="1" applyAlignment="1">
      <alignment horizontal="right"/>
    </xf>
    <xf numFmtId="170" fontId="0" fillId="0" borderId="0" xfId="0" applyNumberFormat="1" applyAlignment="1">
      <alignment horizontal="center"/>
    </xf>
    <xf numFmtId="2" fontId="0" fillId="0" borderId="3" xfId="0" applyNumberFormat="1" applyBorder="1" applyAlignment="1">
      <alignment horizontal="center"/>
    </xf>
    <xf numFmtId="0" fontId="17" fillId="0" borderId="1" xfId="0" applyFont="1" applyBorder="1" applyAlignment="1">
      <alignment horizontal="center"/>
    </xf>
    <xf numFmtId="169" fontId="2" fillId="0" borderId="0" xfId="2" applyNumberFormat="1" applyFont="1"/>
    <xf numFmtId="1" fontId="2" fillId="0" borderId="0" xfId="0" applyNumberFormat="1" applyFont="1" applyAlignment="1">
      <alignment horizontal="center"/>
    </xf>
    <xf numFmtId="0" fontId="8" fillId="20" borderId="1" xfId="0" applyFont="1" applyFill="1" applyBorder="1"/>
    <xf numFmtId="0" fontId="25" fillId="2" borderId="0" xfId="0" applyFont="1" applyFill="1"/>
    <xf numFmtId="0" fontId="0" fillId="24" borderId="0" xfId="0" applyFill="1"/>
    <xf numFmtId="0" fontId="28" fillId="0" borderId="1" xfId="0" applyFont="1" applyBorder="1"/>
    <xf numFmtId="166" fontId="0" fillId="0" borderId="1" xfId="0" applyNumberFormat="1" applyBorder="1" applyAlignment="1">
      <alignment horizontal="right" vertical="center" wrapText="1"/>
    </xf>
    <xf numFmtId="164" fontId="0" fillId="0" borderId="1" xfId="0" applyNumberFormat="1" applyBorder="1" applyAlignment="1">
      <alignment horizontal="center" vertical="center" wrapText="1"/>
    </xf>
    <xf numFmtId="166" fontId="0" fillId="0" borderId="20" xfId="0" applyNumberFormat="1" applyBorder="1"/>
    <xf numFmtId="166" fontId="0" fillId="0" borderId="0" xfId="0" applyNumberFormat="1" applyAlignment="1">
      <alignment vertical="center" wrapText="1"/>
    </xf>
    <xf numFmtId="166" fontId="0" fillId="0" borderId="4" xfId="0" quotePrefix="1" applyNumberFormat="1" applyBorder="1" applyAlignment="1">
      <alignment horizontal="right" vertical="center" wrapText="1"/>
    </xf>
    <xf numFmtId="166" fontId="0" fillId="0" borderId="0" xfId="0" applyNumberFormat="1" applyAlignment="1">
      <alignment horizontal="right" vertical="center" wrapText="1"/>
    </xf>
    <xf numFmtId="164" fontId="0" fillId="0" borderId="0" xfId="0" applyNumberFormat="1" applyAlignment="1">
      <alignment horizontal="center" vertical="center" wrapText="1"/>
    </xf>
    <xf numFmtId="1" fontId="0" fillId="0" borderId="4" xfId="0" applyNumberFormat="1" applyBorder="1" applyAlignment="1">
      <alignment horizontal="center" vertical="center" wrapText="1"/>
    </xf>
    <xf numFmtId="164" fontId="4" fillId="0" borderId="18" xfId="0" applyNumberFormat="1" applyFont="1" applyBorder="1" applyAlignment="1">
      <alignment horizontal="center" vertical="center" wrapText="1"/>
    </xf>
    <xf numFmtId="164" fontId="4" fillId="2" borderId="18" xfId="0" applyNumberFormat="1" applyFont="1" applyFill="1" applyBorder="1" applyAlignment="1">
      <alignment horizontal="center" vertical="center" wrapText="1"/>
    </xf>
    <xf numFmtId="0" fontId="0" fillId="0" borderId="18" xfId="0" applyBorder="1" applyAlignment="1">
      <alignment vertical="center" wrapText="1"/>
    </xf>
    <xf numFmtId="0" fontId="0" fillId="0" borderId="18" xfId="0" applyBorder="1" applyAlignment="1">
      <alignment horizontal="left" vertical="center" wrapText="1"/>
    </xf>
    <xf numFmtId="167" fontId="0" fillId="0" borderId="14" xfId="0" applyNumberFormat="1" applyBorder="1"/>
    <xf numFmtId="0" fontId="0" fillId="0" borderId="13" xfId="0" applyBorder="1"/>
    <xf numFmtId="0" fontId="0" fillId="2" borderId="14" xfId="0" applyFill="1" applyBorder="1"/>
    <xf numFmtId="43" fontId="0" fillId="2" borderId="14" xfId="2" applyFont="1" applyFill="1" applyBorder="1"/>
    <xf numFmtId="2" fontId="0" fillId="2" borderId="14" xfId="0" applyNumberFormat="1" applyFill="1" applyBorder="1"/>
    <xf numFmtId="167" fontId="0" fillId="2" borderId="14" xfId="0" applyNumberFormat="1" applyFill="1" applyBorder="1"/>
    <xf numFmtId="9" fontId="0" fillId="2" borderId="7" xfId="0" applyNumberFormat="1" applyFill="1" applyBorder="1" applyAlignment="1">
      <alignment vertical="center" wrapText="1"/>
    </xf>
    <xf numFmtId="0" fontId="0" fillId="0" borderId="0" xfId="0" applyAlignment="1">
      <alignment horizontal="right" vertical="center"/>
    </xf>
    <xf numFmtId="0" fontId="2" fillId="0" borderId="0" xfId="0" applyFont="1" applyAlignment="1">
      <alignment horizontal="center" vertical="center"/>
    </xf>
    <xf numFmtId="1" fontId="4" fillId="2" borderId="111" xfId="0" applyNumberFormat="1" applyFont="1" applyFill="1" applyBorder="1" applyAlignment="1">
      <alignment horizontal="center"/>
    </xf>
    <xf numFmtId="1" fontId="4" fillId="2" borderId="96" xfId="0" applyNumberFormat="1" applyFont="1" applyFill="1" applyBorder="1" applyAlignment="1">
      <alignment horizontal="center"/>
    </xf>
    <xf numFmtId="44" fontId="4" fillId="2" borderId="96" xfId="3" applyFont="1" applyFill="1" applyBorder="1" applyAlignment="1">
      <alignment horizontal="center"/>
    </xf>
    <xf numFmtId="44" fontId="4" fillId="2" borderId="112" xfId="3" applyFont="1" applyFill="1" applyBorder="1" applyAlignment="1">
      <alignment horizontal="center"/>
    </xf>
    <xf numFmtId="165" fontId="0" fillId="0" borderId="96" xfId="0" applyNumberFormat="1" applyBorder="1" applyAlignment="1">
      <alignment horizontal="center"/>
    </xf>
    <xf numFmtId="165" fontId="0" fillId="21" borderId="1" xfId="0" applyNumberFormat="1" applyFill="1" applyBorder="1" applyAlignment="1">
      <alignment horizontal="center"/>
    </xf>
    <xf numFmtId="1" fontId="4" fillId="2" borderId="1" xfId="0" applyNumberFormat="1" applyFont="1" applyFill="1" applyBorder="1" applyAlignment="1">
      <alignment horizontal="center"/>
    </xf>
    <xf numFmtId="0" fontId="2" fillId="21" borderId="1" xfId="0" applyFont="1" applyFill="1" applyBorder="1" applyAlignment="1">
      <alignment horizontal="right"/>
    </xf>
    <xf numFmtId="1" fontId="4" fillId="2" borderId="113" xfId="0" applyNumberFormat="1" applyFont="1" applyFill="1" applyBorder="1" applyAlignment="1">
      <alignment horizontal="center"/>
    </xf>
    <xf numFmtId="1" fontId="4" fillId="2" borderId="114" xfId="0" applyNumberFormat="1" applyFont="1" applyFill="1" applyBorder="1" applyAlignment="1">
      <alignment horizontal="center"/>
    </xf>
    <xf numFmtId="44" fontId="4" fillId="2" borderId="114" xfId="3" applyFont="1" applyFill="1" applyBorder="1" applyAlignment="1">
      <alignment horizontal="center"/>
    </xf>
    <xf numFmtId="44" fontId="4" fillId="2" borderId="115" xfId="3" applyFont="1" applyFill="1" applyBorder="1" applyAlignment="1">
      <alignment horizontal="center"/>
    </xf>
    <xf numFmtId="1" fontId="0" fillId="0" borderId="114" xfId="0" applyNumberFormat="1" applyBorder="1" applyAlignment="1">
      <alignment horizontal="center"/>
    </xf>
    <xf numFmtId="165" fontId="0" fillId="0" borderId="114" xfId="0" applyNumberFormat="1" applyBorder="1" applyAlignment="1">
      <alignment horizontal="center"/>
    </xf>
    <xf numFmtId="49" fontId="24" fillId="2" borderId="36" xfId="0" applyNumberFormat="1" applyFont="1" applyFill="1" applyBorder="1" applyAlignment="1">
      <alignment horizontal="center"/>
    </xf>
    <xf numFmtId="1" fontId="4" fillId="2" borderId="116" xfId="0" applyNumberFormat="1" applyFont="1" applyFill="1" applyBorder="1" applyAlignment="1">
      <alignment horizontal="center"/>
    </xf>
    <xf numFmtId="1" fontId="4" fillId="2" borderId="110" xfId="0" applyNumberFormat="1" applyFont="1" applyFill="1" applyBorder="1" applyAlignment="1">
      <alignment horizontal="center"/>
    </xf>
    <xf numFmtId="44" fontId="4" fillId="2" borderId="110" xfId="3" applyFont="1" applyFill="1" applyBorder="1" applyAlignment="1">
      <alignment horizontal="center"/>
    </xf>
    <xf numFmtId="44" fontId="4" fillId="2" borderId="117" xfId="3" applyFont="1" applyFill="1" applyBorder="1" applyAlignment="1">
      <alignment horizontal="center"/>
    </xf>
    <xf numFmtId="165" fontId="0" fillId="0" borderId="110" xfId="0" applyNumberFormat="1" applyBorder="1" applyAlignment="1">
      <alignment horizontal="center"/>
    </xf>
    <xf numFmtId="49" fontId="24" fillId="2" borderId="35" xfId="0" applyNumberFormat="1" applyFont="1" applyFill="1" applyBorder="1" applyAlignment="1">
      <alignment horizontal="center"/>
    </xf>
    <xf numFmtId="0" fontId="29" fillId="0" borderId="36" xfId="0" applyFont="1" applyBorder="1" applyAlignment="1">
      <alignment horizontal="center"/>
    </xf>
    <xf numFmtId="1" fontId="4" fillId="2" borderId="118" xfId="0" applyNumberFormat="1" applyFont="1" applyFill="1" applyBorder="1" applyAlignment="1">
      <alignment horizontal="center"/>
    </xf>
    <xf numFmtId="44" fontId="4" fillId="2" borderId="119" xfId="3" applyFont="1" applyFill="1" applyBorder="1" applyAlignment="1">
      <alignment horizontal="center"/>
    </xf>
    <xf numFmtId="49" fontId="24" fillId="0" borderId="77" xfId="0" applyNumberFormat="1" applyFont="1" applyBorder="1" applyAlignment="1">
      <alignment horizontal="center"/>
    </xf>
    <xf numFmtId="1" fontId="4" fillId="2" borderId="120" xfId="0" applyNumberFormat="1" applyFont="1" applyFill="1" applyBorder="1" applyAlignment="1">
      <alignment horizontal="center"/>
    </xf>
    <xf numFmtId="1" fontId="4" fillId="2" borderId="121" xfId="0" applyNumberFormat="1" applyFont="1" applyFill="1" applyBorder="1" applyAlignment="1">
      <alignment horizontal="center"/>
    </xf>
    <xf numFmtId="44" fontId="4" fillId="2" borderId="121" xfId="3" applyFont="1" applyFill="1" applyBorder="1" applyAlignment="1">
      <alignment horizontal="center"/>
    </xf>
    <xf numFmtId="44" fontId="4" fillId="2" borderId="122" xfId="3" applyFont="1" applyFill="1" applyBorder="1" applyAlignment="1">
      <alignment horizontal="center"/>
    </xf>
    <xf numFmtId="1" fontId="0" fillId="0" borderId="121" xfId="0" applyNumberFormat="1" applyBorder="1" applyAlignment="1">
      <alignment horizontal="center"/>
    </xf>
    <xf numFmtId="165" fontId="0" fillId="0" borderId="121" xfId="0" applyNumberFormat="1" applyBorder="1" applyAlignment="1">
      <alignment horizontal="center"/>
    </xf>
    <xf numFmtId="165" fontId="0" fillId="0" borderId="102" xfId="0" applyNumberFormat="1" applyBorder="1" applyAlignment="1">
      <alignment horizontal="center"/>
    </xf>
    <xf numFmtId="1" fontId="4" fillId="2" borderId="123" xfId="0" applyNumberFormat="1" applyFont="1" applyFill="1" applyBorder="1" applyAlignment="1">
      <alignment horizontal="center"/>
    </xf>
    <xf numFmtId="1" fontId="4" fillId="2" borderId="102" xfId="0" applyNumberFormat="1" applyFont="1" applyFill="1" applyBorder="1" applyAlignment="1">
      <alignment horizontal="center"/>
    </xf>
    <xf numFmtId="44" fontId="4" fillId="2" borderId="102" xfId="3" applyFont="1" applyFill="1" applyBorder="1" applyAlignment="1">
      <alignment horizontal="center"/>
    </xf>
    <xf numFmtId="44" fontId="4" fillId="2" borderId="124" xfId="3" applyFont="1" applyFill="1" applyBorder="1" applyAlignment="1">
      <alignment horizontal="center"/>
    </xf>
    <xf numFmtId="1" fontId="4" fillId="2" borderId="125" xfId="0" applyNumberFormat="1" applyFont="1" applyFill="1" applyBorder="1" applyAlignment="1">
      <alignment horizontal="center"/>
    </xf>
    <xf numFmtId="44" fontId="4" fillId="2" borderId="126" xfId="3" applyFont="1" applyFill="1" applyBorder="1" applyAlignment="1">
      <alignment horizontal="center"/>
    </xf>
    <xf numFmtId="1" fontId="4" fillId="2" borderId="127" xfId="0" applyNumberFormat="1" applyFont="1" applyFill="1" applyBorder="1" applyAlignment="1">
      <alignment horizontal="center"/>
    </xf>
    <xf numFmtId="165" fontId="4" fillId="2" borderId="102" xfId="0" applyNumberFormat="1" applyFont="1" applyFill="1" applyBorder="1" applyAlignment="1">
      <alignment horizontal="center"/>
    </xf>
    <xf numFmtId="165" fontId="4" fillId="2" borderId="102" xfId="3" applyNumberFormat="1" applyFont="1" applyFill="1" applyBorder="1" applyAlignment="1">
      <alignment horizontal="center"/>
    </xf>
    <xf numFmtId="44" fontId="4" fillId="2" borderId="128" xfId="3" applyFont="1" applyFill="1" applyBorder="1" applyAlignment="1">
      <alignment horizontal="center"/>
    </xf>
    <xf numFmtId="1" fontId="0" fillId="0" borderId="127" xfId="0" applyNumberFormat="1" applyBorder="1" applyAlignment="1">
      <alignment horizontal="center"/>
    </xf>
    <xf numFmtId="1" fontId="0" fillId="0" borderId="118" xfId="0" applyNumberFormat="1" applyBorder="1" applyAlignment="1">
      <alignment horizontal="center"/>
    </xf>
    <xf numFmtId="1" fontId="0" fillId="0" borderId="116" xfId="0" applyNumberFormat="1" applyBorder="1" applyAlignment="1">
      <alignment horizontal="center"/>
    </xf>
    <xf numFmtId="165" fontId="2" fillId="21" borderId="1" xfId="0" applyNumberFormat="1" applyFont="1" applyFill="1" applyBorder="1" applyAlignment="1">
      <alignment horizontal="center"/>
    </xf>
    <xf numFmtId="0" fontId="10" fillId="20" borderId="9" xfId="0" applyFont="1" applyFill="1" applyBorder="1" applyAlignment="1">
      <alignment horizontal="centerContinuous"/>
    </xf>
    <xf numFmtId="0" fontId="10" fillId="20" borderId="1" xfId="0" applyFont="1" applyFill="1" applyBorder="1" applyAlignment="1">
      <alignment horizontal="centerContinuous"/>
    </xf>
    <xf numFmtId="166" fontId="0" fillId="0" borderId="9" xfId="0" applyNumberFormat="1" applyBorder="1" applyAlignment="1">
      <alignment horizontal="right"/>
    </xf>
    <xf numFmtId="0" fontId="2" fillId="19" borderId="10" xfId="0" applyFont="1" applyFill="1" applyBorder="1"/>
    <xf numFmtId="166" fontId="2" fillId="19" borderId="10" xfId="0" applyNumberFormat="1" applyFont="1" applyFill="1" applyBorder="1"/>
    <xf numFmtId="166" fontId="2" fillId="19" borderId="2" xfId="0" applyNumberFormat="1" applyFont="1" applyFill="1" applyBorder="1"/>
    <xf numFmtId="166" fontId="2" fillId="19" borderId="21" xfId="0" applyNumberFormat="1" applyFont="1" applyFill="1" applyBorder="1" applyAlignment="1">
      <alignment horizontal="right"/>
    </xf>
    <xf numFmtId="0" fontId="0" fillId="7" borderId="11" xfId="0" applyFill="1" applyBorder="1" applyAlignment="1">
      <alignment horizontal="center"/>
    </xf>
    <xf numFmtId="49" fontId="0" fillId="0" borderId="11" xfId="0" applyNumberFormat="1" applyBorder="1" applyAlignment="1">
      <alignment horizontal="center"/>
    </xf>
    <xf numFmtId="0" fontId="0" fillId="8" borderId="60" xfId="0" applyFill="1" applyBorder="1" applyAlignment="1">
      <alignment horizontal="center"/>
    </xf>
    <xf numFmtId="2" fontId="0" fillId="0" borderId="62" xfId="0" applyNumberFormat="1" applyBorder="1" applyAlignment="1">
      <alignment horizontal="center"/>
    </xf>
    <xf numFmtId="49" fontId="0" fillId="0" borderId="10" xfId="0" applyNumberFormat="1" applyBorder="1" applyAlignment="1">
      <alignment horizontal="center"/>
    </xf>
    <xf numFmtId="0" fontId="30" fillId="0" borderId="0" xfId="0" applyFont="1"/>
    <xf numFmtId="0" fontId="31" fillId="0" borderId="0" xfId="0" applyFont="1"/>
    <xf numFmtId="0" fontId="31" fillId="0" borderId="0" xfId="0" applyFont="1" applyAlignment="1">
      <alignment horizontal="center"/>
    </xf>
    <xf numFmtId="0" fontId="30" fillId="0" borderId="10" xfId="0" applyFont="1" applyBorder="1"/>
    <xf numFmtId="166" fontId="30" fillId="4" borderId="15" xfId="0" applyNumberFormat="1" applyFont="1" applyFill="1" applyBorder="1"/>
    <xf numFmtId="0" fontId="30" fillId="0" borderId="13" xfId="0" applyFont="1" applyBorder="1"/>
    <xf numFmtId="166" fontId="30" fillId="3" borderId="20" xfId="0" applyNumberFormat="1" applyFont="1" applyFill="1" applyBorder="1"/>
    <xf numFmtId="166" fontId="30" fillId="3" borderId="19" xfId="0" applyNumberFormat="1" applyFont="1" applyFill="1" applyBorder="1"/>
    <xf numFmtId="0" fontId="30" fillId="0" borderId="11" xfId="0" applyFont="1" applyBorder="1"/>
    <xf numFmtId="168" fontId="30" fillId="3" borderId="19" xfId="1" applyNumberFormat="1" applyFont="1" applyFill="1" applyBorder="1"/>
    <xf numFmtId="0" fontId="30" fillId="0" borderId="7" xfId="0" applyFont="1" applyBorder="1"/>
    <xf numFmtId="166" fontId="30" fillId="0" borderId="7" xfId="0" applyNumberFormat="1" applyFont="1" applyBorder="1"/>
    <xf numFmtId="165" fontId="31" fillId="0" borderId="0" xfId="0" applyNumberFormat="1" applyFont="1"/>
    <xf numFmtId="0" fontId="30" fillId="0" borderId="8" xfId="0" applyFont="1" applyBorder="1"/>
    <xf numFmtId="166" fontId="30" fillId="4" borderId="7" xfId="0" applyNumberFormat="1" applyFont="1" applyFill="1" applyBorder="1"/>
    <xf numFmtId="0" fontId="32" fillId="0" borderId="3" xfId="0" applyFont="1" applyBorder="1" applyAlignment="1">
      <alignment horizontal="center"/>
    </xf>
    <xf numFmtId="0" fontId="33" fillId="0" borderId="3" xfId="0" applyFont="1" applyBorder="1" applyAlignment="1">
      <alignment horizontal="center"/>
    </xf>
    <xf numFmtId="0" fontId="33" fillId="0" borderId="3" xfId="0" applyFont="1" applyBorder="1"/>
    <xf numFmtId="0" fontId="33" fillId="0" borderId="0" xfId="0" applyFont="1" applyAlignment="1">
      <alignment horizontal="center"/>
    </xf>
    <xf numFmtId="2" fontId="32" fillId="15" borderId="0" xfId="0" applyNumberFormat="1" applyFont="1" applyFill="1"/>
    <xf numFmtId="166" fontId="33" fillId="0" borderId="0" xfId="0" applyNumberFormat="1" applyFont="1"/>
    <xf numFmtId="0" fontId="33" fillId="0" borderId="0" xfId="0" applyFont="1"/>
    <xf numFmtId="9" fontId="33" fillId="15" borderId="0" xfId="0" applyNumberFormat="1" applyFont="1" applyFill="1"/>
    <xf numFmtId="166" fontId="33" fillId="0" borderId="0" xfId="0" applyNumberFormat="1" applyFont="1" applyAlignment="1">
      <alignment horizontal="center"/>
    </xf>
    <xf numFmtId="9" fontId="33" fillId="15" borderId="3" xfId="0" applyNumberFormat="1" applyFont="1" applyFill="1" applyBorder="1"/>
    <xf numFmtId="9" fontId="33" fillId="0" borderId="0" xfId="0" applyNumberFormat="1" applyFont="1"/>
    <xf numFmtId="9" fontId="33" fillId="0" borderId="0" xfId="1" applyFont="1"/>
    <xf numFmtId="9" fontId="33" fillId="0" borderId="3" xfId="0" applyNumberFormat="1" applyFont="1" applyBorder="1"/>
    <xf numFmtId="166" fontId="33" fillId="0" borderId="3" xfId="0" applyNumberFormat="1" applyFont="1" applyBorder="1"/>
    <xf numFmtId="0" fontId="33" fillId="0" borderId="1" xfId="0" applyFont="1" applyBorder="1" applyAlignment="1">
      <alignment horizontal="center"/>
    </xf>
    <xf numFmtId="0" fontId="33" fillId="0" borderId="1" xfId="0" applyFont="1" applyBorder="1"/>
    <xf numFmtId="166" fontId="33" fillId="0" borderId="1" xfId="0" applyNumberFormat="1" applyFont="1" applyBorder="1"/>
    <xf numFmtId="165" fontId="0" fillId="0" borderId="3" xfId="0" applyNumberFormat="1" applyBorder="1"/>
    <xf numFmtId="165" fontId="0" fillId="0" borderId="3" xfId="0" applyNumberFormat="1" applyBorder="1" applyAlignment="1">
      <alignment horizontal="center"/>
    </xf>
    <xf numFmtId="9" fontId="0" fillId="25" borderId="0" xfId="0" applyNumberFormat="1" applyFill="1" applyAlignment="1">
      <alignment horizontal="center"/>
    </xf>
    <xf numFmtId="0" fontId="0" fillId="0" borderId="0" xfId="0" applyAlignment="1">
      <alignment horizontal="center" vertical="center" wrapText="1"/>
    </xf>
    <xf numFmtId="1" fontId="0" fillId="0" borderId="3" xfId="0" applyNumberFormat="1" applyBorder="1" applyAlignment="1">
      <alignment horizontal="center"/>
    </xf>
    <xf numFmtId="0" fontId="0" fillId="0" borderId="15" xfId="0" applyBorder="1" applyAlignment="1">
      <alignment horizontal="center"/>
    </xf>
    <xf numFmtId="49" fontId="4" fillId="2" borderId="4" xfId="0" applyNumberFormat="1" applyFont="1" applyFill="1" applyBorder="1" applyAlignment="1">
      <alignment horizontal="center" vertical="center" wrapText="1"/>
    </xf>
    <xf numFmtId="49" fontId="4" fillId="2" borderId="6" xfId="0" applyNumberFormat="1" applyFont="1" applyFill="1" applyBorder="1" applyAlignment="1">
      <alignment horizontal="center" vertical="center" wrapText="1"/>
    </xf>
    <xf numFmtId="0" fontId="7" fillId="9" borderId="0" xfId="0" applyFont="1" applyFill="1"/>
    <xf numFmtId="2" fontId="8" fillId="9" borderId="0" xfId="0" applyNumberFormat="1" applyFont="1" applyFill="1" applyAlignment="1">
      <alignment horizontal="center"/>
    </xf>
    <xf numFmtId="166" fontId="4" fillId="2" borderId="4" xfId="0" applyNumberFormat="1" applyFont="1" applyFill="1" applyBorder="1" applyAlignment="1">
      <alignment horizontal="center" vertical="center" wrapText="1"/>
    </xf>
    <xf numFmtId="166" fontId="4" fillId="2" borderId="6" xfId="0" applyNumberFormat="1" applyFont="1" applyFill="1" applyBorder="1" applyAlignment="1">
      <alignment horizontal="center" vertical="center" wrapText="1"/>
    </xf>
    <xf numFmtId="166" fontId="0" fillId="0" borderId="129" xfId="0" applyNumberFormat="1" applyBorder="1" applyAlignment="1">
      <alignment horizontal="right" vertical="center" wrapText="1"/>
    </xf>
    <xf numFmtId="166" fontId="0" fillId="0" borderId="130" xfId="0" applyNumberFormat="1" applyBorder="1" applyAlignment="1">
      <alignment horizontal="right" vertical="center" wrapText="1"/>
    </xf>
    <xf numFmtId="166" fontId="0" fillId="0" borderId="131" xfId="0" applyNumberFormat="1" applyBorder="1" applyAlignment="1">
      <alignment horizontal="right" vertical="center" wrapText="1"/>
    </xf>
    <xf numFmtId="166" fontId="4" fillId="0" borderId="132" xfId="0" applyNumberFormat="1" applyFont="1" applyBorder="1" applyAlignment="1">
      <alignment vertical="center" wrapText="1"/>
    </xf>
    <xf numFmtId="166" fontId="4" fillId="0" borderId="133" xfId="0" applyNumberFormat="1" applyFont="1" applyBorder="1" applyAlignment="1">
      <alignment vertical="center" wrapText="1"/>
    </xf>
    <xf numFmtId="166" fontId="0" fillId="0" borderId="132" xfId="0" applyNumberFormat="1" applyBorder="1" applyAlignment="1">
      <alignment vertical="center" wrapText="1"/>
    </xf>
    <xf numFmtId="166" fontId="0" fillId="0" borderId="134" xfId="0" applyNumberFormat="1" applyBorder="1" applyAlignment="1">
      <alignment vertical="center" wrapText="1"/>
    </xf>
    <xf numFmtId="166" fontId="0" fillId="0" borderId="135" xfId="0" applyNumberFormat="1" applyBorder="1" applyAlignment="1">
      <alignment vertical="center" wrapText="1"/>
    </xf>
    <xf numFmtId="166" fontId="34" fillId="0" borderId="4" xfId="0" applyNumberFormat="1" applyFont="1" applyBorder="1" applyAlignment="1">
      <alignment vertical="center" wrapText="1"/>
    </xf>
    <xf numFmtId="166" fontId="34" fillId="0" borderId="6" xfId="0" applyNumberFormat="1" applyFont="1" applyBorder="1" applyAlignment="1">
      <alignment vertical="center" wrapText="1"/>
    </xf>
    <xf numFmtId="1" fontId="0" fillId="0" borderId="14" xfId="0" applyNumberFormat="1" applyBorder="1"/>
    <xf numFmtId="49" fontId="4" fillId="26" borderId="136" xfId="0" applyNumberFormat="1" applyFont="1" applyFill="1" applyBorder="1" applyAlignment="1">
      <alignment horizontal="center" vertical="center" wrapText="1"/>
    </xf>
    <xf numFmtId="49" fontId="4" fillId="26" borderId="137" xfId="0" applyNumberFormat="1" applyFont="1" applyFill="1" applyBorder="1" applyAlignment="1">
      <alignment horizontal="center" vertical="center" wrapText="1"/>
    </xf>
    <xf numFmtId="49" fontId="4" fillId="26" borderId="138" xfId="0" applyNumberFormat="1" applyFont="1" applyFill="1" applyBorder="1" applyAlignment="1">
      <alignment horizontal="center" vertical="center" wrapText="1"/>
    </xf>
    <xf numFmtId="166" fontId="4" fillId="26" borderId="139" xfId="0" applyNumberFormat="1" applyFont="1" applyFill="1" applyBorder="1" applyAlignment="1">
      <alignment horizontal="center" vertical="center" wrapText="1"/>
    </xf>
    <xf numFmtId="166" fontId="4" fillId="26" borderId="140" xfId="0" applyNumberFormat="1" applyFont="1" applyFill="1" applyBorder="1" applyAlignment="1">
      <alignment horizontal="center" vertical="center" wrapText="1"/>
    </xf>
    <xf numFmtId="166" fontId="4" fillId="26" borderId="141" xfId="0" applyNumberFormat="1" applyFont="1" applyFill="1" applyBorder="1" applyAlignment="1">
      <alignment horizontal="center" vertical="center" wrapText="1"/>
    </xf>
    <xf numFmtId="0" fontId="0" fillId="0" borderId="20" xfId="0" quotePrefix="1" applyBorder="1" applyAlignment="1">
      <alignment horizontal="center"/>
    </xf>
    <xf numFmtId="165" fontId="0" fillId="0" borderId="1" xfId="0" applyNumberFormat="1" applyBorder="1" applyAlignment="1">
      <alignment horizontal="center"/>
    </xf>
    <xf numFmtId="166" fontId="0" fillId="0" borderId="142" xfId="0" applyNumberFormat="1" applyBorder="1" applyAlignment="1">
      <alignment horizontal="right" vertical="center" wrapText="1"/>
    </xf>
    <xf numFmtId="166" fontId="0" fillId="0" borderId="143" xfId="0" applyNumberFormat="1" applyBorder="1" applyAlignment="1">
      <alignment horizontal="right" vertical="center" wrapText="1"/>
    </xf>
    <xf numFmtId="166" fontId="0" fillId="0" borderId="144" xfId="0" applyNumberFormat="1" applyBorder="1" applyAlignment="1">
      <alignment horizontal="right" vertical="center" wrapText="1"/>
    </xf>
    <xf numFmtId="166" fontId="0" fillId="0" borderId="145" xfId="0" applyNumberFormat="1" applyBorder="1" applyAlignment="1">
      <alignment horizontal="right" vertical="center" wrapText="1"/>
    </xf>
    <xf numFmtId="166" fontId="0" fillId="0" borderId="146" xfId="0" applyNumberFormat="1" applyBorder="1" applyAlignment="1">
      <alignment horizontal="right" vertical="center" wrapText="1"/>
    </xf>
    <xf numFmtId="0" fontId="7" fillId="9" borderId="8" xfId="0" applyFont="1" applyFill="1" applyBorder="1" applyAlignment="1">
      <alignment horizontal="center"/>
    </xf>
    <xf numFmtId="0" fontId="7" fillId="9" borderId="8" xfId="0" applyFont="1" applyFill="1" applyBorder="1"/>
    <xf numFmtId="9" fontId="2" fillId="2" borderId="9" xfId="0" applyNumberFormat="1" applyFont="1" applyFill="1" applyBorder="1"/>
    <xf numFmtId="164" fontId="0" fillId="0" borderId="10" xfId="0" applyNumberFormat="1" applyBorder="1" applyAlignment="1">
      <alignment horizontal="right"/>
    </xf>
    <xf numFmtId="165" fontId="0" fillId="0" borderId="21" xfId="0" applyNumberFormat="1" applyBorder="1" applyAlignment="1">
      <alignment horizontal="right"/>
    </xf>
    <xf numFmtId="164" fontId="0" fillId="0" borderId="13" xfId="0" applyNumberFormat="1" applyBorder="1" applyAlignment="1">
      <alignment horizontal="right"/>
    </xf>
    <xf numFmtId="164" fontId="0" fillId="0" borderId="11" xfId="0" applyNumberFormat="1" applyBorder="1" applyAlignment="1">
      <alignment horizontal="right"/>
    </xf>
    <xf numFmtId="0" fontId="37" fillId="0" borderId="3" xfId="0" applyFont="1" applyBorder="1" applyAlignment="1">
      <alignment horizontal="centerContinuous" vertical="center"/>
    </xf>
    <xf numFmtId="0" fontId="36" fillId="0" borderId="15" xfId="0" applyFont="1" applyBorder="1" applyAlignment="1">
      <alignment horizontal="left" vertical="center"/>
    </xf>
    <xf numFmtId="0" fontId="37" fillId="0" borderId="0" xfId="0" applyFont="1" applyAlignment="1">
      <alignment horizontal="center" vertical="center"/>
    </xf>
    <xf numFmtId="0" fontId="37" fillId="0" borderId="3" xfId="0" applyFont="1" applyBorder="1" applyAlignment="1">
      <alignment horizontal="centerContinuous"/>
    </xf>
    <xf numFmtId="0" fontId="36" fillId="0" borderId="20" xfId="0" applyFont="1" applyBorder="1" applyAlignment="1">
      <alignment horizontal="center" vertical="center"/>
    </xf>
    <xf numFmtId="0" fontId="36" fillId="0" borderId="15" xfId="0" applyFont="1" applyBorder="1" applyAlignment="1">
      <alignment horizontal="center" vertical="center"/>
    </xf>
    <xf numFmtId="0" fontId="36" fillId="0" borderId="13" xfId="0" applyFont="1" applyBorder="1" applyAlignment="1">
      <alignment horizontal="center" vertical="center"/>
    </xf>
    <xf numFmtId="0" fontId="36" fillId="0" borderId="14" xfId="0" applyFont="1" applyBorder="1" applyAlignment="1">
      <alignment horizontal="center" vertical="center"/>
    </xf>
    <xf numFmtId="0" fontId="37" fillId="0" borderId="3" xfId="0" applyFont="1" applyBorder="1" applyAlignment="1">
      <alignment horizontal="center" vertical="center"/>
    </xf>
    <xf numFmtId="0" fontId="37" fillId="0" borderId="3" xfId="0" quotePrefix="1" applyFont="1" applyBorder="1" applyAlignment="1">
      <alignment horizontal="center" vertical="center"/>
    </xf>
    <xf numFmtId="0" fontId="36" fillId="0" borderId="19" xfId="0" applyFont="1" applyBorder="1" applyAlignment="1">
      <alignment horizontal="center" vertical="center"/>
    </xf>
    <xf numFmtId="0" fontId="40" fillId="3" borderId="7" xfId="0" applyFont="1" applyFill="1" applyBorder="1" applyAlignment="1">
      <alignment horizontal="center" vertical="center"/>
    </xf>
    <xf numFmtId="0" fontId="40" fillId="3" borderId="7" xfId="0" applyFont="1" applyFill="1" applyBorder="1" applyAlignment="1">
      <alignment horizontal="centerContinuous" vertical="center"/>
    </xf>
    <xf numFmtId="0" fontId="40" fillId="3" borderId="7" xfId="0" applyFont="1" applyFill="1" applyBorder="1" applyAlignment="1">
      <alignment horizontal="centerContinuous"/>
    </xf>
    <xf numFmtId="0" fontId="40" fillId="0" borderId="0" xfId="0" applyFont="1" applyAlignment="1">
      <alignment horizontal="center" vertical="center"/>
    </xf>
    <xf numFmtId="2" fontId="40" fillId="3" borderId="7" xfId="0" applyNumberFormat="1" applyFont="1" applyFill="1" applyBorder="1" applyAlignment="1">
      <alignment horizontal="center" vertical="center"/>
    </xf>
    <xf numFmtId="0" fontId="41" fillId="0" borderId="13" xfId="0" applyFont="1" applyBorder="1" applyAlignment="1">
      <alignment horizontal="center" vertical="center"/>
    </xf>
    <xf numFmtId="170" fontId="41" fillId="0" borderId="15" xfId="0" applyNumberFormat="1" applyFont="1" applyBorder="1" applyAlignment="1">
      <alignment horizontal="center" vertical="center"/>
    </xf>
    <xf numFmtId="0" fontId="41" fillId="0" borderId="15" xfId="0" applyFont="1" applyBorder="1" applyAlignment="1">
      <alignment horizontal="center" vertical="center"/>
    </xf>
    <xf numFmtId="0" fontId="41" fillId="0" borderId="14" xfId="0" applyFont="1" applyBorder="1" applyAlignment="1">
      <alignment horizontal="center" vertical="center"/>
    </xf>
    <xf numFmtId="171" fontId="41" fillId="0" borderId="15" xfId="0" applyNumberFormat="1" applyFont="1" applyBorder="1" applyAlignment="1">
      <alignment horizontal="center" vertical="center"/>
    </xf>
    <xf numFmtId="0" fontId="40" fillId="3" borderId="7" xfId="0" applyFont="1" applyFill="1" applyBorder="1" applyAlignment="1">
      <alignment horizontal="center"/>
    </xf>
    <xf numFmtId="170" fontId="41" fillId="0" borderId="20" xfId="0" applyNumberFormat="1" applyFont="1" applyBorder="1" applyAlignment="1">
      <alignment horizontal="center" vertical="center"/>
    </xf>
    <xf numFmtId="0" fontId="41" fillId="0" borderId="20" xfId="0" applyFont="1" applyBorder="1" applyAlignment="1">
      <alignment horizontal="center" vertical="center"/>
    </xf>
    <xf numFmtId="0" fontId="36" fillId="0" borderId="13" xfId="0" applyFont="1" applyBorder="1" applyAlignment="1">
      <alignment horizontal="center"/>
    </xf>
    <xf numFmtId="0" fontId="36" fillId="0" borderId="0" xfId="0" applyFont="1" applyAlignment="1">
      <alignment horizontal="center"/>
    </xf>
    <xf numFmtId="0" fontId="36" fillId="0" borderId="14" xfId="0" applyFont="1" applyBorder="1" applyAlignment="1">
      <alignment horizontal="center"/>
    </xf>
    <xf numFmtId="0" fontId="41" fillId="0" borderId="11" xfId="0" applyFont="1" applyBorder="1" applyAlignment="1">
      <alignment horizontal="left" vertical="center"/>
    </xf>
    <xf numFmtId="0" fontId="41" fillId="0" borderId="3" xfId="0" applyFont="1" applyBorder="1" applyAlignment="1">
      <alignment horizontal="left" vertical="center"/>
    </xf>
    <xf numFmtId="0" fontId="41" fillId="0" borderId="12" xfId="0" applyFont="1" applyBorder="1" applyAlignment="1">
      <alignment horizontal="left" vertical="center"/>
    </xf>
    <xf numFmtId="0" fontId="36" fillId="0" borderId="11" xfId="0" applyFont="1" applyBorder="1" applyAlignment="1">
      <alignment horizontal="center" vertical="top"/>
    </xf>
    <xf numFmtId="0" fontId="36" fillId="0" borderId="3" xfId="0" applyFont="1" applyBorder="1" applyAlignment="1">
      <alignment horizontal="center" vertical="top"/>
    </xf>
    <xf numFmtId="0" fontId="36" fillId="0" borderId="12" xfId="0" applyFont="1" applyBorder="1" applyAlignment="1">
      <alignment horizontal="center" vertical="top"/>
    </xf>
    <xf numFmtId="0" fontId="40" fillId="28" borderId="7" xfId="0" applyFont="1" applyFill="1" applyBorder="1" applyAlignment="1">
      <alignment horizontal="centerContinuous"/>
    </xf>
    <xf numFmtId="0" fontId="40" fillId="28" borderId="7" xfId="0" applyFont="1" applyFill="1" applyBorder="1" applyAlignment="1">
      <alignment horizontal="center"/>
    </xf>
    <xf numFmtId="171" fontId="41" fillId="0" borderId="20" xfId="0" applyNumberFormat="1" applyFont="1" applyBorder="1" applyAlignment="1">
      <alignment horizontal="center" vertical="center"/>
    </xf>
    <xf numFmtId="0" fontId="41" fillId="0" borderId="10" xfId="0" applyFont="1" applyBorder="1" applyAlignment="1">
      <alignment horizontal="center" vertical="center"/>
    </xf>
    <xf numFmtId="0" fontId="41" fillId="0" borderId="2" xfId="0" applyFont="1" applyBorder="1" applyAlignment="1">
      <alignment horizontal="center" vertical="center"/>
    </xf>
    <xf numFmtId="0" fontId="41" fillId="0" borderId="21" xfId="0" applyFont="1" applyBorder="1" applyAlignment="1">
      <alignment horizontal="left" vertical="center"/>
    </xf>
    <xf numFmtId="0" fontId="41" fillId="0" borderId="21" xfId="0" applyFont="1" applyBorder="1" applyAlignment="1">
      <alignment horizontal="center" vertical="center"/>
    </xf>
    <xf numFmtId="0" fontId="41" fillId="0" borderId="0" xfId="0" applyFont="1" applyAlignment="1">
      <alignment horizontal="center" vertical="center"/>
    </xf>
    <xf numFmtId="0" fontId="41" fillId="0" borderId="14" xfId="0" applyFont="1" applyBorder="1" applyAlignment="1">
      <alignment horizontal="left" vertical="center"/>
    </xf>
    <xf numFmtId="170" fontId="41" fillId="0" borderId="14" xfId="0" applyNumberFormat="1" applyFont="1" applyBorder="1" applyAlignment="1">
      <alignment horizontal="center" vertical="center"/>
    </xf>
    <xf numFmtId="0" fontId="41" fillId="28" borderId="13" xfId="0" applyFont="1" applyFill="1" applyBorder="1" applyAlignment="1">
      <alignment horizontal="center" vertical="center"/>
    </xf>
    <xf numFmtId="170" fontId="41" fillId="28" borderId="20" xfId="0" applyNumberFormat="1" applyFont="1" applyFill="1" applyBorder="1" applyAlignment="1">
      <alignment horizontal="center" vertical="center"/>
    </xf>
    <xf numFmtId="0" fontId="41" fillId="28" borderId="20" xfId="0" applyFont="1" applyFill="1" applyBorder="1" applyAlignment="1">
      <alignment horizontal="center" vertical="center"/>
    </xf>
    <xf numFmtId="170" fontId="41" fillId="28" borderId="14" xfId="0" applyNumberFormat="1" applyFont="1" applyFill="1" applyBorder="1" applyAlignment="1">
      <alignment horizontal="center" vertical="center"/>
    </xf>
    <xf numFmtId="171" fontId="40" fillId="3" borderId="7" xfId="0" applyNumberFormat="1" applyFont="1" applyFill="1" applyBorder="1" applyAlignment="1">
      <alignment horizontal="centerContinuous"/>
    </xf>
    <xf numFmtId="171" fontId="40" fillId="0" borderId="3" xfId="0" applyNumberFormat="1" applyFont="1" applyBorder="1" applyAlignment="1">
      <alignment horizontal="center" vertical="center"/>
    </xf>
    <xf numFmtId="0" fontId="42" fillId="0" borderId="0" xfId="0" applyFont="1" applyAlignment="1">
      <alignment horizontal="left" vertical="center"/>
    </xf>
    <xf numFmtId="0" fontId="43" fillId="0" borderId="0" xfId="0" applyFont="1" applyAlignment="1">
      <alignment horizontal="right" vertical="center"/>
    </xf>
    <xf numFmtId="0" fontId="43" fillId="0" borderId="0" xfId="0" applyFont="1" applyAlignment="1">
      <alignment horizontal="center" vertical="center"/>
    </xf>
    <xf numFmtId="0" fontId="41" fillId="0" borderId="11" xfId="0" applyFont="1" applyBorder="1" applyAlignment="1">
      <alignment horizontal="center" vertical="center"/>
    </xf>
    <xf numFmtId="0" fontId="41" fillId="0" borderId="3" xfId="0" applyFont="1" applyBorder="1" applyAlignment="1">
      <alignment horizontal="center" vertical="center"/>
    </xf>
    <xf numFmtId="0" fontId="41" fillId="0" borderId="12" xfId="0" applyFont="1" applyBorder="1" applyAlignment="1">
      <alignment horizontal="center" vertical="center"/>
    </xf>
    <xf numFmtId="0" fontId="45" fillId="0" borderId="3" xfId="0" applyFont="1" applyBorder="1" applyAlignment="1">
      <alignment horizontal="center" vertical="center"/>
    </xf>
    <xf numFmtId="171" fontId="41" fillId="0" borderId="14" xfId="0" applyNumberFormat="1" applyFont="1" applyBorder="1" applyAlignment="1">
      <alignment horizontal="center" vertical="center"/>
    </xf>
    <xf numFmtId="0" fontId="41" fillId="0" borderId="19" xfId="0" applyFont="1" applyBorder="1" applyAlignment="1">
      <alignment horizontal="center" vertical="center"/>
    </xf>
    <xf numFmtId="170" fontId="41" fillId="0" borderId="19" xfId="0" applyNumberFormat="1" applyFont="1" applyBorder="1" applyAlignment="1">
      <alignment horizontal="center" vertical="center"/>
    </xf>
    <xf numFmtId="170" fontId="41" fillId="0" borderId="12" xfId="0" applyNumberFormat="1" applyFont="1" applyBorder="1" applyAlignment="1">
      <alignment horizontal="center" vertical="center"/>
    </xf>
    <xf numFmtId="2" fontId="40" fillId="3" borderId="7" xfId="0" applyNumberFormat="1" applyFont="1" applyFill="1" applyBorder="1" applyAlignment="1">
      <alignment horizontal="center"/>
    </xf>
    <xf numFmtId="171" fontId="41" fillId="0" borderId="19" xfId="0" applyNumberFormat="1" applyFont="1" applyBorder="1" applyAlignment="1">
      <alignment horizontal="center" vertical="center"/>
    </xf>
    <xf numFmtId="171" fontId="41" fillId="0" borderId="12" xfId="0" applyNumberFormat="1" applyFont="1" applyBorder="1" applyAlignment="1">
      <alignment horizontal="center" vertical="center"/>
    </xf>
    <xf numFmtId="0" fontId="46" fillId="0" borderId="150" xfId="0" applyFont="1" applyBorder="1" applyAlignment="1">
      <alignment horizontal="center" vertical="center" readingOrder="1"/>
    </xf>
    <xf numFmtId="0" fontId="46" fillId="0" borderId="151" xfId="0" applyFont="1" applyBorder="1" applyAlignment="1">
      <alignment vertical="center" readingOrder="1"/>
    </xf>
    <xf numFmtId="0" fontId="46" fillId="0" borderId="152" xfId="0" applyFont="1" applyBorder="1" applyAlignment="1">
      <alignment horizontal="center" vertical="center" readingOrder="1"/>
    </xf>
    <xf numFmtId="0" fontId="46" fillId="0" borderId="151" xfId="0" applyFont="1" applyBorder="1" applyAlignment="1">
      <alignment horizontal="center" vertical="center" readingOrder="1"/>
    </xf>
    <xf numFmtId="0" fontId="36" fillId="0" borderId="7" xfId="0" applyFont="1" applyBorder="1" applyAlignment="1">
      <alignment horizontal="center" vertical="center"/>
    </xf>
    <xf numFmtId="0" fontId="46" fillId="0" borderId="153" xfId="0" applyFont="1" applyBorder="1" applyAlignment="1">
      <alignment horizontal="center" vertical="center" readingOrder="1"/>
    </xf>
    <xf numFmtId="0" fontId="40" fillId="0" borderId="3" xfId="0" applyFont="1" applyBorder="1" applyAlignment="1">
      <alignment horizontal="center" vertical="center"/>
    </xf>
    <xf numFmtId="0" fontId="47" fillId="0" borderId="0" xfId="0" applyFont="1" applyAlignment="1">
      <alignment vertical="center"/>
    </xf>
    <xf numFmtId="0" fontId="43" fillId="0" borderId="0" xfId="0" applyFont="1" applyAlignment="1">
      <alignment vertical="center"/>
    </xf>
    <xf numFmtId="0" fontId="44" fillId="0" borderId="0" xfId="0" applyFont="1" applyAlignment="1">
      <alignment vertical="center" wrapText="1"/>
    </xf>
    <xf numFmtId="171" fontId="41" fillId="0" borderId="7" xfId="0" applyNumberFormat="1" applyFont="1" applyBorder="1" applyAlignment="1">
      <alignment horizontal="center" vertical="center"/>
    </xf>
    <xf numFmtId="0" fontId="41" fillId="0" borderId="7" xfId="0" applyFont="1" applyBorder="1" applyAlignment="1">
      <alignment horizontal="center" vertical="center"/>
    </xf>
    <xf numFmtId="49" fontId="41" fillId="0" borderId="7" xfId="0" applyNumberFormat="1" applyFont="1" applyBorder="1" applyAlignment="1">
      <alignment horizontal="center" vertical="center"/>
    </xf>
    <xf numFmtId="0" fontId="0" fillId="0" borderId="7" xfId="0" applyBorder="1" applyAlignment="1">
      <alignment horizontal="center" vertical="center"/>
    </xf>
    <xf numFmtId="0" fontId="37" fillId="0" borderId="0" xfId="0" applyFont="1" applyAlignment="1">
      <alignment horizontal="left" vertical="center"/>
    </xf>
    <xf numFmtId="0" fontId="37" fillId="0" borderId="3" xfId="0" quotePrefix="1" applyFont="1" applyBorder="1" applyAlignment="1">
      <alignment horizontal="left" vertical="center"/>
    </xf>
    <xf numFmtId="0" fontId="37" fillId="0" borderId="3" xfId="0" applyFont="1" applyBorder="1" applyAlignment="1">
      <alignment horizontal="left" vertical="center"/>
    </xf>
    <xf numFmtId="0" fontId="37" fillId="0" borderId="0" xfId="0" applyFont="1" applyAlignment="1">
      <alignment horizontal="centerContinuous" vertical="center"/>
    </xf>
    <xf numFmtId="0" fontId="0" fillId="0" borderId="0" xfId="0" applyAlignment="1">
      <alignment horizontal="center" vertical="center"/>
    </xf>
    <xf numFmtId="0" fontId="45" fillId="0" borderId="0" xfId="0" applyFont="1" applyAlignment="1">
      <alignment horizontal="center" vertical="center"/>
    </xf>
    <xf numFmtId="0" fontId="45" fillId="0" borderId="0" xfId="0" applyFont="1" applyAlignment="1">
      <alignment vertical="center"/>
    </xf>
    <xf numFmtId="0" fontId="48" fillId="0" borderId="0" xfId="0" applyFont="1" applyAlignment="1">
      <alignment horizontal="center" vertical="center"/>
    </xf>
    <xf numFmtId="0" fontId="3" fillId="3" borderId="7" xfId="0" applyFont="1" applyFill="1" applyBorder="1" applyAlignment="1">
      <alignment horizontal="center" vertical="center"/>
    </xf>
    <xf numFmtId="0" fontId="7" fillId="27" borderId="147" xfId="4" applyAlignment="1">
      <alignment vertical="center"/>
    </xf>
    <xf numFmtId="0" fontId="7" fillId="27" borderId="154" xfId="4" applyBorder="1" applyAlignment="1">
      <alignment vertical="center"/>
    </xf>
    <xf numFmtId="0" fontId="49" fillId="3" borderId="7" xfId="0" applyFont="1" applyFill="1" applyBorder="1" applyAlignment="1">
      <alignment horizontal="center" vertical="center"/>
    </xf>
    <xf numFmtId="0" fontId="3" fillId="8" borderId="15" xfId="0" applyFont="1" applyFill="1" applyBorder="1" applyAlignment="1">
      <alignment horizontal="center" vertical="center" wrapText="1"/>
    </xf>
    <xf numFmtId="0" fontId="3" fillId="8" borderId="7" xfId="0" applyFont="1" applyFill="1" applyBorder="1" applyAlignment="1">
      <alignment horizontal="center" vertical="center" wrapText="1"/>
    </xf>
    <xf numFmtId="0" fontId="3" fillId="8" borderId="8" xfId="0" applyFont="1" applyFill="1" applyBorder="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wrapText="1"/>
    </xf>
    <xf numFmtId="0" fontId="51" fillId="0" borderId="0" xfId="0" applyFont="1" applyAlignment="1">
      <alignment horizontal="center" vertical="center" wrapText="1"/>
    </xf>
    <xf numFmtId="172" fontId="0" fillId="0" borderId="7" xfId="0" applyNumberFormat="1" applyBorder="1" applyAlignment="1">
      <alignment horizontal="center"/>
    </xf>
    <xf numFmtId="0" fontId="2" fillId="8" borderId="156" xfId="0" applyFont="1" applyFill="1" applyBorder="1"/>
    <xf numFmtId="0" fontId="2" fillId="29" borderId="157" xfId="0" applyFont="1" applyFill="1" applyBorder="1" applyAlignment="1">
      <alignment horizontal="center"/>
    </xf>
    <xf numFmtId="173" fontId="2" fillId="29" borderId="158" xfId="0" applyNumberFormat="1" applyFont="1" applyFill="1" applyBorder="1" applyAlignment="1">
      <alignment horizontal="center"/>
    </xf>
    <xf numFmtId="0" fontId="2" fillId="8" borderId="159" xfId="0" applyFont="1" applyFill="1" applyBorder="1"/>
    <xf numFmtId="0" fontId="2" fillId="29" borderId="160" xfId="0" applyFont="1" applyFill="1" applyBorder="1" applyAlignment="1">
      <alignment horizontal="center"/>
    </xf>
    <xf numFmtId="0" fontId="2" fillId="0" borderId="160" xfId="0" applyFont="1" applyBorder="1" applyAlignment="1">
      <alignment horizontal="center"/>
    </xf>
    <xf numFmtId="0" fontId="2" fillId="8" borderId="161" xfId="0" applyFont="1" applyFill="1" applyBorder="1"/>
    <xf numFmtId="0" fontId="0" fillId="0" borderId="162" xfId="0" applyBorder="1" applyAlignment="1">
      <alignment horizontal="center" vertical="center"/>
    </xf>
    <xf numFmtId="0" fontId="2" fillId="8" borderId="163" xfId="0" applyFont="1" applyFill="1" applyBorder="1"/>
    <xf numFmtId="0" fontId="2" fillId="29" borderId="164" xfId="0" applyFont="1" applyFill="1" applyBorder="1" applyAlignment="1">
      <alignment horizontal="center"/>
    </xf>
    <xf numFmtId="0" fontId="2" fillId="8" borderId="165" xfId="0" applyFont="1" applyFill="1" applyBorder="1"/>
    <xf numFmtId="0" fontId="2" fillId="0" borderId="166" xfId="0" applyFont="1" applyBorder="1" applyAlignment="1">
      <alignment horizontal="center"/>
    </xf>
    <xf numFmtId="170" fontId="0" fillId="0" borderId="160" xfId="0" applyNumberFormat="1" applyBorder="1" applyAlignment="1">
      <alignment horizontal="center"/>
    </xf>
    <xf numFmtId="170" fontId="0" fillId="0" borderId="166" xfId="0" applyNumberFormat="1" applyBorder="1" applyAlignment="1">
      <alignment horizontal="center"/>
    </xf>
    <xf numFmtId="0" fontId="2" fillId="30" borderId="0" xfId="0" applyFont="1" applyFill="1" applyAlignment="1">
      <alignment horizontal="center"/>
    </xf>
    <xf numFmtId="0" fontId="2" fillId="8" borderId="156" xfId="0" applyFont="1" applyFill="1" applyBorder="1" applyAlignment="1">
      <alignment horizontal="left"/>
    </xf>
    <xf numFmtId="0" fontId="2" fillId="29" borderId="157" xfId="0" applyFont="1" applyFill="1" applyBorder="1" applyAlignment="1">
      <alignment horizontal="left"/>
    </xf>
    <xf numFmtId="0" fontId="2" fillId="30" borderId="156" xfId="0" applyFont="1" applyFill="1" applyBorder="1" applyAlignment="1">
      <alignment horizontal="left"/>
    </xf>
    <xf numFmtId="0" fontId="5" fillId="30" borderId="0" xfId="0" applyFont="1" applyFill="1"/>
    <xf numFmtId="2" fontId="0" fillId="0" borderId="7" xfId="0" applyNumberFormat="1" applyBorder="1" applyAlignment="1">
      <alignment horizontal="center"/>
    </xf>
    <xf numFmtId="0" fontId="1" fillId="0" borderId="0" xfId="0" applyFont="1" applyAlignment="1">
      <alignment horizontal="center"/>
    </xf>
    <xf numFmtId="0" fontId="1" fillId="0" borderId="0" xfId="0" applyFont="1"/>
    <xf numFmtId="173" fontId="1" fillId="0" borderId="0" xfId="0" applyNumberFormat="1" applyFont="1" applyAlignment="1">
      <alignment horizontal="center"/>
    </xf>
    <xf numFmtId="173" fontId="2" fillId="29" borderId="167" xfId="0" applyNumberFormat="1" applyFont="1" applyFill="1" applyBorder="1" applyAlignment="1">
      <alignment horizontal="center"/>
    </xf>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0" fontId="32" fillId="0" borderId="8" xfId="0" applyFont="1" applyBorder="1" applyAlignment="1">
      <alignment horizontal="left"/>
    </xf>
    <xf numFmtId="0" fontId="32" fillId="0" borderId="1" xfId="0" applyFont="1" applyBorder="1" applyAlignment="1">
      <alignment horizontal="left"/>
    </xf>
    <xf numFmtId="0" fontId="32" fillId="0" borderId="9" xfId="0" applyFont="1" applyBorder="1" applyAlignment="1">
      <alignment horizontal="left"/>
    </xf>
    <xf numFmtId="0" fontId="12" fillId="0" borderId="0" xfId="0" applyFont="1" applyAlignment="1">
      <alignment horizontal="center" vertical="center"/>
    </xf>
    <xf numFmtId="0" fontId="14" fillId="0" borderId="0" xfId="0" applyFont="1" applyAlignment="1">
      <alignment horizontal="left" vertical="center"/>
    </xf>
    <xf numFmtId="0" fontId="35" fillId="15" borderId="148" xfId="5" applyFill="1" applyBorder="1" applyAlignment="1">
      <alignment horizontal="center" vertical="center"/>
    </xf>
    <xf numFmtId="0" fontId="35" fillId="15" borderId="149" xfId="5" applyFill="1" applyBorder="1" applyAlignment="1">
      <alignment horizontal="center" vertical="center"/>
    </xf>
    <xf numFmtId="0" fontId="48" fillId="3" borderId="13" xfId="0" applyFont="1" applyFill="1" applyBorder="1" applyAlignment="1">
      <alignment horizontal="center" vertical="center"/>
    </xf>
    <xf numFmtId="0" fontId="48" fillId="3" borderId="0" xfId="0" applyFont="1" applyFill="1" applyAlignment="1">
      <alignment horizontal="center" vertical="center"/>
    </xf>
    <xf numFmtId="0" fontId="2" fillId="28" borderId="29" xfId="0" applyFont="1" applyFill="1" applyBorder="1" applyAlignment="1">
      <alignment horizontal="center"/>
    </xf>
    <xf numFmtId="0" fontId="2" fillId="28" borderId="155" xfId="0" applyFont="1" applyFill="1" applyBorder="1" applyAlignment="1">
      <alignment horizontal="center"/>
    </xf>
    <xf numFmtId="0" fontId="0" fillId="0" borderId="0" xfId="0" applyAlignment="1">
      <alignment horizontal="center"/>
    </xf>
    <xf numFmtId="0" fontId="36" fillId="0" borderId="8" xfId="0" applyFont="1" applyBorder="1" applyAlignment="1">
      <alignment horizontal="center" vertical="center"/>
    </xf>
    <xf numFmtId="0" fontId="36" fillId="0" borderId="1" xfId="0" applyFont="1" applyBorder="1" applyAlignment="1">
      <alignment horizontal="center" vertical="center"/>
    </xf>
    <xf numFmtId="0" fontId="36" fillId="0" borderId="9" xfId="0" applyFont="1" applyBorder="1" applyAlignment="1">
      <alignment horizontal="center" vertical="center"/>
    </xf>
    <xf numFmtId="0" fontId="36" fillId="0" borderId="10" xfId="0" applyFont="1" applyBorder="1" applyAlignment="1">
      <alignment horizontal="center"/>
    </xf>
    <xf numFmtId="0" fontId="36" fillId="0" borderId="2" xfId="0" applyFont="1" applyBorder="1" applyAlignment="1">
      <alignment horizontal="center"/>
    </xf>
    <xf numFmtId="0" fontId="36" fillId="0" borderId="21" xfId="0" applyFont="1" applyBorder="1" applyAlignment="1">
      <alignment horizontal="center"/>
    </xf>
    <xf numFmtId="0" fontId="36" fillId="0" borderId="10" xfId="0" quotePrefix="1" applyFont="1" applyBorder="1" applyAlignment="1">
      <alignment horizontal="center" vertical="center"/>
    </xf>
    <xf numFmtId="0" fontId="36" fillId="0" borderId="2" xfId="0" quotePrefix="1" applyFont="1" applyBorder="1" applyAlignment="1">
      <alignment horizontal="center" vertical="center"/>
    </xf>
    <xf numFmtId="0" fontId="36" fillId="0" borderId="21" xfId="0" quotePrefix="1" applyFont="1" applyBorder="1" applyAlignment="1">
      <alignment horizontal="center" vertical="center"/>
    </xf>
    <xf numFmtId="0" fontId="36" fillId="0" borderId="13" xfId="0" applyFont="1" applyBorder="1" applyAlignment="1">
      <alignment horizontal="center" vertical="center"/>
    </xf>
    <xf numFmtId="0" fontId="36" fillId="0" borderId="0" xfId="0" applyFont="1" applyAlignment="1">
      <alignment horizontal="center" vertical="center"/>
    </xf>
    <xf numFmtId="0" fontId="36" fillId="0" borderId="14" xfId="0" applyFont="1" applyBorder="1" applyAlignment="1">
      <alignment horizontal="center" vertical="center"/>
    </xf>
    <xf numFmtId="0" fontId="36" fillId="0" borderId="10" xfId="0" applyFont="1" applyBorder="1" applyAlignment="1">
      <alignment horizontal="center" vertical="center"/>
    </xf>
    <xf numFmtId="0" fontId="36" fillId="0" borderId="2" xfId="0" applyFont="1" applyBorder="1" applyAlignment="1">
      <alignment horizontal="center" vertical="center"/>
    </xf>
    <xf numFmtId="0" fontId="36" fillId="0" borderId="21" xfId="0" applyFont="1" applyBorder="1" applyAlignment="1">
      <alignment horizontal="center" vertical="center"/>
    </xf>
    <xf numFmtId="0" fontId="0" fillId="0" borderId="9" xfId="0" applyBorder="1" applyAlignment="1">
      <alignment horizontal="center" vertical="center"/>
    </xf>
    <xf numFmtId="0" fontId="36" fillId="0" borderId="11" xfId="0" applyFont="1" applyBorder="1" applyAlignment="1">
      <alignment horizontal="center" vertical="center"/>
    </xf>
    <xf numFmtId="0" fontId="36" fillId="0" borderId="3" xfId="0" applyFont="1" applyBorder="1" applyAlignment="1">
      <alignment horizontal="center" vertical="center"/>
    </xf>
    <xf numFmtId="0" fontId="36" fillId="0" borderId="12" xfId="0" applyFont="1" applyBorder="1" applyAlignment="1">
      <alignment horizontal="center" vertical="center"/>
    </xf>
    <xf numFmtId="0" fontId="44" fillId="0" borderId="0" xfId="0" applyFont="1" applyAlignment="1">
      <alignment horizontal="left" vertical="center" wrapText="1"/>
    </xf>
    <xf numFmtId="0" fontId="0" fillId="0" borderId="0" xfId="0" applyAlignment="1">
      <alignment horizontal="center" vertical="center" wrapText="1"/>
    </xf>
    <xf numFmtId="0" fontId="36" fillId="0" borderId="7" xfId="0" applyFont="1" applyBorder="1" applyAlignment="1">
      <alignment horizontal="center" vertical="center"/>
    </xf>
    <xf numFmtId="0" fontId="0" fillId="0" borderId="15" xfId="0"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horizontal="center" vertical="center"/>
    </xf>
    <xf numFmtId="0" fontId="44" fillId="0" borderId="0" xfId="0" applyFont="1" applyAlignment="1">
      <alignment horizontal="center" vertical="center" wrapText="1"/>
    </xf>
    <xf numFmtId="0" fontId="44" fillId="0" borderId="0" xfId="0" applyFont="1" applyAlignment="1">
      <alignment vertical="center" wrapText="1"/>
    </xf>
    <xf numFmtId="0" fontId="0" fillId="0" borderId="8" xfId="0" applyBorder="1" applyAlignment="1">
      <alignment horizontal="center"/>
    </xf>
    <xf numFmtId="0" fontId="0" fillId="0" borderId="9" xfId="0" applyBorder="1" applyAlignment="1">
      <alignment horizontal="center"/>
    </xf>
    <xf numFmtId="0" fontId="8" fillId="9" borderId="8" xfId="0" applyFont="1" applyFill="1" applyBorder="1" applyAlignment="1">
      <alignment horizontal="center"/>
    </xf>
    <xf numFmtId="0" fontId="8" fillId="9" borderId="1" xfId="0" applyFont="1" applyFill="1" applyBorder="1" applyAlignment="1">
      <alignment horizontal="center"/>
    </xf>
    <xf numFmtId="0" fontId="8" fillId="9" borderId="9" xfId="0" applyFont="1" applyFill="1" applyBorder="1" applyAlignment="1">
      <alignment horizontal="center"/>
    </xf>
    <xf numFmtId="164" fontId="2" fillId="0" borderId="1" xfId="0" applyNumberFormat="1" applyFont="1" applyBorder="1" applyAlignment="1">
      <alignment horizontal="center"/>
    </xf>
    <xf numFmtId="0" fontId="2" fillId="0" borderId="1" xfId="0" applyFont="1" applyBorder="1" applyAlignment="1">
      <alignment horizontal="center"/>
    </xf>
    <xf numFmtId="166" fontId="2" fillId="0" borderId="8" xfId="0" applyNumberFormat="1" applyFont="1" applyBorder="1" applyAlignment="1">
      <alignment horizontal="center"/>
    </xf>
    <xf numFmtId="166" fontId="2" fillId="0" borderId="9" xfId="0" applyNumberFormat="1" applyFont="1" applyBorder="1" applyAlignment="1">
      <alignment horizontal="center"/>
    </xf>
    <xf numFmtId="0" fontId="28" fillId="0" borderId="1" xfId="0" applyFont="1" applyBorder="1" applyAlignment="1">
      <alignment horizontal="center"/>
    </xf>
    <xf numFmtId="0" fontId="8" fillId="22" borderId="1" xfId="0" applyFont="1" applyFill="1" applyBorder="1" applyAlignment="1">
      <alignment horizontal="center"/>
    </xf>
    <xf numFmtId="0" fontId="7" fillId="22" borderId="8" xfId="0" applyFont="1" applyFill="1" applyBorder="1" applyAlignment="1">
      <alignment horizontal="center"/>
    </xf>
    <xf numFmtId="0" fontId="7" fillId="22" borderId="9" xfId="0" applyFont="1" applyFill="1" applyBorder="1" applyAlignment="1">
      <alignment horizontal="center"/>
    </xf>
    <xf numFmtId="0" fontId="7" fillId="22" borderId="1" xfId="0" applyFont="1" applyFill="1" applyBorder="1" applyAlignment="1">
      <alignment horizontal="center"/>
    </xf>
    <xf numFmtId="0" fontId="0" fillId="0" borderId="1" xfId="0" applyBorder="1" applyAlignment="1">
      <alignment horizontal="center"/>
    </xf>
    <xf numFmtId="0" fontId="25" fillId="2" borderId="8" xfId="0" applyFont="1" applyFill="1" applyBorder="1" applyAlignment="1">
      <alignment horizontal="center"/>
    </xf>
    <xf numFmtId="0" fontId="25" fillId="2" borderId="9" xfId="0" applyFont="1" applyFill="1" applyBorder="1" applyAlignment="1">
      <alignment horizontal="center"/>
    </xf>
    <xf numFmtId="0" fontId="2" fillId="23" borderId="1" xfId="0" applyFont="1" applyFill="1" applyBorder="1" applyAlignment="1">
      <alignment horizontal="center"/>
    </xf>
    <xf numFmtId="0" fontId="2" fillId="21" borderId="1" xfId="0" applyFont="1" applyFill="1" applyBorder="1" applyAlignment="1">
      <alignment horizontal="center"/>
    </xf>
    <xf numFmtId="0" fontId="2" fillId="7" borderId="1" xfId="0" applyFont="1" applyFill="1" applyBorder="1" applyAlignment="1">
      <alignment horizontal="center"/>
    </xf>
    <xf numFmtId="164" fontId="2" fillId="21" borderId="1" xfId="0" applyNumberFormat="1" applyFont="1" applyFill="1" applyBorder="1" applyAlignment="1">
      <alignment horizontal="center"/>
    </xf>
    <xf numFmtId="164" fontId="2" fillId="23" borderId="1" xfId="0" applyNumberFormat="1" applyFont="1" applyFill="1" applyBorder="1" applyAlignment="1">
      <alignment horizontal="center"/>
    </xf>
    <xf numFmtId="0" fontId="10" fillId="20" borderId="1" xfId="0" applyFont="1" applyFill="1" applyBorder="1" applyAlignment="1">
      <alignment horizontal="center"/>
    </xf>
    <xf numFmtId="0" fontId="10" fillId="20" borderId="9" xfId="0" applyFont="1" applyFill="1" applyBorder="1" applyAlignment="1">
      <alignment horizontal="center"/>
    </xf>
  </cellXfs>
  <cellStyles count="6">
    <cellStyle name="Check Cell" xfId="4" builtinId="23"/>
    <cellStyle name="Comma" xfId="2" builtinId="3"/>
    <cellStyle name="Currency" xfId="3" builtinId="4"/>
    <cellStyle name="Hyperlink" xfId="5" builtinId="8"/>
    <cellStyle name="Normal" xfId="0" builtinId="0"/>
    <cellStyle name="Percent" xfId="1" builtinId="5"/>
  </cellStyles>
  <dxfs count="262">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ont>
        <color theme="0" tint="-0.14996795556505021"/>
      </font>
    </dxf>
    <dxf>
      <fill>
        <patternFill>
          <bgColor rgb="FFFFFF00"/>
        </patternFill>
      </fill>
    </dxf>
    <dxf>
      <fill>
        <patternFill>
          <bgColor theme="7" tint="-0.24994659260841701"/>
        </patternFill>
      </fill>
    </dxf>
    <dxf>
      <fill>
        <patternFill>
          <bgColor theme="7" tint="0.39994506668294322"/>
        </patternFill>
      </fill>
    </dxf>
    <dxf>
      <fill>
        <patternFill>
          <bgColor rgb="FF92D050"/>
        </patternFill>
      </fill>
    </dxf>
    <dxf>
      <fill>
        <patternFill>
          <bgColor rgb="FFFFFF00"/>
        </patternFill>
      </fill>
    </dxf>
    <dxf>
      <fill>
        <patternFill>
          <bgColor rgb="FF92D050"/>
        </patternFill>
      </fill>
    </dxf>
    <dxf>
      <fill>
        <patternFill>
          <bgColor theme="7" tint="0.39994506668294322"/>
        </patternFill>
      </fill>
    </dxf>
    <dxf>
      <fill>
        <patternFill>
          <bgColor theme="7" tint="-0.24994659260841701"/>
        </patternFill>
      </fill>
    </dxf>
    <dxf>
      <fill>
        <patternFill>
          <bgColor theme="7" tint="-0.24994659260841701"/>
        </patternFill>
      </fill>
    </dxf>
    <dxf>
      <fill>
        <patternFill>
          <bgColor theme="7" tint="0.39994506668294322"/>
        </patternFill>
      </fill>
    </dxf>
    <dxf>
      <fill>
        <patternFill>
          <bgColor rgb="FF92D050"/>
        </patternFill>
      </fill>
    </dxf>
    <dxf>
      <fill>
        <patternFill>
          <bgColor rgb="FFFFFF00"/>
        </patternFill>
      </fill>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rgb="FFFFFF00"/>
        </patternFill>
      </fill>
    </dxf>
    <dxf>
      <fill>
        <patternFill>
          <bgColor theme="7" tint="-0.24994659260841701"/>
        </patternFill>
      </fill>
    </dxf>
    <dxf>
      <fill>
        <patternFill>
          <bgColor theme="7" tint="0.39994506668294322"/>
        </patternFill>
      </fill>
    </dxf>
    <dxf>
      <fill>
        <patternFill>
          <bgColor rgb="FF92D050"/>
        </patternFill>
      </fill>
    </dxf>
    <dxf>
      <fill>
        <patternFill>
          <bgColor theme="7" tint="-0.24994659260841701"/>
        </patternFill>
      </fill>
    </dxf>
    <dxf>
      <fill>
        <patternFill>
          <bgColor rgb="FFFFFF00"/>
        </patternFill>
      </fill>
    </dxf>
    <dxf>
      <fill>
        <patternFill>
          <bgColor theme="7" tint="0.39994506668294322"/>
        </patternFill>
      </fill>
    </dxf>
    <dxf>
      <fill>
        <patternFill>
          <bgColor rgb="FF92D050"/>
        </patternFill>
      </fill>
    </dxf>
    <dxf>
      <fill>
        <patternFill>
          <bgColor rgb="FFFFFF00"/>
        </patternFill>
      </fill>
    </dxf>
    <dxf>
      <fill>
        <patternFill>
          <bgColor theme="7" tint="-0.24994659260841701"/>
        </patternFill>
      </fill>
    </dxf>
    <dxf>
      <fill>
        <patternFill>
          <bgColor theme="7" tint="0.39994506668294322"/>
        </patternFill>
      </fill>
    </dxf>
    <dxf>
      <fill>
        <patternFill>
          <bgColor rgb="FF92D050"/>
        </patternFill>
      </fill>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
      <fill>
        <patternFill>
          <bgColor theme="6" tint="0.59996337778862885"/>
        </patternFill>
      </fill>
      <border>
        <left style="hair">
          <color theme="1"/>
        </left>
        <right style="hair">
          <color theme="1"/>
        </right>
        <top style="hair">
          <color theme="1"/>
        </top>
        <bottom style="hair">
          <color theme="1"/>
        </bottom>
        <vertical/>
        <horizontal/>
      </border>
    </dxf>
  </dxfs>
  <tableStyles count="0" defaultTableStyle="TableStyleMedium2" defaultPivotStyle="PivotStyleLight16"/>
  <colors>
    <mruColors>
      <color rgb="FF00FF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'Metal Duct'!$AR$5:$AR$16</c:f>
              <c:numCache>
                <c:formatCode>"$"#,##0.00</c:formatCode>
                <c:ptCount val="12"/>
                <c:pt idx="0">
                  <c:v>2.440764331210191</c:v>
                </c:pt>
                <c:pt idx="1">
                  <c:v>2.2700636942675163</c:v>
                </c:pt>
                <c:pt idx="2">
                  <c:v>1.8435668789808917</c:v>
                </c:pt>
                <c:pt idx="3">
                  <c:v>1.5668789808917196</c:v>
                </c:pt>
                <c:pt idx="4">
                  <c:v>1.9392174704276617</c:v>
                </c:pt>
                <c:pt idx="5">
                  <c:v>1.9299363057324841</c:v>
                </c:pt>
                <c:pt idx="6">
                  <c:v>2.2760084925690021</c:v>
                </c:pt>
                <c:pt idx="7">
                  <c:v>2.1997452229299364</c:v>
                </c:pt>
                <c:pt idx="8">
                  <c:v>2.264968152866242</c:v>
                </c:pt>
                <c:pt idx="9">
                  <c:v>2.5539581437670607</c:v>
                </c:pt>
                <c:pt idx="10">
                  <c:v>2.7117834394904459</c:v>
                </c:pt>
                <c:pt idx="11">
                  <c:v>3.1436659589525831</c:v>
                </c:pt>
              </c:numCache>
            </c:numRef>
          </c:val>
          <c:smooth val="0"/>
          <c:extLst>
            <c:ext xmlns:c16="http://schemas.microsoft.com/office/drawing/2014/chart" uri="{C3380CC4-5D6E-409C-BE32-E72D297353CC}">
              <c16:uniqueId val="{00000000-E05D-4ED2-913A-E18401DAB84B}"/>
            </c:ext>
          </c:extLst>
        </c:ser>
        <c:dLbls>
          <c:showLegendKey val="0"/>
          <c:showVal val="0"/>
          <c:showCatName val="0"/>
          <c:showSerName val="0"/>
          <c:showPercent val="0"/>
          <c:showBubbleSize val="0"/>
        </c:dLbls>
        <c:smooth val="0"/>
        <c:axId val="1402577727"/>
        <c:axId val="1402580607"/>
      </c:lineChart>
      <c:catAx>
        <c:axId val="14025777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580607"/>
        <c:crosses val="autoZero"/>
        <c:auto val="1"/>
        <c:lblAlgn val="ctr"/>
        <c:lblOffset val="100"/>
        <c:noMultiLvlLbl val="0"/>
      </c:catAx>
      <c:valAx>
        <c:axId val="14025806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57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'Ahmed Square Data'!$AR$5:$AR$16</c:f>
              <c:numCache>
                <c:formatCode>General</c:formatCode>
                <c:ptCount val="12"/>
              </c:numCache>
            </c:numRef>
          </c:val>
          <c:smooth val="0"/>
          <c:extLst>
            <c:ext xmlns:c16="http://schemas.microsoft.com/office/drawing/2014/chart" uri="{C3380CC4-5D6E-409C-BE32-E72D297353CC}">
              <c16:uniqueId val="{00000000-0387-44F2-904B-0B3339877AC9}"/>
            </c:ext>
          </c:extLst>
        </c:ser>
        <c:dLbls>
          <c:showLegendKey val="0"/>
          <c:showVal val="0"/>
          <c:showCatName val="0"/>
          <c:showSerName val="0"/>
          <c:showPercent val="0"/>
          <c:showBubbleSize val="0"/>
        </c:dLbls>
        <c:smooth val="0"/>
        <c:axId val="1402577727"/>
        <c:axId val="1402580607"/>
      </c:lineChart>
      <c:catAx>
        <c:axId val="14025777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580607"/>
        <c:crosses val="autoZero"/>
        <c:auto val="1"/>
        <c:lblAlgn val="ctr"/>
        <c:lblOffset val="100"/>
        <c:noMultiLvlLbl val="0"/>
      </c:catAx>
      <c:valAx>
        <c:axId val="1402580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57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3.tmp"/><Relationship Id="rId7" Type="http://schemas.openxmlformats.org/officeDocument/2006/relationships/image" Target="../media/image7.png"/><Relationship Id="rId2" Type="http://schemas.openxmlformats.org/officeDocument/2006/relationships/image" Target="../media/image2.tmp"/><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tmp"/></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tmp"/><Relationship Id="rId6" Type="http://schemas.openxmlformats.org/officeDocument/2006/relationships/image" Target="../media/image14.tmp"/><Relationship Id="rId5" Type="http://schemas.openxmlformats.org/officeDocument/2006/relationships/image" Target="../media/image13.tmp"/><Relationship Id="rId4" Type="http://schemas.openxmlformats.org/officeDocument/2006/relationships/image" Target="../media/image12.tmp"/></Relationships>
</file>

<file path=xl/drawings/_rels/drawing9.xml.rels><?xml version="1.0" encoding="UTF-8" standalone="yes"?>
<Relationships xmlns="http://schemas.openxmlformats.org/package/2006/relationships"><Relationship Id="rId3" Type="http://schemas.openxmlformats.org/officeDocument/2006/relationships/image" Target="../media/image17.tmp"/><Relationship Id="rId2" Type="http://schemas.openxmlformats.org/officeDocument/2006/relationships/image" Target="../media/image16.pn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xdr:col>
      <xdr:colOff>1409700</xdr:colOff>
      <xdr:row>5</xdr:row>
      <xdr:rowOff>101600</xdr:rowOff>
    </xdr:from>
    <xdr:to>
      <xdr:col>2</xdr:col>
      <xdr:colOff>2197100</xdr:colOff>
      <xdr:row>6</xdr:row>
      <xdr:rowOff>114300</xdr:rowOff>
    </xdr:to>
    <xdr:cxnSp macro="">
      <xdr:nvCxnSpPr>
        <xdr:cNvPr id="3" name="Connector: Elbow 2">
          <a:extLst>
            <a:ext uri="{FF2B5EF4-FFF2-40B4-BE49-F238E27FC236}">
              <a16:creationId xmlns:a16="http://schemas.microsoft.com/office/drawing/2014/main" id="{9E6F801E-586B-5E2C-EC6A-80A08660D3CA}"/>
            </a:ext>
          </a:extLst>
        </xdr:cNvPr>
        <xdr:cNvCxnSpPr/>
      </xdr:nvCxnSpPr>
      <xdr:spPr>
        <a:xfrm>
          <a:off x="1765300" y="1104900"/>
          <a:ext cx="787400" cy="203200"/>
        </a:xfrm>
        <a:prstGeom prst="bentConnector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36445</xdr:colOff>
      <xdr:row>45</xdr:row>
      <xdr:rowOff>152400</xdr:rowOff>
    </xdr:from>
    <xdr:to>
      <xdr:col>18</xdr:col>
      <xdr:colOff>1371599</xdr:colOff>
      <xdr:row>52</xdr:row>
      <xdr:rowOff>70607</xdr:rowOff>
    </xdr:to>
    <xdr:pic>
      <xdr:nvPicPr>
        <xdr:cNvPr id="3" name="Picture 2">
          <a:extLst>
            <a:ext uri="{FF2B5EF4-FFF2-40B4-BE49-F238E27FC236}">
              <a16:creationId xmlns:a16="http://schemas.microsoft.com/office/drawing/2014/main" id="{47AC9767-8340-D9E8-4B16-35FB5D13EA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099645" y="8775700"/>
          <a:ext cx="1335154" cy="1251707"/>
        </a:xfrm>
        <a:prstGeom prst="rect">
          <a:avLst/>
        </a:prstGeom>
      </xdr:spPr>
    </xdr:pic>
    <xdr:clientData/>
  </xdr:twoCellAnchor>
  <xdr:twoCellAnchor>
    <xdr:from>
      <xdr:col>18</xdr:col>
      <xdr:colOff>127000</xdr:colOff>
      <xdr:row>43</xdr:row>
      <xdr:rowOff>63500</xdr:rowOff>
    </xdr:from>
    <xdr:to>
      <xdr:col>18</xdr:col>
      <xdr:colOff>1320800</xdr:colOff>
      <xdr:row>45</xdr:row>
      <xdr:rowOff>38100</xdr:rowOff>
    </xdr:to>
    <xdr:sp macro="" textlink="">
      <xdr:nvSpPr>
        <xdr:cNvPr id="4" name="TextBox 3">
          <a:extLst>
            <a:ext uri="{FF2B5EF4-FFF2-40B4-BE49-F238E27FC236}">
              <a16:creationId xmlns:a16="http://schemas.microsoft.com/office/drawing/2014/main" id="{D6FE29AC-5593-E40D-F859-3FA183E77A5E}"/>
            </a:ext>
          </a:extLst>
        </xdr:cNvPr>
        <xdr:cNvSpPr txBox="1"/>
      </xdr:nvSpPr>
      <xdr:spPr>
        <a:xfrm>
          <a:off x="23190200" y="8305800"/>
          <a:ext cx="119380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Drum Louver</a:t>
          </a:r>
        </a:p>
      </xdr:txBody>
    </xdr:sp>
    <xdr:clientData/>
  </xdr:twoCellAnchor>
  <xdr:twoCellAnchor>
    <xdr:from>
      <xdr:col>17</xdr:col>
      <xdr:colOff>114300</xdr:colOff>
      <xdr:row>43</xdr:row>
      <xdr:rowOff>88900</xdr:rowOff>
    </xdr:from>
    <xdr:to>
      <xdr:col>17</xdr:col>
      <xdr:colOff>1308100</xdr:colOff>
      <xdr:row>45</xdr:row>
      <xdr:rowOff>63500</xdr:rowOff>
    </xdr:to>
    <xdr:sp macro="" textlink="">
      <xdr:nvSpPr>
        <xdr:cNvPr id="7" name="TextBox 6">
          <a:extLst>
            <a:ext uri="{FF2B5EF4-FFF2-40B4-BE49-F238E27FC236}">
              <a16:creationId xmlns:a16="http://schemas.microsoft.com/office/drawing/2014/main" id="{B5809B62-9CB3-45FF-A710-B979A796ADED}"/>
            </a:ext>
          </a:extLst>
        </xdr:cNvPr>
        <xdr:cNvSpPr txBox="1"/>
      </xdr:nvSpPr>
      <xdr:spPr>
        <a:xfrm>
          <a:off x="21793200" y="8331200"/>
          <a:ext cx="119380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Duct Drops</a:t>
          </a:r>
        </a:p>
      </xdr:txBody>
    </xdr:sp>
    <xdr:clientData/>
  </xdr:twoCellAnchor>
  <xdr:twoCellAnchor>
    <xdr:from>
      <xdr:col>10</xdr:col>
      <xdr:colOff>1369544</xdr:colOff>
      <xdr:row>46</xdr:row>
      <xdr:rowOff>50800</xdr:rowOff>
    </xdr:from>
    <xdr:to>
      <xdr:col>12</xdr:col>
      <xdr:colOff>124229</xdr:colOff>
      <xdr:row>52</xdr:row>
      <xdr:rowOff>111445</xdr:rowOff>
    </xdr:to>
    <xdr:grpSp>
      <xdr:nvGrpSpPr>
        <xdr:cNvPr id="12" name="Group 11">
          <a:extLst>
            <a:ext uri="{FF2B5EF4-FFF2-40B4-BE49-F238E27FC236}">
              <a16:creationId xmlns:a16="http://schemas.microsoft.com/office/drawing/2014/main" id="{82FF7144-1BD2-71A7-FDBC-A936FEC42FED}"/>
            </a:ext>
          </a:extLst>
        </xdr:cNvPr>
        <xdr:cNvGrpSpPr/>
      </xdr:nvGrpSpPr>
      <xdr:grpSpPr>
        <a:xfrm>
          <a:off x="13171019" y="8861425"/>
          <a:ext cx="1516935" cy="1203645"/>
          <a:chOff x="20165544" y="8788400"/>
          <a:chExt cx="1523285" cy="1203645"/>
        </a:xfrm>
      </xdr:grpSpPr>
      <xdr:pic>
        <xdr:nvPicPr>
          <xdr:cNvPr id="9" name="Picture 8">
            <a:extLst>
              <a:ext uri="{FF2B5EF4-FFF2-40B4-BE49-F238E27FC236}">
                <a16:creationId xmlns:a16="http://schemas.microsoft.com/office/drawing/2014/main" id="{5AE104C7-E092-B004-1336-18E74A5BFC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165544" y="8788400"/>
            <a:ext cx="1523285" cy="1203645"/>
          </a:xfrm>
          <a:prstGeom prst="rect">
            <a:avLst/>
          </a:prstGeom>
        </xdr:spPr>
      </xdr:pic>
      <xdr:sp macro="" textlink="">
        <xdr:nvSpPr>
          <xdr:cNvPr id="10" name="Rectangle: Rounded Corners 9">
            <a:extLst>
              <a:ext uri="{FF2B5EF4-FFF2-40B4-BE49-F238E27FC236}">
                <a16:creationId xmlns:a16="http://schemas.microsoft.com/office/drawing/2014/main" id="{6917F175-ED43-57CA-CE5A-C2219FB23687}"/>
              </a:ext>
            </a:extLst>
          </xdr:cNvPr>
          <xdr:cNvSpPr/>
        </xdr:nvSpPr>
        <xdr:spPr>
          <a:xfrm>
            <a:off x="21018500" y="8966200"/>
            <a:ext cx="571500" cy="533400"/>
          </a:xfrm>
          <a:prstGeom prst="roundRect">
            <a:avLst/>
          </a:prstGeom>
          <a:noFill/>
          <a:ln w="254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17</xdr:col>
      <xdr:colOff>13631</xdr:colOff>
      <xdr:row>46</xdr:row>
      <xdr:rowOff>0</xdr:rowOff>
    </xdr:from>
    <xdr:to>
      <xdr:col>18</xdr:col>
      <xdr:colOff>13003</xdr:colOff>
      <xdr:row>52</xdr:row>
      <xdr:rowOff>16129</xdr:rowOff>
    </xdr:to>
    <xdr:grpSp>
      <xdr:nvGrpSpPr>
        <xdr:cNvPr id="13" name="Group 12">
          <a:extLst>
            <a:ext uri="{FF2B5EF4-FFF2-40B4-BE49-F238E27FC236}">
              <a16:creationId xmlns:a16="http://schemas.microsoft.com/office/drawing/2014/main" id="{05B01158-DA8E-77DC-8401-97CDAD6D0DC7}"/>
            </a:ext>
          </a:extLst>
        </xdr:cNvPr>
        <xdr:cNvGrpSpPr/>
      </xdr:nvGrpSpPr>
      <xdr:grpSpPr>
        <a:xfrm>
          <a:off x="21644906" y="8810625"/>
          <a:ext cx="1380497" cy="1159129"/>
          <a:chOff x="21692531" y="8813800"/>
          <a:chExt cx="1383672" cy="1159129"/>
        </a:xfrm>
      </xdr:grpSpPr>
      <xdr:pic>
        <xdr:nvPicPr>
          <xdr:cNvPr id="6" name="Picture 5">
            <a:extLst>
              <a:ext uri="{FF2B5EF4-FFF2-40B4-BE49-F238E27FC236}">
                <a16:creationId xmlns:a16="http://schemas.microsoft.com/office/drawing/2014/main" id="{9F63703D-78B3-D02A-6ABD-0ACFB1144B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692531" y="8813800"/>
            <a:ext cx="1383672" cy="1159129"/>
          </a:xfrm>
          <a:prstGeom prst="rect">
            <a:avLst/>
          </a:prstGeom>
        </xdr:spPr>
      </xdr:pic>
      <xdr:sp macro="" textlink="">
        <xdr:nvSpPr>
          <xdr:cNvPr id="11" name="Rectangle: Rounded Corners 10">
            <a:extLst>
              <a:ext uri="{FF2B5EF4-FFF2-40B4-BE49-F238E27FC236}">
                <a16:creationId xmlns:a16="http://schemas.microsoft.com/office/drawing/2014/main" id="{026F7E18-E950-46F4-93E0-F99F1884DDEA}"/>
              </a:ext>
            </a:extLst>
          </xdr:cNvPr>
          <xdr:cNvSpPr/>
        </xdr:nvSpPr>
        <xdr:spPr>
          <a:xfrm>
            <a:off x="22148800" y="9055100"/>
            <a:ext cx="571500" cy="533400"/>
          </a:xfrm>
          <a:prstGeom prst="roundRect">
            <a:avLst/>
          </a:prstGeom>
          <a:noFill/>
          <a:ln w="254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14</xdr:col>
      <xdr:colOff>1331304</xdr:colOff>
      <xdr:row>46</xdr:row>
      <xdr:rowOff>152400</xdr:rowOff>
    </xdr:from>
    <xdr:to>
      <xdr:col>16</xdr:col>
      <xdr:colOff>6687</xdr:colOff>
      <xdr:row>51</xdr:row>
      <xdr:rowOff>120865</xdr:rowOff>
    </xdr:to>
    <xdr:pic>
      <xdr:nvPicPr>
        <xdr:cNvPr id="15" name="Picture 14">
          <a:extLst>
            <a:ext uri="{FF2B5EF4-FFF2-40B4-BE49-F238E27FC236}">
              <a16:creationId xmlns:a16="http://schemas.microsoft.com/office/drawing/2014/main" id="{36B4484F-B246-C907-9648-F2B975E33F9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692204" y="8966200"/>
          <a:ext cx="1443983" cy="920965"/>
        </a:xfrm>
        <a:prstGeom prst="rect">
          <a:avLst/>
        </a:prstGeom>
      </xdr:spPr>
    </xdr:pic>
    <xdr:clientData/>
  </xdr:twoCellAnchor>
  <xdr:twoCellAnchor>
    <xdr:from>
      <xdr:col>11</xdr:col>
      <xdr:colOff>139700</xdr:colOff>
      <xdr:row>43</xdr:row>
      <xdr:rowOff>177800</xdr:rowOff>
    </xdr:from>
    <xdr:to>
      <xdr:col>11</xdr:col>
      <xdr:colOff>1333500</xdr:colOff>
      <xdr:row>45</xdr:row>
      <xdr:rowOff>152400</xdr:rowOff>
    </xdr:to>
    <xdr:sp macro="" textlink="">
      <xdr:nvSpPr>
        <xdr:cNvPr id="16" name="TextBox 15">
          <a:extLst>
            <a:ext uri="{FF2B5EF4-FFF2-40B4-BE49-F238E27FC236}">
              <a16:creationId xmlns:a16="http://schemas.microsoft.com/office/drawing/2014/main" id="{759DE957-EEEC-43CA-AF78-8A0D677B5DE0}"/>
            </a:ext>
          </a:extLst>
        </xdr:cNvPr>
        <xdr:cNvSpPr txBox="1"/>
      </xdr:nvSpPr>
      <xdr:spPr>
        <a:xfrm>
          <a:off x="13347700" y="8420100"/>
          <a:ext cx="119380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Economizer</a:t>
          </a:r>
        </a:p>
      </xdr:txBody>
    </xdr:sp>
    <xdr:clientData/>
  </xdr:twoCellAnchor>
  <xdr:twoCellAnchor>
    <xdr:from>
      <xdr:col>15</xdr:col>
      <xdr:colOff>88900</xdr:colOff>
      <xdr:row>43</xdr:row>
      <xdr:rowOff>114300</xdr:rowOff>
    </xdr:from>
    <xdr:to>
      <xdr:col>15</xdr:col>
      <xdr:colOff>1282700</xdr:colOff>
      <xdr:row>45</xdr:row>
      <xdr:rowOff>88900</xdr:rowOff>
    </xdr:to>
    <xdr:sp macro="" textlink="">
      <xdr:nvSpPr>
        <xdr:cNvPr id="17" name="TextBox 16">
          <a:extLst>
            <a:ext uri="{FF2B5EF4-FFF2-40B4-BE49-F238E27FC236}">
              <a16:creationId xmlns:a16="http://schemas.microsoft.com/office/drawing/2014/main" id="{CC028BC1-854D-4620-9CC6-B9868B8605FB}"/>
            </a:ext>
          </a:extLst>
        </xdr:cNvPr>
        <xdr:cNvSpPr txBox="1"/>
      </xdr:nvSpPr>
      <xdr:spPr>
        <a:xfrm>
          <a:off x="18834100" y="8356600"/>
          <a:ext cx="119380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Smoke</a:t>
          </a:r>
          <a:r>
            <a:rPr lang="en-US" sz="1100" b="1" baseline="0"/>
            <a:t> Detector</a:t>
          </a:r>
          <a:endParaRPr lang="en-US" sz="1100" b="1"/>
        </a:p>
      </xdr:txBody>
    </xdr:sp>
    <xdr:clientData/>
  </xdr:twoCellAnchor>
  <xdr:twoCellAnchor>
    <xdr:from>
      <xdr:col>10</xdr:col>
      <xdr:colOff>22344</xdr:colOff>
      <xdr:row>45</xdr:row>
      <xdr:rowOff>114300</xdr:rowOff>
    </xdr:from>
    <xdr:to>
      <xdr:col>10</xdr:col>
      <xdr:colOff>1349867</xdr:colOff>
      <xdr:row>53</xdr:row>
      <xdr:rowOff>3700</xdr:rowOff>
    </xdr:to>
    <xdr:grpSp>
      <xdr:nvGrpSpPr>
        <xdr:cNvPr id="21" name="Group 20">
          <a:extLst>
            <a:ext uri="{FF2B5EF4-FFF2-40B4-BE49-F238E27FC236}">
              <a16:creationId xmlns:a16="http://schemas.microsoft.com/office/drawing/2014/main" id="{62A9EA6D-C4B5-602C-D5B0-D9A5E5F52249}"/>
            </a:ext>
          </a:extLst>
        </xdr:cNvPr>
        <xdr:cNvGrpSpPr/>
      </xdr:nvGrpSpPr>
      <xdr:grpSpPr>
        <a:xfrm>
          <a:off x="11823819" y="8734425"/>
          <a:ext cx="1327523" cy="1413400"/>
          <a:chOff x="11846044" y="8737600"/>
          <a:chExt cx="1327523" cy="1413400"/>
        </a:xfrm>
      </xdr:grpSpPr>
      <xdr:pic>
        <xdr:nvPicPr>
          <xdr:cNvPr id="19" name="Picture 18">
            <a:extLst>
              <a:ext uri="{FF2B5EF4-FFF2-40B4-BE49-F238E27FC236}">
                <a16:creationId xmlns:a16="http://schemas.microsoft.com/office/drawing/2014/main" id="{356854BD-EC14-DF2B-4A19-7CCD97F5A62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1846044" y="8737600"/>
            <a:ext cx="1327523" cy="1413400"/>
          </a:xfrm>
          <a:prstGeom prst="rect">
            <a:avLst/>
          </a:prstGeom>
        </xdr:spPr>
      </xdr:pic>
      <xdr:sp macro="" textlink="">
        <xdr:nvSpPr>
          <xdr:cNvPr id="20" name="Rectangle: Rounded Corners 19">
            <a:extLst>
              <a:ext uri="{FF2B5EF4-FFF2-40B4-BE49-F238E27FC236}">
                <a16:creationId xmlns:a16="http://schemas.microsoft.com/office/drawing/2014/main" id="{DB0D1CB8-8F41-447B-9F41-C2FC054C1230}"/>
              </a:ext>
            </a:extLst>
          </xdr:cNvPr>
          <xdr:cNvSpPr/>
        </xdr:nvSpPr>
        <xdr:spPr>
          <a:xfrm>
            <a:off x="11976100" y="9207500"/>
            <a:ext cx="927100" cy="533400"/>
          </a:xfrm>
          <a:prstGeom prst="roundRect">
            <a:avLst/>
          </a:prstGeom>
          <a:noFill/>
          <a:ln w="254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63500</xdr:colOff>
      <xdr:row>43</xdr:row>
      <xdr:rowOff>63500</xdr:rowOff>
    </xdr:from>
    <xdr:to>
      <xdr:col>10</xdr:col>
      <xdr:colOff>1257300</xdr:colOff>
      <xdr:row>45</xdr:row>
      <xdr:rowOff>38100</xdr:rowOff>
    </xdr:to>
    <xdr:sp macro="" textlink="">
      <xdr:nvSpPr>
        <xdr:cNvPr id="22" name="TextBox 21">
          <a:extLst>
            <a:ext uri="{FF2B5EF4-FFF2-40B4-BE49-F238E27FC236}">
              <a16:creationId xmlns:a16="http://schemas.microsoft.com/office/drawing/2014/main" id="{CC196F85-83BB-4780-92B5-2AB042DA8A2A}"/>
            </a:ext>
          </a:extLst>
        </xdr:cNvPr>
        <xdr:cNvSpPr txBox="1"/>
      </xdr:nvSpPr>
      <xdr:spPr>
        <a:xfrm>
          <a:off x="11887200" y="8305800"/>
          <a:ext cx="119380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Curb Adapter</a:t>
          </a:r>
        </a:p>
      </xdr:txBody>
    </xdr:sp>
    <xdr:clientData/>
  </xdr:twoCellAnchor>
  <xdr:twoCellAnchor editAs="oneCell">
    <xdr:from>
      <xdr:col>9</xdr:col>
      <xdr:colOff>71242</xdr:colOff>
      <xdr:row>48</xdr:row>
      <xdr:rowOff>12700</xdr:rowOff>
    </xdr:from>
    <xdr:to>
      <xdr:col>9</xdr:col>
      <xdr:colOff>1363019</xdr:colOff>
      <xdr:row>51</xdr:row>
      <xdr:rowOff>111616</xdr:rowOff>
    </xdr:to>
    <xdr:pic>
      <xdr:nvPicPr>
        <xdr:cNvPr id="24" name="Picture 23">
          <a:extLst>
            <a:ext uri="{FF2B5EF4-FFF2-40B4-BE49-F238E27FC236}">
              <a16:creationId xmlns:a16="http://schemas.microsoft.com/office/drawing/2014/main" id="{7E631135-B288-B68D-E3F6-BBAA1C0C018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510642" y="9207500"/>
          <a:ext cx="1291777" cy="670416"/>
        </a:xfrm>
        <a:prstGeom prst="rect">
          <a:avLst/>
        </a:prstGeom>
      </xdr:spPr>
    </xdr:pic>
    <xdr:clientData/>
  </xdr:twoCellAnchor>
  <xdr:twoCellAnchor editAs="oneCell">
    <xdr:from>
      <xdr:col>7</xdr:col>
      <xdr:colOff>1346200</xdr:colOff>
      <xdr:row>47</xdr:row>
      <xdr:rowOff>147824</xdr:rowOff>
    </xdr:from>
    <xdr:to>
      <xdr:col>9</xdr:col>
      <xdr:colOff>70640</xdr:colOff>
      <xdr:row>52</xdr:row>
      <xdr:rowOff>44899</xdr:rowOff>
    </xdr:to>
    <xdr:pic>
      <xdr:nvPicPr>
        <xdr:cNvPr id="26" name="Picture 25">
          <a:extLst>
            <a:ext uri="{FF2B5EF4-FFF2-40B4-BE49-F238E27FC236}">
              <a16:creationId xmlns:a16="http://schemas.microsoft.com/office/drawing/2014/main" id="{DECF8BFA-FCE9-2805-01FF-E1776C8DBA1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017000" y="9152124"/>
          <a:ext cx="1493040" cy="849575"/>
        </a:xfrm>
        <a:prstGeom prst="rect">
          <a:avLst/>
        </a:prstGeom>
      </xdr:spPr>
    </xdr:pic>
    <xdr:clientData/>
  </xdr:twoCellAnchor>
  <xdr:twoCellAnchor>
    <xdr:from>
      <xdr:col>9</xdr:col>
      <xdr:colOff>114300</xdr:colOff>
      <xdr:row>45</xdr:row>
      <xdr:rowOff>88900</xdr:rowOff>
    </xdr:from>
    <xdr:to>
      <xdr:col>9</xdr:col>
      <xdr:colOff>1308100</xdr:colOff>
      <xdr:row>47</xdr:row>
      <xdr:rowOff>63500</xdr:rowOff>
    </xdr:to>
    <xdr:sp macro="" textlink="">
      <xdr:nvSpPr>
        <xdr:cNvPr id="27" name="TextBox 26">
          <a:extLst>
            <a:ext uri="{FF2B5EF4-FFF2-40B4-BE49-F238E27FC236}">
              <a16:creationId xmlns:a16="http://schemas.microsoft.com/office/drawing/2014/main" id="{43854764-0E0A-42A9-9785-EE6E62FCBFD9}"/>
            </a:ext>
          </a:extLst>
        </xdr:cNvPr>
        <xdr:cNvSpPr txBox="1"/>
      </xdr:nvSpPr>
      <xdr:spPr>
        <a:xfrm>
          <a:off x="10553700" y="8712200"/>
          <a:ext cx="119380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Metal Roof</a:t>
          </a:r>
          <a:r>
            <a:rPr lang="en-US" sz="1100" b="1" baseline="0"/>
            <a:t> Curb</a:t>
          </a:r>
          <a:endParaRPr lang="en-US" sz="1100" b="1"/>
        </a:p>
      </xdr:txBody>
    </xdr:sp>
    <xdr:clientData/>
  </xdr:twoCellAnchor>
  <xdr:twoCellAnchor>
    <xdr:from>
      <xdr:col>8</xdr:col>
      <xdr:colOff>165100</xdr:colOff>
      <xdr:row>45</xdr:row>
      <xdr:rowOff>88900</xdr:rowOff>
    </xdr:from>
    <xdr:to>
      <xdr:col>8</xdr:col>
      <xdr:colOff>1358900</xdr:colOff>
      <xdr:row>47</xdr:row>
      <xdr:rowOff>63500</xdr:rowOff>
    </xdr:to>
    <xdr:sp macro="" textlink="">
      <xdr:nvSpPr>
        <xdr:cNvPr id="28" name="TextBox 27">
          <a:extLst>
            <a:ext uri="{FF2B5EF4-FFF2-40B4-BE49-F238E27FC236}">
              <a16:creationId xmlns:a16="http://schemas.microsoft.com/office/drawing/2014/main" id="{11BA9E0E-C7D1-4FD3-B81D-DF39075B6C2C}"/>
            </a:ext>
          </a:extLst>
        </xdr:cNvPr>
        <xdr:cNvSpPr txBox="1"/>
      </xdr:nvSpPr>
      <xdr:spPr>
        <a:xfrm>
          <a:off x="9220200" y="8712200"/>
          <a:ext cx="1193800" cy="355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Standard Curb</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495300</xdr:colOff>
      <xdr:row>14</xdr:row>
      <xdr:rowOff>38100</xdr:rowOff>
    </xdr:from>
    <xdr:to>
      <xdr:col>22</xdr:col>
      <xdr:colOff>331164</xdr:colOff>
      <xdr:row>44</xdr:row>
      <xdr:rowOff>0</xdr:rowOff>
    </xdr:to>
    <xdr:pic>
      <xdr:nvPicPr>
        <xdr:cNvPr id="2" name="Picture 1">
          <a:extLst>
            <a:ext uri="{FF2B5EF4-FFF2-40B4-BE49-F238E27FC236}">
              <a16:creationId xmlns:a16="http://schemas.microsoft.com/office/drawing/2014/main" id="{0F123334-9E94-43CA-D87B-CB9C7E505A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79000" y="5270500"/>
          <a:ext cx="10021264" cy="679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26</xdr:col>
      <xdr:colOff>546100</xdr:colOff>
      <xdr:row>21</xdr:row>
      <xdr:rowOff>69849</xdr:rowOff>
    </xdr:from>
    <xdr:to>
      <xdr:col>31</xdr:col>
      <xdr:colOff>469900</xdr:colOff>
      <xdr:row>35</xdr:row>
      <xdr:rowOff>146049</xdr:rowOff>
    </xdr:to>
    <xdr:graphicFrame macro="">
      <xdr:nvGraphicFramePr>
        <xdr:cNvPr id="2" name="Chart 1">
          <a:extLst>
            <a:ext uri="{FF2B5EF4-FFF2-40B4-BE49-F238E27FC236}">
              <a16:creationId xmlns:a16="http://schemas.microsoft.com/office/drawing/2014/main" id="{BF459D43-6F5C-5295-FBDF-1472CBB02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22</xdr:col>
      <xdr:colOff>35719</xdr:colOff>
      <xdr:row>12</xdr:row>
      <xdr:rowOff>23813</xdr:rowOff>
    </xdr:from>
    <xdr:to>
      <xdr:col>23</xdr:col>
      <xdr:colOff>-1</xdr:colOff>
      <xdr:row>17</xdr:row>
      <xdr:rowOff>142875</xdr:rowOff>
    </xdr:to>
    <xdr:sp macro="" textlink="">
      <xdr:nvSpPr>
        <xdr:cNvPr id="2" name="Arrow: Right 1">
          <a:extLst>
            <a:ext uri="{FF2B5EF4-FFF2-40B4-BE49-F238E27FC236}">
              <a16:creationId xmlns:a16="http://schemas.microsoft.com/office/drawing/2014/main" id="{C35350E2-8BC0-458D-9858-18C9176B109B}"/>
            </a:ext>
          </a:extLst>
        </xdr:cNvPr>
        <xdr:cNvSpPr/>
      </xdr:nvSpPr>
      <xdr:spPr>
        <a:xfrm>
          <a:off x="30229969" y="3014663"/>
          <a:ext cx="1516855" cy="1128712"/>
        </a:xfrm>
        <a:prstGeom prst="rightArrow">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2"/>
        </a:lnRef>
        <a:fillRef idx="3">
          <a:schemeClr val="accent2"/>
        </a:fillRef>
        <a:effectRef idx="2">
          <a:schemeClr val="accent2"/>
        </a:effectRef>
        <a:fontRef idx="minor">
          <a:schemeClr val="lt1"/>
        </a:fontRef>
      </xdr:style>
      <xdr:txBody>
        <a:bodyPr vertOverflow="clip" horzOverflow="clip" rtlCol="1" anchor="t"/>
        <a:lstStyle/>
        <a:p>
          <a:pPr algn="ctr"/>
          <a:r>
            <a:rPr lang="en-US" sz="2800" b="1">
              <a:solidFill>
                <a:srgbClr val="FF0000"/>
              </a:solidFill>
            </a:rPr>
            <a:t>Results</a:t>
          </a:r>
          <a:endParaRPr lang="ar-EG" sz="2000" b="1">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22</xdr:col>
      <xdr:colOff>35719</xdr:colOff>
      <xdr:row>12</xdr:row>
      <xdr:rowOff>23813</xdr:rowOff>
    </xdr:from>
    <xdr:to>
      <xdr:col>23</xdr:col>
      <xdr:colOff>-1</xdr:colOff>
      <xdr:row>17</xdr:row>
      <xdr:rowOff>142875</xdr:rowOff>
    </xdr:to>
    <xdr:sp macro="" textlink="">
      <xdr:nvSpPr>
        <xdr:cNvPr id="2" name="Arrow: Right 1">
          <a:extLst>
            <a:ext uri="{FF2B5EF4-FFF2-40B4-BE49-F238E27FC236}">
              <a16:creationId xmlns:a16="http://schemas.microsoft.com/office/drawing/2014/main" id="{BA17F892-3CB0-4A53-9D56-D98009B6E196}"/>
            </a:ext>
          </a:extLst>
        </xdr:cNvPr>
        <xdr:cNvSpPr/>
      </xdr:nvSpPr>
      <xdr:spPr>
        <a:xfrm>
          <a:off x="30229969" y="3014663"/>
          <a:ext cx="1516855" cy="1128712"/>
        </a:xfrm>
        <a:prstGeom prst="rightArrow">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1">
          <a:schemeClr val="accent2"/>
        </a:lnRef>
        <a:fillRef idx="3">
          <a:schemeClr val="accent2"/>
        </a:fillRef>
        <a:effectRef idx="2">
          <a:schemeClr val="accent2"/>
        </a:effectRef>
        <a:fontRef idx="minor">
          <a:schemeClr val="lt1"/>
        </a:fontRef>
      </xdr:style>
      <xdr:txBody>
        <a:bodyPr vertOverflow="clip" horzOverflow="clip" rtlCol="1" anchor="t"/>
        <a:lstStyle/>
        <a:p>
          <a:pPr algn="ctr"/>
          <a:r>
            <a:rPr lang="en-US" sz="2800" b="1">
              <a:solidFill>
                <a:srgbClr val="FF0000"/>
              </a:solidFill>
            </a:rPr>
            <a:t>Results</a:t>
          </a:r>
          <a:endParaRPr lang="ar-EG" sz="2000" b="1">
            <a:solidFill>
              <a:srgbClr val="FF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26</xdr:col>
      <xdr:colOff>546100</xdr:colOff>
      <xdr:row>21</xdr:row>
      <xdr:rowOff>69849</xdr:rowOff>
    </xdr:from>
    <xdr:to>
      <xdr:col>31</xdr:col>
      <xdr:colOff>469900</xdr:colOff>
      <xdr:row>35</xdr:row>
      <xdr:rowOff>146049</xdr:rowOff>
    </xdr:to>
    <xdr:graphicFrame macro="">
      <xdr:nvGraphicFramePr>
        <xdr:cNvPr id="2" name="Chart 1">
          <a:extLst>
            <a:ext uri="{FF2B5EF4-FFF2-40B4-BE49-F238E27FC236}">
              <a16:creationId xmlns:a16="http://schemas.microsoft.com/office/drawing/2014/main" id="{9992CAFD-2395-4433-8B14-93E363DDE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127000</xdr:colOff>
      <xdr:row>35</xdr:row>
      <xdr:rowOff>3132</xdr:rowOff>
    </xdr:from>
    <xdr:to>
      <xdr:col>5</xdr:col>
      <xdr:colOff>38100</xdr:colOff>
      <xdr:row>44</xdr:row>
      <xdr:rowOff>67029</xdr:rowOff>
    </xdr:to>
    <xdr:pic>
      <xdr:nvPicPr>
        <xdr:cNvPr id="3" name="Picture 2">
          <a:extLst>
            <a:ext uri="{FF2B5EF4-FFF2-40B4-BE49-F238E27FC236}">
              <a16:creationId xmlns:a16="http://schemas.microsoft.com/office/drawing/2014/main" id="{B50BFC1C-12C8-E662-5425-39DDE946C7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76300" y="5768932"/>
          <a:ext cx="2844800" cy="1778397"/>
        </a:xfrm>
        <a:prstGeom prst="rect">
          <a:avLst/>
        </a:prstGeom>
      </xdr:spPr>
    </xdr:pic>
    <xdr:clientData/>
  </xdr:twoCellAnchor>
  <xdr:twoCellAnchor editAs="oneCell">
    <xdr:from>
      <xdr:col>5</xdr:col>
      <xdr:colOff>345148</xdr:colOff>
      <xdr:row>35</xdr:row>
      <xdr:rowOff>101600</xdr:rowOff>
    </xdr:from>
    <xdr:to>
      <xdr:col>8</xdr:col>
      <xdr:colOff>321673</xdr:colOff>
      <xdr:row>44</xdr:row>
      <xdr:rowOff>6906</xdr:rowOff>
    </xdr:to>
    <xdr:pic>
      <xdr:nvPicPr>
        <xdr:cNvPr id="5" name="Picture 4">
          <a:extLst>
            <a:ext uri="{FF2B5EF4-FFF2-40B4-BE49-F238E27FC236}">
              <a16:creationId xmlns:a16="http://schemas.microsoft.com/office/drawing/2014/main" id="{BCA5C843-87F8-FDF3-A6B5-F960A1DD4F7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28148" y="6819900"/>
          <a:ext cx="2910225" cy="1619806"/>
        </a:xfrm>
        <a:prstGeom prst="rect">
          <a:avLst/>
        </a:prstGeom>
      </xdr:spPr>
    </xdr:pic>
    <xdr:clientData/>
  </xdr:twoCellAnchor>
  <xdr:twoCellAnchor editAs="oneCell">
    <xdr:from>
      <xdr:col>8</xdr:col>
      <xdr:colOff>609600</xdr:colOff>
      <xdr:row>33</xdr:row>
      <xdr:rowOff>151371</xdr:rowOff>
    </xdr:from>
    <xdr:to>
      <xdr:col>10</xdr:col>
      <xdr:colOff>880197</xdr:colOff>
      <xdr:row>44</xdr:row>
      <xdr:rowOff>89559</xdr:rowOff>
    </xdr:to>
    <xdr:pic>
      <xdr:nvPicPr>
        <xdr:cNvPr id="7" name="Picture 6">
          <a:extLst>
            <a:ext uri="{FF2B5EF4-FFF2-40B4-BE49-F238E27FC236}">
              <a16:creationId xmlns:a16="http://schemas.microsoft.com/office/drawing/2014/main" id="{97F83F28-A98A-A915-0958-2C2F470780D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26300" y="6488671"/>
          <a:ext cx="2226397" cy="2033688"/>
        </a:xfrm>
        <a:prstGeom prst="rect">
          <a:avLst/>
        </a:prstGeom>
      </xdr:spPr>
    </xdr:pic>
    <xdr:clientData/>
  </xdr:twoCellAnchor>
  <xdr:twoCellAnchor editAs="oneCell">
    <xdr:from>
      <xdr:col>13</xdr:col>
      <xdr:colOff>901737</xdr:colOff>
      <xdr:row>35</xdr:row>
      <xdr:rowOff>63500</xdr:rowOff>
    </xdr:from>
    <xdr:to>
      <xdr:col>16</xdr:col>
      <xdr:colOff>454717</xdr:colOff>
      <xdr:row>44</xdr:row>
      <xdr:rowOff>19514</xdr:rowOff>
    </xdr:to>
    <xdr:pic>
      <xdr:nvPicPr>
        <xdr:cNvPr id="9" name="Picture 8">
          <a:extLst>
            <a:ext uri="{FF2B5EF4-FFF2-40B4-BE49-F238E27FC236}">
              <a16:creationId xmlns:a16="http://schemas.microsoft.com/office/drawing/2014/main" id="{AA622B8E-FB1C-9F30-42D6-7541E2A4F2A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2407937" y="6781800"/>
          <a:ext cx="2486680" cy="1670514"/>
        </a:xfrm>
        <a:prstGeom prst="rect">
          <a:avLst/>
        </a:prstGeom>
      </xdr:spPr>
    </xdr:pic>
    <xdr:clientData/>
  </xdr:twoCellAnchor>
  <xdr:twoCellAnchor editAs="oneCell">
    <xdr:from>
      <xdr:col>11</xdr:col>
      <xdr:colOff>312334</xdr:colOff>
      <xdr:row>35</xdr:row>
      <xdr:rowOff>25400</xdr:rowOff>
    </xdr:from>
    <xdr:to>
      <xdr:col>13</xdr:col>
      <xdr:colOff>495667</xdr:colOff>
      <xdr:row>44</xdr:row>
      <xdr:rowOff>140014</xdr:rowOff>
    </xdr:to>
    <xdr:pic>
      <xdr:nvPicPr>
        <xdr:cNvPr id="11" name="Picture 10">
          <a:extLst>
            <a:ext uri="{FF2B5EF4-FFF2-40B4-BE49-F238E27FC236}">
              <a16:creationId xmlns:a16="http://schemas.microsoft.com/office/drawing/2014/main" id="{EEDA2BC9-E873-6199-B447-9B4961B42E7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862734" y="6743700"/>
          <a:ext cx="2139133" cy="1829114"/>
        </a:xfrm>
        <a:prstGeom prst="rect">
          <a:avLst/>
        </a:prstGeom>
      </xdr:spPr>
    </xdr:pic>
    <xdr:clientData/>
  </xdr:twoCellAnchor>
  <xdr:twoCellAnchor>
    <xdr:from>
      <xdr:col>2</xdr:col>
      <xdr:colOff>762000</xdr:colOff>
      <xdr:row>33</xdr:row>
      <xdr:rowOff>0</xdr:rowOff>
    </xdr:from>
    <xdr:to>
      <xdr:col>4</xdr:col>
      <xdr:colOff>381000</xdr:colOff>
      <xdr:row>34</xdr:row>
      <xdr:rowOff>152400</xdr:rowOff>
    </xdr:to>
    <xdr:sp macro="" textlink="">
      <xdr:nvSpPr>
        <xdr:cNvPr id="12" name="TextBox 11">
          <a:extLst>
            <a:ext uri="{FF2B5EF4-FFF2-40B4-BE49-F238E27FC236}">
              <a16:creationId xmlns:a16="http://schemas.microsoft.com/office/drawing/2014/main" id="{4E661FB3-8D83-A947-1C98-1ECE01388D35}"/>
            </a:ext>
          </a:extLst>
        </xdr:cNvPr>
        <xdr:cNvSpPr txBox="1"/>
      </xdr:nvSpPr>
      <xdr:spPr>
        <a:xfrm>
          <a:off x="1511300" y="5384800"/>
          <a:ext cx="15748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HVLS (Big Ass)</a:t>
          </a:r>
        </a:p>
      </xdr:txBody>
    </xdr:sp>
    <xdr:clientData/>
  </xdr:twoCellAnchor>
  <xdr:twoCellAnchor>
    <xdr:from>
      <xdr:col>5</xdr:col>
      <xdr:colOff>838200</xdr:colOff>
      <xdr:row>32</xdr:row>
      <xdr:rowOff>139700</xdr:rowOff>
    </xdr:from>
    <xdr:to>
      <xdr:col>7</xdr:col>
      <xdr:colOff>457200</xdr:colOff>
      <xdr:row>34</xdr:row>
      <xdr:rowOff>101600</xdr:rowOff>
    </xdr:to>
    <xdr:sp macro="" textlink="">
      <xdr:nvSpPr>
        <xdr:cNvPr id="13" name="TextBox 12">
          <a:extLst>
            <a:ext uri="{FF2B5EF4-FFF2-40B4-BE49-F238E27FC236}">
              <a16:creationId xmlns:a16="http://schemas.microsoft.com/office/drawing/2014/main" id="{9335F441-E6BC-433F-8FE9-EE2AEAA9854F}"/>
            </a:ext>
          </a:extLst>
        </xdr:cNvPr>
        <xdr:cNvSpPr txBox="1"/>
      </xdr:nvSpPr>
      <xdr:spPr>
        <a:xfrm>
          <a:off x="4521200" y="6286500"/>
          <a:ext cx="15748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Ceiling (Standard)</a:t>
          </a:r>
        </a:p>
      </xdr:txBody>
    </xdr:sp>
    <xdr:clientData/>
  </xdr:twoCellAnchor>
  <xdr:twoCellAnchor>
    <xdr:from>
      <xdr:col>8</xdr:col>
      <xdr:colOff>914400</xdr:colOff>
      <xdr:row>32</xdr:row>
      <xdr:rowOff>114300</xdr:rowOff>
    </xdr:from>
    <xdr:to>
      <xdr:col>10</xdr:col>
      <xdr:colOff>533400</xdr:colOff>
      <xdr:row>34</xdr:row>
      <xdr:rowOff>76200</xdr:rowOff>
    </xdr:to>
    <xdr:sp macro="" textlink="">
      <xdr:nvSpPr>
        <xdr:cNvPr id="14" name="TextBox 13">
          <a:extLst>
            <a:ext uri="{FF2B5EF4-FFF2-40B4-BE49-F238E27FC236}">
              <a16:creationId xmlns:a16="http://schemas.microsoft.com/office/drawing/2014/main" id="{4867A25F-A98C-4E7B-A88A-8907647CEB38}"/>
            </a:ext>
          </a:extLst>
        </xdr:cNvPr>
        <xdr:cNvSpPr txBox="1"/>
      </xdr:nvSpPr>
      <xdr:spPr>
        <a:xfrm>
          <a:off x="7531100" y="6261100"/>
          <a:ext cx="15748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Ceiling</a:t>
          </a:r>
          <a:r>
            <a:rPr lang="en-US" sz="1100" b="1" baseline="0"/>
            <a:t> Exhaust</a:t>
          </a:r>
          <a:endParaRPr lang="en-US" sz="1100" b="1"/>
        </a:p>
      </xdr:txBody>
    </xdr:sp>
    <xdr:clientData/>
  </xdr:twoCellAnchor>
  <xdr:twoCellAnchor>
    <xdr:from>
      <xdr:col>11</xdr:col>
      <xdr:colOff>635000</xdr:colOff>
      <xdr:row>32</xdr:row>
      <xdr:rowOff>127000</xdr:rowOff>
    </xdr:from>
    <xdr:to>
      <xdr:col>13</xdr:col>
      <xdr:colOff>254000</xdr:colOff>
      <xdr:row>34</xdr:row>
      <xdr:rowOff>88900</xdr:rowOff>
    </xdr:to>
    <xdr:sp macro="" textlink="">
      <xdr:nvSpPr>
        <xdr:cNvPr id="15" name="TextBox 14">
          <a:extLst>
            <a:ext uri="{FF2B5EF4-FFF2-40B4-BE49-F238E27FC236}">
              <a16:creationId xmlns:a16="http://schemas.microsoft.com/office/drawing/2014/main" id="{49077B1F-0694-4F03-9F91-B640668EF040}"/>
            </a:ext>
          </a:extLst>
        </xdr:cNvPr>
        <xdr:cNvSpPr txBox="1"/>
      </xdr:nvSpPr>
      <xdr:spPr>
        <a:xfrm>
          <a:off x="10185400" y="6273800"/>
          <a:ext cx="15748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Inline Exhaust</a:t>
          </a:r>
        </a:p>
      </xdr:txBody>
    </xdr:sp>
    <xdr:clientData/>
  </xdr:twoCellAnchor>
  <xdr:twoCellAnchor>
    <xdr:from>
      <xdr:col>14</xdr:col>
      <xdr:colOff>317500</xdr:colOff>
      <xdr:row>32</xdr:row>
      <xdr:rowOff>101600</xdr:rowOff>
    </xdr:from>
    <xdr:to>
      <xdr:col>15</xdr:col>
      <xdr:colOff>914400</xdr:colOff>
      <xdr:row>34</xdr:row>
      <xdr:rowOff>63500</xdr:rowOff>
    </xdr:to>
    <xdr:sp macro="" textlink="">
      <xdr:nvSpPr>
        <xdr:cNvPr id="16" name="TextBox 15">
          <a:extLst>
            <a:ext uri="{FF2B5EF4-FFF2-40B4-BE49-F238E27FC236}">
              <a16:creationId xmlns:a16="http://schemas.microsoft.com/office/drawing/2014/main" id="{392DBAC5-EF4A-4EEF-AD92-BFE9A7A8AAF0}"/>
            </a:ext>
          </a:extLst>
        </xdr:cNvPr>
        <xdr:cNvSpPr txBox="1"/>
      </xdr:nvSpPr>
      <xdr:spPr>
        <a:xfrm>
          <a:off x="12801600" y="6248400"/>
          <a:ext cx="15748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Roof Mounted Exhaust</a:t>
          </a:r>
        </a:p>
      </xdr:txBody>
    </xdr:sp>
    <xdr:clientData/>
  </xdr:twoCellAnchor>
  <xdr:twoCellAnchor editAs="oneCell">
    <xdr:from>
      <xdr:col>16</xdr:col>
      <xdr:colOff>914400</xdr:colOff>
      <xdr:row>34</xdr:row>
      <xdr:rowOff>101600</xdr:rowOff>
    </xdr:from>
    <xdr:to>
      <xdr:col>17</xdr:col>
      <xdr:colOff>2318082</xdr:colOff>
      <xdr:row>46</xdr:row>
      <xdr:rowOff>92393</xdr:rowOff>
    </xdr:to>
    <xdr:pic>
      <xdr:nvPicPr>
        <xdr:cNvPr id="18" name="Picture 17">
          <a:extLst>
            <a:ext uri="{FF2B5EF4-FFF2-40B4-BE49-F238E27FC236}">
              <a16:creationId xmlns:a16="http://schemas.microsoft.com/office/drawing/2014/main" id="{CC2B2B98-4827-1D40-89BA-7922E7C240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5354300" y="6629400"/>
          <a:ext cx="2381582" cy="2276793"/>
        </a:xfrm>
        <a:prstGeom prst="rect">
          <a:avLst/>
        </a:prstGeom>
      </xdr:spPr>
    </xdr:pic>
    <xdr:clientData/>
  </xdr:twoCellAnchor>
  <xdr:twoCellAnchor>
    <xdr:from>
      <xdr:col>17</xdr:col>
      <xdr:colOff>190500</xdr:colOff>
      <xdr:row>32</xdr:row>
      <xdr:rowOff>101600</xdr:rowOff>
    </xdr:from>
    <xdr:to>
      <xdr:col>17</xdr:col>
      <xdr:colOff>1765300</xdr:colOff>
      <xdr:row>34</xdr:row>
      <xdr:rowOff>63500</xdr:rowOff>
    </xdr:to>
    <xdr:sp macro="" textlink="">
      <xdr:nvSpPr>
        <xdr:cNvPr id="19" name="TextBox 18">
          <a:extLst>
            <a:ext uri="{FF2B5EF4-FFF2-40B4-BE49-F238E27FC236}">
              <a16:creationId xmlns:a16="http://schemas.microsoft.com/office/drawing/2014/main" id="{E04D5501-A363-421A-9962-4D0E752D2250}"/>
            </a:ext>
          </a:extLst>
        </xdr:cNvPr>
        <xdr:cNvSpPr txBox="1"/>
      </xdr:nvSpPr>
      <xdr:spPr>
        <a:xfrm>
          <a:off x="15608300" y="6248400"/>
          <a:ext cx="15748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Shop Exhaust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762000</xdr:colOff>
      <xdr:row>33</xdr:row>
      <xdr:rowOff>0</xdr:rowOff>
    </xdr:from>
    <xdr:to>
      <xdr:col>4</xdr:col>
      <xdr:colOff>381000</xdr:colOff>
      <xdr:row>34</xdr:row>
      <xdr:rowOff>152400</xdr:rowOff>
    </xdr:to>
    <xdr:sp macro="" textlink="">
      <xdr:nvSpPr>
        <xdr:cNvPr id="7" name="TextBox 6">
          <a:extLst>
            <a:ext uri="{FF2B5EF4-FFF2-40B4-BE49-F238E27FC236}">
              <a16:creationId xmlns:a16="http://schemas.microsoft.com/office/drawing/2014/main" id="{B2ED97A9-5D69-40FA-A186-86D07DD99431}"/>
            </a:ext>
          </a:extLst>
        </xdr:cNvPr>
        <xdr:cNvSpPr txBox="1"/>
      </xdr:nvSpPr>
      <xdr:spPr>
        <a:xfrm>
          <a:off x="1514475" y="6334125"/>
          <a:ext cx="15811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Hurricane</a:t>
          </a:r>
        </a:p>
      </xdr:txBody>
    </xdr:sp>
    <xdr:clientData/>
  </xdr:twoCellAnchor>
  <xdr:twoCellAnchor>
    <xdr:from>
      <xdr:col>5</xdr:col>
      <xdr:colOff>838200</xdr:colOff>
      <xdr:row>32</xdr:row>
      <xdr:rowOff>139700</xdr:rowOff>
    </xdr:from>
    <xdr:to>
      <xdr:col>7</xdr:col>
      <xdr:colOff>457200</xdr:colOff>
      <xdr:row>34</xdr:row>
      <xdr:rowOff>101600</xdr:rowOff>
    </xdr:to>
    <xdr:sp macro="" textlink="">
      <xdr:nvSpPr>
        <xdr:cNvPr id="8" name="TextBox 7">
          <a:extLst>
            <a:ext uri="{FF2B5EF4-FFF2-40B4-BE49-F238E27FC236}">
              <a16:creationId xmlns:a16="http://schemas.microsoft.com/office/drawing/2014/main" id="{CC6D148F-3AB2-4CB7-9CC9-1DBE33161907}"/>
            </a:ext>
          </a:extLst>
        </xdr:cNvPr>
        <xdr:cNvSpPr txBox="1"/>
      </xdr:nvSpPr>
      <xdr:spPr>
        <a:xfrm>
          <a:off x="4533900" y="6283325"/>
          <a:ext cx="158115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Standard Aluminum</a:t>
          </a:r>
        </a:p>
      </xdr:txBody>
    </xdr:sp>
    <xdr:clientData/>
  </xdr:twoCellAnchor>
  <xdr:twoCellAnchor editAs="oneCell">
    <xdr:from>
      <xdr:col>2</xdr:col>
      <xdr:colOff>279400</xdr:colOff>
      <xdr:row>35</xdr:row>
      <xdr:rowOff>101600</xdr:rowOff>
    </xdr:from>
    <xdr:to>
      <xdr:col>5</xdr:col>
      <xdr:colOff>16947</xdr:colOff>
      <xdr:row>45</xdr:row>
      <xdr:rowOff>57807</xdr:rowOff>
    </xdr:to>
    <xdr:pic>
      <xdr:nvPicPr>
        <xdr:cNvPr id="15" name="Picture 14">
          <a:extLst>
            <a:ext uri="{FF2B5EF4-FFF2-40B4-BE49-F238E27FC236}">
              <a16:creationId xmlns:a16="http://schemas.microsoft.com/office/drawing/2014/main" id="{BA707974-7430-1E19-4CCE-9005CED0D2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8700" y="6819900"/>
          <a:ext cx="2671247" cy="1861207"/>
        </a:xfrm>
        <a:prstGeom prst="rect">
          <a:avLst/>
        </a:prstGeom>
      </xdr:spPr>
    </xdr:pic>
    <xdr:clientData/>
  </xdr:twoCellAnchor>
  <xdr:twoCellAnchor editAs="oneCell">
    <xdr:from>
      <xdr:col>6</xdr:col>
      <xdr:colOff>188039</xdr:colOff>
      <xdr:row>35</xdr:row>
      <xdr:rowOff>12700</xdr:rowOff>
    </xdr:from>
    <xdr:to>
      <xdr:col>7</xdr:col>
      <xdr:colOff>117947</xdr:colOff>
      <xdr:row>45</xdr:row>
      <xdr:rowOff>153464</xdr:rowOff>
    </xdr:to>
    <xdr:pic>
      <xdr:nvPicPr>
        <xdr:cNvPr id="17" name="Picture 16">
          <a:extLst>
            <a:ext uri="{FF2B5EF4-FFF2-40B4-BE49-F238E27FC236}">
              <a16:creationId xmlns:a16="http://schemas.microsoft.com/office/drawing/2014/main" id="{C3B8ECDD-F5FD-5573-234C-3079E456BCF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48939" y="6731000"/>
          <a:ext cx="907808" cy="2045764"/>
        </a:xfrm>
        <a:prstGeom prst="rect">
          <a:avLst/>
        </a:prstGeom>
      </xdr:spPr>
    </xdr:pic>
    <xdr:clientData/>
  </xdr:twoCellAnchor>
  <xdr:twoCellAnchor editAs="oneCell">
    <xdr:from>
      <xdr:col>2</xdr:col>
      <xdr:colOff>228601</xdr:colOff>
      <xdr:row>77</xdr:row>
      <xdr:rowOff>117768</xdr:rowOff>
    </xdr:from>
    <xdr:to>
      <xdr:col>4</xdr:col>
      <xdr:colOff>406401</xdr:colOff>
      <xdr:row>87</xdr:row>
      <xdr:rowOff>102063</xdr:rowOff>
    </xdr:to>
    <xdr:pic>
      <xdr:nvPicPr>
        <xdr:cNvPr id="19" name="Picture 18">
          <a:extLst>
            <a:ext uri="{FF2B5EF4-FFF2-40B4-BE49-F238E27FC236}">
              <a16:creationId xmlns:a16="http://schemas.microsoft.com/office/drawing/2014/main" id="{406122AD-4C68-05AA-22FA-7D0F0CE0D8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77901" y="14837068"/>
          <a:ext cx="2133600" cy="1889295"/>
        </a:xfrm>
        <a:prstGeom prst="rect">
          <a:avLst/>
        </a:prstGeom>
      </xdr:spPr>
    </xdr:pic>
    <xdr:clientData/>
  </xdr:twoCellAnchor>
  <xdr:twoCellAnchor>
    <xdr:from>
      <xdr:col>2</xdr:col>
      <xdr:colOff>546100</xdr:colOff>
      <xdr:row>75</xdr:row>
      <xdr:rowOff>165100</xdr:rowOff>
    </xdr:from>
    <xdr:to>
      <xdr:col>4</xdr:col>
      <xdr:colOff>165100</xdr:colOff>
      <xdr:row>77</xdr:row>
      <xdr:rowOff>127000</xdr:rowOff>
    </xdr:to>
    <xdr:sp macro="" textlink="">
      <xdr:nvSpPr>
        <xdr:cNvPr id="20" name="TextBox 19">
          <a:extLst>
            <a:ext uri="{FF2B5EF4-FFF2-40B4-BE49-F238E27FC236}">
              <a16:creationId xmlns:a16="http://schemas.microsoft.com/office/drawing/2014/main" id="{D20652C5-C205-44F4-BAC6-8D4BB0F68F77}"/>
            </a:ext>
          </a:extLst>
        </xdr:cNvPr>
        <xdr:cNvSpPr txBox="1"/>
      </xdr:nvSpPr>
      <xdr:spPr>
        <a:xfrm>
          <a:off x="1295400" y="14503400"/>
          <a:ext cx="1574800"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Fire Dampers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an%20Bird\AppData\Local\Packages\5319275A.WhatsAppDesktop_cv1g1gvanyjgm\LocalState\sessions\C585BC8CB1C1FCE338E60BF12238FEF39D4B3099\transfers\2026-04\HVAC%20%20Model%20-%20Ahmed.xlsx" TargetMode="External"/><Relationship Id="rId1" Type="http://schemas.openxmlformats.org/officeDocument/2006/relationships/externalLinkPath" Target="file:///C:\Users\Ian%20Bird\AppData\Local\Packages\5319275A.WhatsAppDesktop_cv1g1gvanyjgm\LocalState\sessions\C585BC8CB1C1FCE338E60BF12238FEF39D4B3099\transfers\2026-04\HVAC%20%20Model%20-%20Ahmed.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personal/ibird_mercurycontrolac_com/Documents/Mercury/Bids/HQ/1b_Templates/Multi%20Family%20Dev/Bid%20Sheet_MF_v4.2.xlsm" TargetMode="External"/><Relationship Id="rId2" Type="http://schemas.openxmlformats.org/officeDocument/2006/relationships/externalLinkPath" Target="https://mercurycontrol-my.sharepoint.com/personal/ibird_mercurycontrolac_com/Documents/Mercury/Bids/HQ/1b_Templates/Multi%20Family%20Dev/Bid%20Sheet_MF_v4.2.xlsm" TargetMode="External"/><Relationship Id="rId1" Type="http://schemas.openxmlformats.org/officeDocument/2006/relationships/externalLinkPath" Target="/personal/ibird_mercurycontrolac_com/Documents/Mercury/Bids/HQ/1b_Templates/Multi%20Family%20Dev/Bid%20Sheet_MF_v4.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AC Schedule"/>
      <sheetName val="BAS"/>
      <sheetName val="Rectangular Duct Weight"/>
      <sheetName val="Round Duct Weigth "/>
      <sheetName val="Flex Duct Schedule"/>
      <sheetName val="Fans Schedule"/>
      <sheetName val="Gas Heaters Schedule"/>
      <sheetName val="VAV Schedule "/>
      <sheetName val="Air Devices Schedule "/>
      <sheetName val="Louver Schedule "/>
      <sheetName val="Data"/>
    </sheetNames>
    <sheetDataSet>
      <sheetData sheetId="0"/>
      <sheetData sheetId="1"/>
      <sheetData sheetId="2"/>
      <sheetData sheetId="3"/>
      <sheetData sheetId="4">
        <row r="15">
          <cell r="AA15">
            <v>155.57943948938137</v>
          </cell>
        </row>
        <row r="16">
          <cell r="Y16">
            <v>1</v>
          </cell>
        </row>
      </sheetData>
      <sheetData sheetId="5"/>
      <sheetData sheetId="6"/>
      <sheetData sheetId="7"/>
      <sheetData sheetId="8"/>
      <sheetData sheetId="9"/>
      <sheetData sheetId="10"/>
      <sheetData sheetId="11">
        <row r="5">
          <cell r="A5">
            <v>33</v>
          </cell>
          <cell r="B5">
            <v>6.0000000000000001E-3</v>
          </cell>
          <cell r="C5">
            <v>1.2E-2</v>
          </cell>
          <cell r="D5">
            <v>8.9999999999999993E-3</v>
          </cell>
          <cell r="E5">
            <v>0.2409</v>
          </cell>
          <cell r="F5">
            <v>0.376</v>
          </cell>
          <cell r="G5">
            <v>0.48599999999999999</v>
          </cell>
          <cell r="H5"/>
          <cell r="I5">
            <v>0.15240000000000001</v>
          </cell>
          <cell r="J5">
            <v>0.30480000000000002</v>
          </cell>
          <cell r="K5">
            <v>0.2286</v>
          </cell>
          <cell r="M5">
            <v>31</v>
          </cell>
          <cell r="N5">
            <v>8.8999999999999999E-3</v>
          </cell>
          <cell r="O5">
            <v>1.29E-2</v>
          </cell>
          <cell r="P5">
            <v>1.09E-2</v>
          </cell>
          <cell r="Q5">
            <v>0.45900000000000002</v>
          </cell>
          <cell r="R5">
            <v>0.45100000000000001</v>
          </cell>
          <cell r="S5">
            <v>2.2389999999999999</v>
          </cell>
          <cell r="T5">
            <v>2.2000000000000002</v>
          </cell>
          <cell r="U5">
            <v>0.27689999999999998</v>
          </cell>
          <cell r="V5">
            <v>0.22689999999999999</v>
          </cell>
          <cell r="W5">
            <v>0.32690000000000002</v>
          </cell>
        </row>
        <row r="6">
          <cell r="A6">
            <v>32</v>
          </cell>
          <cell r="B6">
            <v>1.04E-2</v>
          </cell>
          <cell r="C6">
            <v>1.6400000000000001E-2</v>
          </cell>
          <cell r="D6">
            <v>1.34E-2</v>
          </cell>
          <cell r="E6">
            <v>0.4204</v>
          </cell>
          <cell r="F6">
            <v>0.56299999999999994</v>
          </cell>
          <cell r="G6">
            <v>0.66500000000000004</v>
          </cell>
          <cell r="H6"/>
          <cell r="I6">
            <v>0.26419999999999999</v>
          </cell>
          <cell r="J6">
            <v>0.41660000000000003</v>
          </cell>
          <cell r="K6">
            <v>0.34039999999999998</v>
          </cell>
          <cell r="M6">
            <v>30</v>
          </cell>
          <cell r="N6">
            <v>1.0500000000000001E-2</v>
          </cell>
          <cell r="O6">
            <v>1.4500000000000001E-2</v>
          </cell>
          <cell r="P6">
            <v>1.2500000000000001E-2</v>
          </cell>
          <cell r="Q6">
            <v>0.52500000000000002</v>
          </cell>
          <cell r="R6">
            <v>0.51500000000000001</v>
          </cell>
          <cell r="S6">
            <v>2.5619999999999998</v>
          </cell>
          <cell r="T6">
            <v>2.512</v>
          </cell>
          <cell r="U6">
            <v>0.3175</v>
          </cell>
          <cell r="V6">
            <v>0.26750000000000002</v>
          </cell>
          <cell r="W6">
            <v>0.36749999999999999</v>
          </cell>
        </row>
        <row r="7">
          <cell r="A7">
            <v>31</v>
          </cell>
          <cell r="B7">
            <v>1.12E-2</v>
          </cell>
          <cell r="C7">
            <v>1.72E-2</v>
          </cell>
          <cell r="D7">
            <v>1.4200000000000001E-2</v>
          </cell>
          <cell r="E7">
            <v>0.4531</v>
          </cell>
          <cell r="F7">
            <v>0.59399999999999997</v>
          </cell>
          <cell r="G7">
            <v>0.69799999999999995</v>
          </cell>
          <cell r="H7"/>
          <cell r="I7">
            <v>0.28449999999999998</v>
          </cell>
          <cell r="J7">
            <v>0.43690000000000001</v>
          </cell>
          <cell r="K7">
            <v>0.36070000000000002</v>
          </cell>
          <cell r="M7">
            <v>29</v>
          </cell>
          <cell r="N7">
            <v>1.21E-2</v>
          </cell>
          <cell r="O7">
            <v>1.61E-2</v>
          </cell>
          <cell r="P7">
            <v>1.41E-2</v>
          </cell>
          <cell r="Q7">
            <v>0.59099999999999997</v>
          </cell>
          <cell r="R7">
            <v>0.57899999999999996</v>
          </cell>
          <cell r="S7">
            <v>2.883</v>
          </cell>
          <cell r="T7">
            <v>2.8250000000000002</v>
          </cell>
          <cell r="U7">
            <v>0.35809999999999997</v>
          </cell>
          <cell r="V7">
            <v>0.30809999999999998</v>
          </cell>
          <cell r="W7">
            <v>0.40810000000000002</v>
          </cell>
        </row>
        <row r="8">
          <cell r="A8">
            <v>30</v>
          </cell>
          <cell r="B8">
            <v>1.2699999999999999E-2</v>
          </cell>
          <cell r="C8">
            <v>1.8700000000000001E-2</v>
          </cell>
          <cell r="D8">
            <v>1.5699999999999999E-2</v>
          </cell>
          <cell r="E8">
            <v>0.51429999999999998</v>
          </cell>
          <cell r="F8">
            <v>0.65600000000000003</v>
          </cell>
          <cell r="G8">
            <v>0.75900000000000001</v>
          </cell>
          <cell r="H8">
            <v>3.2</v>
          </cell>
          <cell r="I8">
            <v>0.31879999999999997</v>
          </cell>
          <cell r="J8">
            <v>0.4783</v>
          </cell>
          <cell r="K8">
            <v>0.39879999999999999</v>
          </cell>
          <cell r="M8">
            <v>28</v>
          </cell>
          <cell r="N8">
            <v>1.3599999999999999E-2</v>
          </cell>
          <cell r="O8">
            <v>1.7600000000000001E-2</v>
          </cell>
          <cell r="P8">
            <v>1.5599999999999999E-2</v>
          </cell>
          <cell r="Q8">
            <v>0.65600000000000003</v>
          </cell>
          <cell r="R8">
            <v>0.64400000000000002</v>
          </cell>
          <cell r="S8">
            <v>3.2</v>
          </cell>
          <cell r="T8">
            <v>3.1419999999999999</v>
          </cell>
          <cell r="U8">
            <v>0.3962</v>
          </cell>
          <cell r="V8">
            <v>0.34620000000000001</v>
          </cell>
          <cell r="W8">
            <v>0.44619999999999999</v>
          </cell>
        </row>
        <row r="9">
          <cell r="A9">
            <v>29</v>
          </cell>
          <cell r="B9">
            <v>1.4200000000000001E-2</v>
          </cell>
          <cell r="C9">
            <v>0.02</v>
          </cell>
          <cell r="D9">
            <v>1.72E-2</v>
          </cell>
          <cell r="E9">
            <v>0.57550000000000001</v>
          </cell>
          <cell r="F9">
            <v>0.71899999999999997</v>
          </cell>
          <cell r="G9">
            <v>0.82</v>
          </cell>
          <cell r="H9"/>
          <cell r="I9">
            <v>0.3569</v>
          </cell>
          <cell r="J9">
            <v>0.51690000000000003</v>
          </cell>
          <cell r="K9">
            <v>0.43690000000000001</v>
          </cell>
          <cell r="M9">
            <v>27</v>
          </cell>
          <cell r="N9">
            <v>1.4200000000000001E-2</v>
          </cell>
          <cell r="O9">
            <v>2.0199999999999999E-2</v>
          </cell>
          <cell r="P9">
            <v>1.72E-2</v>
          </cell>
          <cell r="Q9">
            <v>0.72199999999999998</v>
          </cell>
          <cell r="R9">
            <v>0.70799999999999996</v>
          </cell>
          <cell r="S9">
            <v>3.5219999999999998</v>
          </cell>
          <cell r="T9">
            <v>3.4540000000000002</v>
          </cell>
          <cell r="U9">
            <v>0.43690000000000001</v>
          </cell>
          <cell r="V9">
            <v>0.3569</v>
          </cell>
          <cell r="W9">
            <v>0.51690000000000003</v>
          </cell>
        </row>
        <row r="10">
          <cell r="A10">
            <v>28</v>
          </cell>
          <cell r="B10">
            <v>1.5699999999999999E-2</v>
          </cell>
          <cell r="C10">
            <v>2.1700000000000001E-2</v>
          </cell>
          <cell r="D10">
            <v>1.8700000000000001E-2</v>
          </cell>
          <cell r="E10">
            <v>0.63670000000000004</v>
          </cell>
          <cell r="F10">
            <v>0.78100000000000003</v>
          </cell>
          <cell r="G10">
            <v>0.88100000000000001</v>
          </cell>
          <cell r="H10">
            <v>3.81</v>
          </cell>
          <cell r="I10">
            <v>0.39500000000000002</v>
          </cell>
          <cell r="J10">
            <v>0.55500000000000005</v>
          </cell>
          <cell r="K10">
            <v>0.47499999999999998</v>
          </cell>
          <cell r="M10">
            <v>26</v>
          </cell>
          <cell r="N10">
            <v>1.5800000000000002E-2</v>
          </cell>
          <cell r="O10">
            <v>2.18E-2</v>
          </cell>
          <cell r="P10">
            <v>1.8800000000000001E-2</v>
          </cell>
          <cell r="Q10">
            <v>0.78800000000000003</v>
          </cell>
          <cell r="R10">
            <v>0.77300000000000002</v>
          </cell>
          <cell r="S10">
            <v>3.8439999999999999</v>
          </cell>
          <cell r="T10">
            <v>3.7709999999999999</v>
          </cell>
          <cell r="U10">
            <v>0.47749999999999998</v>
          </cell>
          <cell r="V10">
            <v>0.39750000000000002</v>
          </cell>
          <cell r="W10">
            <v>0.5575</v>
          </cell>
        </row>
        <row r="11">
          <cell r="A11">
            <v>27</v>
          </cell>
          <cell r="B11">
            <v>1.72E-2</v>
          </cell>
          <cell r="C11">
            <v>2.3199999999999998E-2</v>
          </cell>
          <cell r="D11">
            <v>2.0199999999999999E-2</v>
          </cell>
          <cell r="E11">
            <v>0.69789999999999996</v>
          </cell>
          <cell r="F11">
            <v>0.84399999999999997</v>
          </cell>
          <cell r="G11">
            <v>0.94299999999999995</v>
          </cell>
          <cell r="H11"/>
          <cell r="I11">
            <v>0.43309999999999998</v>
          </cell>
          <cell r="J11">
            <v>0.59309999999999996</v>
          </cell>
          <cell r="K11">
            <v>0.5131</v>
          </cell>
          <cell r="M11">
            <v>25</v>
          </cell>
          <cell r="N11">
            <v>1.89E-2</v>
          </cell>
          <cell r="O11">
            <v>2.4899999999999999E-2</v>
          </cell>
          <cell r="P11">
            <v>2.1899999999999999E-2</v>
          </cell>
          <cell r="Q11">
            <v>0.91900000000000004</v>
          </cell>
          <cell r="R11">
            <v>0.90100000000000002</v>
          </cell>
          <cell r="S11">
            <v>4.4829999999999997</v>
          </cell>
          <cell r="T11">
            <v>4.3949999999999996</v>
          </cell>
          <cell r="U11">
            <v>0.55620000000000003</v>
          </cell>
          <cell r="V11">
            <v>0.47620000000000001</v>
          </cell>
          <cell r="W11">
            <v>0.63619999999999999</v>
          </cell>
        </row>
        <row r="12">
          <cell r="A12">
            <v>26</v>
          </cell>
          <cell r="B12">
            <v>1.8700000000000001E-2</v>
          </cell>
          <cell r="C12">
            <v>2.47E-2</v>
          </cell>
          <cell r="D12">
            <v>2.1700000000000001E-2</v>
          </cell>
          <cell r="E12">
            <v>0.7591</v>
          </cell>
          <cell r="F12">
            <v>0.90600000000000003</v>
          </cell>
          <cell r="G12">
            <v>1.004</v>
          </cell>
          <cell r="H12">
            <v>4.42</v>
          </cell>
          <cell r="I12">
            <v>0.47120000000000001</v>
          </cell>
          <cell r="J12">
            <v>0.63119999999999998</v>
          </cell>
          <cell r="K12">
            <v>0.55120000000000002</v>
          </cell>
          <cell r="M12">
            <v>24</v>
          </cell>
          <cell r="N12">
            <v>2.1999999999999999E-2</v>
          </cell>
          <cell r="O12">
            <v>2.8000000000000001E-2</v>
          </cell>
          <cell r="P12">
            <v>2.5000000000000001E-2</v>
          </cell>
          <cell r="Q12">
            <v>1.05</v>
          </cell>
          <cell r="R12">
            <v>1.03</v>
          </cell>
          <cell r="S12">
            <v>5.1219999999999999</v>
          </cell>
          <cell r="T12">
            <v>5.0250000000000004</v>
          </cell>
          <cell r="U12">
            <v>0.63500000000000001</v>
          </cell>
          <cell r="V12">
            <v>0.55500000000000005</v>
          </cell>
          <cell r="W12">
            <v>0.71499999999999997</v>
          </cell>
        </row>
        <row r="13">
          <cell r="A13">
            <v>25</v>
          </cell>
          <cell r="B13">
            <v>2.1700000000000001E-2</v>
          </cell>
          <cell r="C13">
            <v>2.87E-2</v>
          </cell>
          <cell r="D13">
            <v>2.47E-2</v>
          </cell>
          <cell r="E13">
            <v>0.8407</v>
          </cell>
          <cell r="F13"/>
          <cell r="G13">
            <v>1.167</v>
          </cell>
          <cell r="H13"/>
          <cell r="I13">
            <v>0.52739999999999998</v>
          </cell>
          <cell r="J13">
            <v>0.72740000000000005</v>
          </cell>
          <cell r="K13">
            <v>0.62739999999999996</v>
          </cell>
          <cell r="M13">
            <v>23</v>
          </cell>
          <cell r="N13">
            <v>2.41E-2</v>
          </cell>
          <cell r="O13">
            <v>3.2099999999999997E-2</v>
          </cell>
          <cell r="P13">
            <v>2.81E-2</v>
          </cell>
          <cell r="Q13">
            <v>1.181</v>
          </cell>
          <cell r="R13">
            <v>1.159</v>
          </cell>
          <cell r="S13">
            <v>5.7610000000000001</v>
          </cell>
          <cell r="T13">
            <v>5.6539999999999999</v>
          </cell>
          <cell r="U13">
            <v>0.7137</v>
          </cell>
          <cell r="V13">
            <v>0.61370000000000002</v>
          </cell>
          <cell r="W13">
            <v>0.81369999999999998</v>
          </cell>
        </row>
        <row r="14">
          <cell r="A14">
            <v>24</v>
          </cell>
          <cell r="B14">
            <v>2.3599999999999999E-2</v>
          </cell>
          <cell r="C14">
            <v>3.1600000000000003E-2</v>
          </cell>
          <cell r="D14">
            <v>2.76E-2</v>
          </cell>
          <cell r="E14">
            <v>0.95899999999999996</v>
          </cell>
          <cell r="F14">
            <v>1.1559999999999999</v>
          </cell>
          <cell r="G14">
            <v>1.2849999999999999</v>
          </cell>
          <cell r="H14">
            <v>5.64</v>
          </cell>
          <cell r="I14">
            <v>0.60099999999999998</v>
          </cell>
          <cell r="J14">
            <v>0.80100000000000005</v>
          </cell>
          <cell r="K14">
            <v>0.70099999999999996</v>
          </cell>
          <cell r="M14">
            <v>22</v>
          </cell>
          <cell r="N14">
            <v>2.7300000000000001E-2</v>
          </cell>
          <cell r="O14">
            <v>3.5299999999999998E-2</v>
          </cell>
          <cell r="P14">
            <v>3.1300000000000001E-2</v>
          </cell>
          <cell r="Q14">
            <v>1.3129999999999999</v>
          </cell>
          <cell r="R14">
            <v>1.288</v>
          </cell>
          <cell r="S14">
            <v>6.4050000000000002</v>
          </cell>
          <cell r="T14">
            <v>6.2830000000000004</v>
          </cell>
          <cell r="U14">
            <v>0.79500000000000004</v>
          </cell>
          <cell r="V14">
            <v>0.69499999999999995</v>
          </cell>
          <cell r="W14">
            <v>0.89500000000000002</v>
          </cell>
        </row>
        <row r="15">
          <cell r="A15">
            <v>23</v>
          </cell>
          <cell r="B15">
            <v>2.6599999999999999E-2</v>
          </cell>
          <cell r="C15">
            <v>3.4599999999999999E-2</v>
          </cell>
          <cell r="D15">
            <v>3.0599999999999999E-2</v>
          </cell>
          <cell r="E15">
            <v>1.0813999999999999</v>
          </cell>
          <cell r="F15"/>
          <cell r="G15">
            <v>1.4079999999999999</v>
          </cell>
          <cell r="H15"/>
          <cell r="I15">
            <v>0.67720000000000002</v>
          </cell>
          <cell r="J15">
            <v>0.877</v>
          </cell>
          <cell r="K15">
            <v>0.7772</v>
          </cell>
          <cell r="M15">
            <v>21</v>
          </cell>
          <cell r="N15">
            <v>3.04E-2</v>
          </cell>
          <cell r="O15">
            <v>3.8399999999999997E-2</v>
          </cell>
          <cell r="P15">
            <v>3.44E-2</v>
          </cell>
          <cell r="Q15">
            <v>1.444</v>
          </cell>
          <cell r="R15">
            <v>1.4159999999999999</v>
          </cell>
          <cell r="S15">
            <v>7.0439999999999996</v>
          </cell>
          <cell r="T15">
            <v>6.9080000000000004</v>
          </cell>
          <cell r="U15">
            <v>0.87380000000000002</v>
          </cell>
          <cell r="V15">
            <v>0.77380000000000004</v>
          </cell>
          <cell r="W15">
            <v>0.9738</v>
          </cell>
        </row>
        <row r="16">
          <cell r="A16">
            <v>22</v>
          </cell>
          <cell r="B16">
            <v>2.9600000000000001E-2</v>
          </cell>
          <cell r="C16">
            <v>3.7600000000000001E-2</v>
          </cell>
          <cell r="D16">
            <v>3.3599999999999998E-2</v>
          </cell>
          <cell r="E16">
            <v>1.2038</v>
          </cell>
          <cell r="F16">
            <v>1.4059999999999999</v>
          </cell>
          <cell r="G16">
            <v>1.53</v>
          </cell>
          <cell r="H16">
            <v>6.86</v>
          </cell>
          <cell r="I16">
            <v>0.75339999999999996</v>
          </cell>
          <cell r="J16">
            <v>0.95340000000000003</v>
          </cell>
          <cell r="K16">
            <v>0.85340000000000005</v>
          </cell>
          <cell r="M16">
            <v>20</v>
          </cell>
          <cell r="N16">
            <v>3.3500000000000002E-2</v>
          </cell>
          <cell r="O16">
            <v>4.1500000000000002E-2</v>
          </cell>
          <cell r="P16">
            <v>3.7499999999999999E-2</v>
          </cell>
          <cell r="Q16">
            <v>1.575</v>
          </cell>
          <cell r="R16">
            <v>1.5449999999999999</v>
          </cell>
          <cell r="S16">
            <v>7.6829999999999998</v>
          </cell>
          <cell r="T16">
            <v>7.5369999999999999</v>
          </cell>
          <cell r="U16">
            <v>0.95250000000000001</v>
          </cell>
          <cell r="V16">
            <v>0.85250000000000004</v>
          </cell>
          <cell r="W16">
            <v>1.0525</v>
          </cell>
        </row>
        <row r="17">
          <cell r="A17">
            <v>21</v>
          </cell>
          <cell r="B17">
            <v>3.2599999999999997E-2</v>
          </cell>
          <cell r="C17">
            <v>4.0599999999999997E-2</v>
          </cell>
          <cell r="D17">
            <v>3.6600000000000001E-2</v>
          </cell>
          <cell r="E17">
            <v>1.3263</v>
          </cell>
          <cell r="F17"/>
          <cell r="G17">
            <v>1.653</v>
          </cell>
          <cell r="H17"/>
          <cell r="I17">
            <v>0.8296</v>
          </cell>
          <cell r="J17">
            <v>1.0296000000000001</v>
          </cell>
          <cell r="K17">
            <v>0.92959999999999998</v>
          </cell>
          <cell r="M17">
            <v>19</v>
          </cell>
          <cell r="N17">
            <v>3.8800000000000001E-2</v>
          </cell>
          <cell r="O17">
            <v>4.8800000000000003E-2</v>
          </cell>
          <cell r="P17">
            <v>4.3799999999999999E-2</v>
          </cell>
          <cell r="Q17">
            <v>1.8380000000000001</v>
          </cell>
          <cell r="R17">
            <v>1.8029999999999999</v>
          </cell>
          <cell r="S17">
            <v>8.9659999999999993</v>
          </cell>
          <cell r="T17">
            <v>8.7959999999999994</v>
          </cell>
          <cell r="U17">
            <v>1.1125</v>
          </cell>
          <cell r="V17">
            <v>0.98350000000000004</v>
          </cell>
          <cell r="W17">
            <v>1.2424999999999999</v>
          </cell>
        </row>
        <row r="18">
          <cell r="A18">
            <v>20</v>
          </cell>
          <cell r="B18">
            <v>3.56E-2</v>
          </cell>
          <cell r="C18">
            <v>4.36E-2</v>
          </cell>
          <cell r="D18">
            <v>3.9600000000000003E-2</v>
          </cell>
          <cell r="E18">
            <v>1.4486000000000001</v>
          </cell>
          <cell r="F18">
            <v>1.6559999999999999</v>
          </cell>
          <cell r="G18">
            <v>1.7749999999999999</v>
          </cell>
          <cell r="H18">
            <v>8.08</v>
          </cell>
          <cell r="I18">
            <v>0.90600000000000003</v>
          </cell>
          <cell r="J18">
            <v>1.1060000000000001</v>
          </cell>
          <cell r="K18">
            <v>1.006</v>
          </cell>
          <cell r="M18">
            <v>18</v>
          </cell>
          <cell r="N18">
            <v>4.4999999999999998E-2</v>
          </cell>
          <cell r="O18">
            <v>5.5E-2</v>
          </cell>
          <cell r="P18">
            <v>0.05</v>
          </cell>
          <cell r="Q18">
            <v>2.1</v>
          </cell>
          <cell r="R18">
            <v>2.06</v>
          </cell>
          <cell r="S18">
            <v>10.244999999999999</v>
          </cell>
          <cell r="T18">
            <v>10.050000000000001</v>
          </cell>
          <cell r="U18">
            <v>1.27</v>
          </cell>
          <cell r="V18">
            <v>1.1399999999999999</v>
          </cell>
          <cell r="W18">
            <v>1.4</v>
          </cell>
        </row>
        <row r="19">
          <cell r="A19">
            <v>19</v>
          </cell>
          <cell r="B19">
            <v>4.0599999999999997E-2</v>
          </cell>
          <cell r="C19">
            <v>5.0599999999999999E-2</v>
          </cell>
          <cell r="D19">
            <v>4.5600000000000002E-2</v>
          </cell>
          <cell r="E19">
            <v>1.6526000000000001</v>
          </cell>
          <cell r="F19"/>
          <cell r="G19">
            <v>2.0609999999999999</v>
          </cell>
          <cell r="H19"/>
          <cell r="I19">
            <v>1.028</v>
          </cell>
          <cell r="J19">
            <v>1.288</v>
          </cell>
          <cell r="K19">
            <v>1.1579999999999999</v>
          </cell>
          <cell r="M19">
            <v>17</v>
          </cell>
          <cell r="N19">
            <v>5.1299999999999998E-2</v>
          </cell>
          <cell r="O19">
            <v>6.13E-2</v>
          </cell>
          <cell r="P19">
            <v>5.6300000000000003E-2</v>
          </cell>
          <cell r="Q19">
            <v>2.363</v>
          </cell>
          <cell r="R19">
            <v>2.3180000000000001</v>
          </cell>
          <cell r="S19">
            <v>11.528</v>
          </cell>
          <cell r="T19">
            <v>11.308</v>
          </cell>
          <cell r="U19">
            <v>1.43</v>
          </cell>
          <cell r="V19">
            <v>1.3</v>
          </cell>
          <cell r="W19">
            <v>1.56</v>
          </cell>
        </row>
        <row r="20">
          <cell r="A20">
            <v>18</v>
          </cell>
          <cell r="B20">
            <v>4.6600000000000003E-2</v>
          </cell>
          <cell r="C20">
            <v>5.6599999999999998E-2</v>
          </cell>
          <cell r="D20">
            <v>5.16E-2</v>
          </cell>
          <cell r="E20">
            <v>1.8974</v>
          </cell>
          <cell r="F20">
            <v>2.1560000000000001</v>
          </cell>
          <cell r="G20">
            <v>2.3050000000000002</v>
          </cell>
          <cell r="H20">
            <v>10.52</v>
          </cell>
          <cell r="I20">
            <v>1.181</v>
          </cell>
          <cell r="J20">
            <v>1.4410000000000001</v>
          </cell>
          <cell r="K20">
            <v>1.3109999999999999</v>
          </cell>
          <cell r="M20">
            <v>16</v>
          </cell>
          <cell r="N20">
            <v>5.6500000000000002E-2</v>
          </cell>
          <cell r="O20">
            <v>6.8500000000000005E-2</v>
          </cell>
          <cell r="P20">
            <v>6.25E-2</v>
          </cell>
          <cell r="Q20">
            <v>2.625</v>
          </cell>
          <cell r="R20">
            <v>2.5750000000000002</v>
          </cell>
          <cell r="S20">
            <v>12.805999999999999</v>
          </cell>
          <cell r="T20">
            <v>12.561999999999999</v>
          </cell>
          <cell r="U20">
            <v>1.5874999999999999</v>
          </cell>
          <cell r="V20">
            <v>1.4375</v>
          </cell>
          <cell r="W20">
            <v>1.7375</v>
          </cell>
        </row>
        <row r="21">
          <cell r="A21">
            <v>17</v>
          </cell>
          <cell r="B21">
            <v>5.2499999999999998E-2</v>
          </cell>
          <cell r="C21">
            <v>6.25E-2</v>
          </cell>
          <cell r="D21">
            <v>5.7500000000000002E-2</v>
          </cell>
          <cell r="E21">
            <v>2.1381000000000001</v>
          </cell>
          <cell r="F21"/>
          <cell r="G21">
            <v>2.5459999999999998</v>
          </cell>
          <cell r="H21"/>
          <cell r="I21">
            <v>1.331</v>
          </cell>
          <cell r="J21">
            <v>1.591</v>
          </cell>
          <cell r="K21">
            <v>1.4610000000000001</v>
          </cell>
          <cell r="M21">
            <v>15</v>
          </cell>
          <cell r="N21">
            <v>6.4299999999999996E-2</v>
          </cell>
          <cell r="O21">
            <v>7.6300000000000007E-2</v>
          </cell>
          <cell r="P21">
            <v>7.0300000000000001E-2</v>
          </cell>
          <cell r="Q21">
            <v>2.9529999999999998</v>
          </cell>
          <cell r="R21">
            <v>2.8969999999999998</v>
          </cell>
          <cell r="S21">
            <v>14.406000000000001</v>
          </cell>
          <cell r="T21">
            <v>14.132999999999999</v>
          </cell>
          <cell r="U21">
            <v>1.2856000000000001</v>
          </cell>
          <cell r="V21">
            <v>1.6355999999999999</v>
          </cell>
          <cell r="W21">
            <v>1.9356</v>
          </cell>
        </row>
        <row r="22">
          <cell r="A22">
            <v>16</v>
          </cell>
          <cell r="B22">
            <v>5.7500000000000002E-2</v>
          </cell>
          <cell r="C22">
            <v>6.9500000000000006E-2</v>
          </cell>
          <cell r="D22">
            <v>6.3500000000000001E-2</v>
          </cell>
          <cell r="E22">
            <v>2.3420000000000001</v>
          </cell>
          <cell r="F22">
            <v>2.6560000000000001</v>
          </cell>
          <cell r="G22">
            <v>2.8319999999999999</v>
          </cell>
          <cell r="H22">
            <v>12.96</v>
          </cell>
          <cell r="I22">
            <v>1.4630000000000001</v>
          </cell>
          <cell r="J22">
            <v>1.7629999999999999</v>
          </cell>
          <cell r="K22">
            <v>1.613</v>
          </cell>
          <cell r="M22">
            <v>14</v>
          </cell>
          <cell r="N22">
            <v>7.1099999999999997E-2</v>
          </cell>
          <cell r="O22">
            <v>8.5099999999999995E-2</v>
          </cell>
          <cell r="P22">
            <v>7.8100000000000003E-2</v>
          </cell>
          <cell r="Q22">
            <v>3.2810000000000001</v>
          </cell>
          <cell r="R22">
            <v>3.2189999999999999</v>
          </cell>
          <cell r="S22">
            <v>16.006</v>
          </cell>
          <cell r="T22">
            <v>15.704000000000001</v>
          </cell>
          <cell r="U22">
            <v>1.9837</v>
          </cell>
          <cell r="V22">
            <v>1.8037000000000001</v>
          </cell>
          <cell r="W22">
            <v>2.1637</v>
          </cell>
        </row>
        <row r="23">
          <cell r="A23">
            <v>15</v>
          </cell>
          <cell r="B23">
            <v>6.5000000000000002E-2</v>
          </cell>
          <cell r="C23">
            <v>7.6999999999999999E-2</v>
          </cell>
          <cell r="D23">
            <v>7.0999999999999994E-2</v>
          </cell>
          <cell r="E23">
            <v>2.6480999999999999</v>
          </cell>
          <cell r="F23"/>
          <cell r="G23">
            <v>3.1379999999999999</v>
          </cell>
          <cell r="H23"/>
          <cell r="I23">
            <v>1.653</v>
          </cell>
          <cell r="J23">
            <v>1.9530000000000001</v>
          </cell>
          <cell r="K23">
            <v>1.8029999999999999</v>
          </cell>
          <cell r="M23">
            <v>13</v>
          </cell>
          <cell r="N23">
            <v>8.5800000000000001E-2</v>
          </cell>
          <cell r="O23">
            <v>0.1018</v>
          </cell>
          <cell r="P23">
            <v>9.3799999999999994E-2</v>
          </cell>
          <cell r="Q23">
            <v>3.9380000000000002</v>
          </cell>
          <cell r="R23">
            <v>3.863</v>
          </cell>
          <cell r="S23">
            <v>19.210999999999999</v>
          </cell>
          <cell r="T23">
            <v>18.844999999999999</v>
          </cell>
          <cell r="U23">
            <v>2.3824999999999998</v>
          </cell>
          <cell r="V23">
            <v>2.1825000000000001</v>
          </cell>
          <cell r="W23">
            <v>2.5825</v>
          </cell>
        </row>
        <row r="24">
          <cell r="A24">
            <v>14</v>
          </cell>
          <cell r="B24">
            <v>7.0499999999999993E-2</v>
          </cell>
          <cell r="C24">
            <v>8.6499999999999994E-2</v>
          </cell>
          <cell r="D24">
            <v>7.85E-2</v>
          </cell>
          <cell r="E24">
            <v>2.8725000000000001</v>
          </cell>
          <cell r="F24">
            <v>3.2810000000000001</v>
          </cell>
          <cell r="G24">
            <v>3.5249999999999999</v>
          </cell>
          <cell r="H24">
            <v>16.010000000000002</v>
          </cell>
          <cell r="I24">
            <v>1.784</v>
          </cell>
          <cell r="J24">
            <v>2.2040000000000002</v>
          </cell>
          <cell r="K24">
            <v>1.994</v>
          </cell>
          <cell r="M24">
            <v>12</v>
          </cell>
          <cell r="N24">
            <v>0.1</v>
          </cell>
          <cell r="O24">
            <v>0.11840000000000001</v>
          </cell>
          <cell r="P24">
            <v>0.1094</v>
          </cell>
          <cell r="Q24">
            <v>4.5940000000000003</v>
          </cell>
          <cell r="R24">
            <v>4.5060000000000002</v>
          </cell>
          <cell r="S24">
            <v>22.411000000000001</v>
          </cell>
          <cell r="T24">
            <v>21.981999999999999</v>
          </cell>
          <cell r="U24">
            <v>2.7787999999999999</v>
          </cell>
          <cell r="V24">
            <v>2.5488</v>
          </cell>
          <cell r="W24">
            <v>2.9788000000000001</v>
          </cell>
        </row>
        <row r="25">
          <cell r="A25">
            <v>13</v>
          </cell>
          <cell r="B25">
            <v>8.5400000000000004E-2</v>
          </cell>
          <cell r="C25">
            <v>0.1014</v>
          </cell>
          <cell r="D25">
            <v>9.3399999999999997E-2</v>
          </cell>
          <cell r="E25">
            <v>3.4803999999999999</v>
          </cell>
          <cell r="F25"/>
          <cell r="G25">
            <v>4.133</v>
          </cell>
          <cell r="H25"/>
          <cell r="I25">
            <v>2.1619999999999999</v>
          </cell>
          <cell r="J25">
            <v>2.5823</v>
          </cell>
          <cell r="K25">
            <v>2.3719999999999999</v>
          </cell>
          <cell r="M25">
            <v>11</v>
          </cell>
          <cell r="N25">
            <v>0.115</v>
          </cell>
          <cell r="O25">
            <v>0.13500000000000001</v>
          </cell>
          <cell r="P25">
            <v>0.125</v>
          </cell>
          <cell r="Q25">
            <v>5.25</v>
          </cell>
          <cell r="R25">
            <v>5.15</v>
          </cell>
          <cell r="S25">
            <v>25.611999999999998</v>
          </cell>
          <cell r="T25">
            <v>25.123999999999999</v>
          </cell>
          <cell r="U25">
            <v>3.1749999999999998</v>
          </cell>
          <cell r="V25">
            <v>2.9249999999999998</v>
          </cell>
          <cell r="W25">
            <v>3.4249999999999998</v>
          </cell>
        </row>
        <row r="26">
          <cell r="A26">
            <v>12</v>
          </cell>
          <cell r="B26">
            <v>9.9400000000000002E-2</v>
          </cell>
          <cell r="C26">
            <v>0.1174</v>
          </cell>
          <cell r="D26">
            <v>0.1084</v>
          </cell>
          <cell r="E26">
            <v>4.0515999999999996</v>
          </cell>
          <cell r="F26">
            <v>4.5309999999999997</v>
          </cell>
          <cell r="G26">
            <v>4.7859999999999996</v>
          </cell>
          <cell r="H26">
            <v>22.11</v>
          </cell>
          <cell r="I26">
            <v>2.5230000000000001</v>
          </cell>
          <cell r="J26">
            <v>2.9830000000000001</v>
          </cell>
          <cell r="K26">
            <v>2.7530000000000001</v>
          </cell>
          <cell r="M26">
            <v>10</v>
          </cell>
          <cell r="N26">
            <v>0.12859999999999999</v>
          </cell>
          <cell r="O26">
            <v>0.15260000000000001</v>
          </cell>
          <cell r="P26">
            <v>0.1406</v>
          </cell>
          <cell r="Q26">
            <v>5.9059999999999997</v>
          </cell>
          <cell r="R26">
            <v>5.7939999999999996</v>
          </cell>
          <cell r="S26">
            <v>28.812000000000001</v>
          </cell>
          <cell r="T26">
            <v>28.265000000000001</v>
          </cell>
          <cell r="U26">
            <v>3.5712000000000002</v>
          </cell>
          <cell r="V26">
            <v>3.2711999999999999</v>
          </cell>
          <cell r="W26">
            <v>3.8712</v>
          </cell>
        </row>
        <row r="27">
          <cell r="A27">
            <v>11</v>
          </cell>
          <cell r="B27">
            <v>0.1143</v>
          </cell>
          <cell r="C27">
            <v>0.1323</v>
          </cell>
          <cell r="D27">
            <v>0.12330000000000001</v>
          </cell>
          <cell r="E27">
            <v>4.6505000000000001</v>
          </cell>
          <cell r="F27"/>
          <cell r="G27">
            <v>5.3940000000000001</v>
          </cell>
          <cell r="H27"/>
          <cell r="I27">
            <v>2.9020000000000001</v>
          </cell>
          <cell r="J27">
            <v>3.3620000000000001</v>
          </cell>
          <cell r="K27">
            <v>3.1320000000000001</v>
          </cell>
          <cell r="M27">
            <v>9</v>
          </cell>
          <cell r="N27">
            <v>0.14230000000000001</v>
          </cell>
          <cell r="O27">
            <v>0.17030000000000001</v>
          </cell>
          <cell r="P27">
            <v>0.15629999999999999</v>
          </cell>
          <cell r="Q27">
            <v>6.5629999999999997</v>
          </cell>
          <cell r="R27">
            <v>6.4379999999999997</v>
          </cell>
          <cell r="S27">
            <v>32.017000000000003</v>
          </cell>
          <cell r="T27">
            <v>31.407</v>
          </cell>
          <cell r="U27">
            <v>3.97</v>
          </cell>
          <cell r="V27">
            <v>3.61</v>
          </cell>
          <cell r="W27">
            <v>4.33</v>
          </cell>
        </row>
        <row r="28">
          <cell r="A28">
            <v>10</v>
          </cell>
          <cell r="B28">
            <v>0.12920000000000001</v>
          </cell>
          <cell r="C28">
            <v>0.1472</v>
          </cell>
          <cell r="D28">
            <v>0.13819999999999999</v>
          </cell>
          <cell r="E28">
            <v>5.2675000000000001</v>
          </cell>
          <cell r="F28">
            <v>5.7809999999999997</v>
          </cell>
          <cell r="G28">
            <v>6.0019999999999998</v>
          </cell>
          <cell r="H28">
            <v>28.21</v>
          </cell>
          <cell r="I28">
            <v>3.28</v>
          </cell>
          <cell r="J28">
            <v>3.74</v>
          </cell>
          <cell r="K28">
            <v>3.51</v>
          </cell>
          <cell r="M28">
            <v>8</v>
          </cell>
          <cell r="N28">
            <v>0.15790000000000001</v>
          </cell>
          <cell r="O28">
            <v>0.18590000000000001</v>
          </cell>
          <cell r="P28">
            <v>0.1719</v>
          </cell>
          <cell r="Q28">
            <v>7.2190000000000003</v>
          </cell>
          <cell r="R28">
            <v>7.0810000000000004</v>
          </cell>
          <cell r="S28">
            <v>35.216999999999999</v>
          </cell>
          <cell r="T28">
            <v>34.543999999999997</v>
          </cell>
          <cell r="U28">
            <v>4.3662999999999998</v>
          </cell>
          <cell r="V28">
            <v>4.0063000000000004</v>
          </cell>
          <cell r="W28">
            <v>4.7263000000000002</v>
          </cell>
        </row>
        <row r="29">
          <cell r="A29">
            <v>9</v>
          </cell>
          <cell r="B29">
            <v>0.14419999999999999</v>
          </cell>
          <cell r="C29">
            <v>0.16220000000000001</v>
          </cell>
          <cell r="D29">
            <v>0.1532</v>
          </cell>
          <cell r="E29">
            <v>5.8795000000000002</v>
          </cell>
          <cell r="F29"/>
          <cell r="G29">
            <v>6.6139999999999999</v>
          </cell>
          <cell r="H29"/>
          <cell r="I29">
            <v>3.661</v>
          </cell>
          <cell r="J29">
            <v>4.1210000000000004</v>
          </cell>
          <cell r="K29">
            <v>3.891</v>
          </cell>
        </row>
        <row r="30">
          <cell r="A30">
            <v>8</v>
          </cell>
          <cell r="B30">
            <v>0.15909999999999999</v>
          </cell>
          <cell r="C30">
            <v>0.17710000000000001</v>
          </cell>
          <cell r="D30">
            <v>0.1681</v>
          </cell>
          <cell r="E30">
            <v>6.4874000000000001</v>
          </cell>
          <cell r="F30">
            <v>6.875</v>
          </cell>
          <cell r="G30">
            <v>7.2220000000000004</v>
          </cell>
          <cell r="H30"/>
          <cell r="I30">
            <v>4.04</v>
          </cell>
          <cell r="J30">
            <v>4.5</v>
          </cell>
          <cell r="K30">
            <v>4.2699999999999996</v>
          </cell>
        </row>
        <row r="34">
          <cell r="Q34">
            <v>20</v>
          </cell>
          <cell r="R34">
            <v>3</v>
          </cell>
          <cell r="S34" t="str">
            <v xml:space="preserve">25x25x2 </v>
          </cell>
          <cell r="T34">
            <v>8</v>
          </cell>
        </row>
        <row r="35">
          <cell r="Q35">
            <v>32</v>
          </cell>
          <cell r="R35">
            <v>2.5</v>
          </cell>
          <cell r="S35" t="str">
            <v xml:space="preserve">35x35x2.5 </v>
          </cell>
          <cell r="T35">
            <v>10</v>
          </cell>
        </row>
        <row r="36">
          <cell r="Q36">
            <v>40</v>
          </cell>
          <cell r="R36">
            <v>2.5</v>
          </cell>
          <cell r="S36" t="str">
            <v xml:space="preserve">35x35x3 </v>
          </cell>
          <cell r="T36">
            <v>10</v>
          </cell>
        </row>
        <row r="37">
          <cell r="Q37">
            <v>60</v>
          </cell>
          <cell r="R37">
            <v>2</v>
          </cell>
          <cell r="S37" t="str">
            <v xml:space="preserve">40x40x3 </v>
          </cell>
          <cell r="T37">
            <v>12</v>
          </cell>
        </row>
        <row r="38">
          <cell r="Q38">
            <v>61</v>
          </cell>
          <cell r="R38">
            <v>1.5</v>
          </cell>
          <cell r="S38" t="str">
            <v xml:space="preserve">50x50x5 </v>
          </cell>
          <cell r="T38">
            <v>12</v>
          </cell>
        </row>
        <row r="40">
          <cell r="A40">
            <v>28</v>
          </cell>
          <cell r="B40">
            <v>1.6E-2</v>
          </cell>
          <cell r="C40">
            <v>1.5E-3</v>
          </cell>
          <cell r="D40">
            <v>1.4500000000000001E-2</v>
          </cell>
          <cell r="E40">
            <v>1.7500000000000002E-2</v>
          </cell>
          <cell r="F40">
            <v>0.22800000000000001</v>
          </cell>
          <cell r="G40">
            <v>1.1140000000000001</v>
          </cell>
          <cell r="H40"/>
          <cell r="I40">
            <v>0.40679999999999999</v>
          </cell>
          <cell r="J40"/>
          <cell r="K40">
            <v>0.36830000000000002</v>
          </cell>
          <cell r="L40">
            <v>0.44450000000000001</v>
          </cell>
        </row>
        <row r="41">
          <cell r="A41"/>
          <cell r="B41"/>
          <cell r="C41"/>
          <cell r="D41"/>
          <cell r="E41"/>
          <cell r="F41"/>
          <cell r="G41"/>
          <cell r="H41"/>
          <cell r="I41"/>
          <cell r="J41"/>
          <cell r="K41"/>
          <cell r="L41"/>
        </row>
        <row r="42">
          <cell r="A42">
            <v>26</v>
          </cell>
          <cell r="B42">
            <v>0.02</v>
          </cell>
          <cell r="C42">
            <v>2E-3</v>
          </cell>
          <cell r="D42">
            <v>1.7999999999999999E-2</v>
          </cell>
          <cell r="E42">
            <v>2.1999999999999999E-2</v>
          </cell>
          <cell r="F42">
            <v>0.28499999999999998</v>
          </cell>
          <cell r="G42">
            <v>1.393</v>
          </cell>
          <cell r="H42"/>
          <cell r="I42">
            <v>0.50800000000000001</v>
          </cell>
          <cell r="J42"/>
          <cell r="K42">
            <v>0.4572</v>
          </cell>
          <cell r="L42">
            <v>0.55879999999999996</v>
          </cell>
        </row>
        <row r="43">
          <cell r="A43"/>
          <cell r="B43"/>
          <cell r="C43" t="str">
            <v>(0.003)</v>
          </cell>
          <cell r="D43"/>
          <cell r="E43"/>
          <cell r="F43"/>
          <cell r="G43"/>
          <cell r="H43"/>
          <cell r="I43"/>
          <cell r="J43"/>
          <cell r="K43"/>
          <cell r="L43"/>
        </row>
        <row r="44">
          <cell r="A44"/>
          <cell r="B44"/>
          <cell r="C44"/>
          <cell r="D44"/>
          <cell r="E44"/>
          <cell r="F44"/>
          <cell r="G44"/>
          <cell r="H44"/>
          <cell r="I44"/>
          <cell r="J44"/>
          <cell r="K44"/>
          <cell r="L44"/>
        </row>
        <row r="45">
          <cell r="A45">
            <v>24</v>
          </cell>
          <cell r="B45">
            <v>2.4E-2</v>
          </cell>
          <cell r="C45">
            <v>2E-3</v>
          </cell>
          <cell r="D45">
            <v>2.1999999999999999E-2</v>
          </cell>
          <cell r="E45">
            <v>2.5999999999999999E-2</v>
          </cell>
          <cell r="F45">
            <v>0.34200000000000003</v>
          </cell>
          <cell r="G45">
            <v>1.671</v>
          </cell>
          <cell r="H45"/>
          <cell r="I45">
            <v>0.60960000000000003</v>
          </cell>
          <cell r="J45"/>
          <cell r="K45">
            <v>0.55879999999999996</v>
          </cell>
          <cell r="L45">
            <v>0.66039999999999999</v>
          </cell>
        </row>
        <row r="46">
          <cell r="A46"/>
          <cell r="B46"/>
          <cell r="C46" t="str">
            <v>(0.003)</v>
          </cell>
          <cell r="D46"/>
          <cell r="E46"/>
          <cell r="F46"/>
          <cell r="G46"/>
          <cell r="H46"/>
          <cell r="I46"/>
          <cell r="J46"/>
          <cell r="K46"/>
          <cell r="L46"/>
        </row>
        <row r="47">
          <cell r="A47"/>
          <cell r="B47"/>
          <cell r="C47"/>
          <cell r="D47"/>
          <cell r="E47"/>
          <cell r="F47"/>
          <cell r="G47"/>
          <cell r="H47"/>
          <cell r="I47"/>
          <cell r="J47"/>
          <cell r="K47"/>
          <cell r="L47"/>
        </row>
        <row r="48">
          <cell r="A48">
            <v>22</v>
          </cell>
          <cell r="B48">
            <v>2.5000000000000001E-2</v>
          </cell>
          <cell r="C48">
            <v>2E-3</v>
          </cell>
          <cell r="D48">
            <v>2.3E-2</v>
          </cell>
          <cell r="E48">
            <v>2.7E-2</v>
          </cell>
          <cell r="F48">
            <v>0.35599999999999998</v>
          </cell>
          <cell r="G48">
            <v>1.7398</v>
          </cell>
          <cell r="H48"/>
          <cell r="I48">
            <v>0.63500000000000001</v>
          </cell>
          <cell r="J48"/>
          <cell r="K48">
            <v>0.58420000000000005</v>
          </cell>
          <cell r="L48">
            <v>0.68579999999999997</v>
          </cell>
        </row>
        <row r="49">
          <cell r="A49"/>
          <cell r="B49"/>
          <cell r="C49" t="str">
            <v>(0.003)</v>
          </cell>
          <cell r="D49"/>
          <cell r="E49"/>
          <cell r="F49"/>
          <cell r="G49"/>
          <cell r="H49"/>
          <cell r="I49"/>
          <cell r="J49"/>
          <cell r="K49"/>
          <cell r="L49"/>
        </row>
        <row r="50">
          <cell r="A50"/>
          <cell r="B50"/>
          <cell r="C50"/>
          <cell r="D50"/>
          <cell r="E50"/>
          <cell r="F50"/>
          <cell r="G50"/>
          <cell r="H50"/>
          <cell r="I50"/>
          <cell r="J50"/>
          <cell r="K50"/>
          <cell r="L50"/>
        </row>
        <row r="51">
          <cell r="A51">
            <v>20</v>
          </cell>
          <cell r="B51">
            <v>3.2000000000000001E-2</v>
          </cell>
          <cell r="C51">
            <v>2.5000000000000001E-3</v>
          </cell>
          <cell r="D51">
            <v>2.9499999999999998E-2</v>
          </cell>
          <cell r="E51">
            <v>3.4500000000000003E-2</v>
          </cell>
          <cell r="F51">
            <v>0.45600000000000002</v>
          </cell>
          <cell r="G51">
            <v>2.2280000000000002</v>
          </cell>
          <cell r="H51"/>
          <cell r="I51">
            <v>0.81279999999999997</v>
          </cell>
          <cell r="J51"/>
          <cell r="K51">
            <v>0.74929999999999997</v>
          </cell>
          <cell r="L51">
            <v>0.87629999999999997</v>
          </cell>
        </row>
        <row r="52">
          <cell r="A52"/>
          <cell r="B52"/>
          <cell r="C52" t="str">
            <v>(0.0035)</v>
          </cell>
          <cell r="D52"/>
          <cell r="E52"/>
          <cell r="F52"/>
          <cell r="G52"/>
          <cell r="H52"/>
          <cell r="I52"/>
          <cell r="J52"/>
          <cell r="K52"/>
          <cell r="L52"/>
        </row>
        <row r="53">
          <cell r="A53"/>
          <cell r="B53"/>
          <cell r="C53"/>
          <cell r="D53"/>
          <cell r="E53"/>
          <cell r="F53"/>
          <cell r="G53"/>
          <cell r="H53"/>
          <cell r="I53"/>
          <cell r="J53"/>
          <cell r="K53"/>
          <cell r="L53"/>
        </row>
        <row r="54">
          <cell r="A54">
            <v>18</v>
          </cell>
          <cell r="B54">
            <v>0.04</v>
          </cell>
          <cell r="C54">
            <v>3.5000000000000001E-3</v>
          </cell>
          <cell r="D54">
            <v>3.6499999999999998E-2</v>
          </cell>
          <cell r="E54">
            <v>4.3499999999999997E-2</v>
          </cell>
          <cell r="F54">
            <v>0.56999999999999995</v>
          </cell>
          <cell r="G54">
            <v>2.786</v>
          </cell>
          <cell r="H54"/>
          <cell r="I54">
            <v>1.1015999999999999</v>
          </cell>
          <cell r="J54"/>
          <cell r="K54">
            <v>0.92710000000000004</v>
          </cell>
          <cell r="L54">
            <v>1.1049</v>
          </cell>
        </row>
        <row r="55">
          <cell r="A55"/>
          <cell r="B55"/>
          <cell r="C55" t="str">
            <v>(0.0045)</v>
          </cell>
          <cell r="D55"/>
          <cell r="E55"/>
          <cell r="F55"/>
          <cell r="G55"/>
          <cell r="H55"/>
          <cell r="I55"/>
          <cell r="J55"/>
          <cell r="K55"/>
          <cell r="L55"/>
        </row>
        <row r="56">
          <cell r="A56"/>
          <cell r="B56"/>
          <cell r="C56"/>
          <cell r="D56"/>
          <cell r="E56"/>
          <cell r="F56"/>
          <cell r="G56"/>
          <cell r="H56"/>
          <cell r="I56"/>
          <cell r="J56"/>
          <cell r="K56"/>
          <cell r="L56"/>
        </row>
        <row r="57">
          <cell r="A57">
            <v>16</v>
          </cell>
          <cell r="B57">
            <v>0.05</v>
          </cell>
          <cell r="C57">
            <v>3.5000000000000001E-3</v>
          </cell>
          <cell r="D57">
            <v>4.65E-2</v>
          </cell>
          <cell r="E57">
            <v>5.3499999999999999E-2</v>
          </cell>
          <cell r="F57">
            <v>0.71299999999999997</v>
          </cell>
          <cell r="G57">
            <v>3.484</v>
          </cell>
          <cell r="H57"/>
          <cell r="I57">
            <v>1.27</v>
          </cell>
          <cell r="J57"/>
          <cell r="K57">
            <v>1.1811</v>
          </cell>
          <cell r="L57">
            <v>1.3589</v>
          </cell>
        </row>
        <row r="58">
          <cell r="A58"/>
          <cell r="B58"/>
          <cell r="C58" t="str">
            <v>(0.005)</v>
          </cell>
          <cell r="D58"/>
          <cell r="E58"/>
          <cell r="F58"/>
          <cell r="G58"/>
          <cell r="H58"/>
          <cell r="I58"/>
          <cell r="J58"/>
          <cell r="K58"/>
          <cell r="L58"/>
        </row>
        <row r="59">
          <cell r="A59"/>
          <cell r="B59"/>
          <cell r="C59"/>
          <cell r="D59"/>
          <cell r="E59"/>
          <cell r="F59"/>
          <cell r="G59"/>
          <cell r="H59"/>
          <cell r="I59"/>
          <cell r="J59"/>
          <cell r="K59"/>
          <cell r="L59"/>
        </row>
        <row r="60">
          <cell r="A60">
            <v>14</v>
          </cell>
          <cell r="B60">
            <v>6.3E-2</v>
          </cell>
          <cell r="C60">
            <v>3.5000000000000001E-3</v>
          </cell>
          <cell r="D60">
            <v>5.9499999999999997E-2</v>
          </cell>
          <cell r="E60">
            <v>6.6500000000000004E-2</v>
          </cell>
          <cell r="F60">
            <v>0.89800000000000002</v>
          </cell>
          <cell r="G60">
            <v>4.3890000000000002</v>
          </cell>
          <cell r="H60"/>
          <cell r="I60">
            <v>1.6</v>
          </cell>
          <cell r="J60"/>
          <cell r="K60">
            <v>1.5113000000000001</v>
          </cell>
          <cell r="L60">
            <v>1.6891</v>
          </cell>
        </row>
        <row r="61">
          <cell r="A61"/>
          <cell r="B61"/>
          <cell r="C61" t="str">
            <v>(0.005)</v>
          </cell>
          <cell r="D61"/>
          <cell r="E61"/>
          <cell r="F61"/>
          <cell r="G61"/>
          <cell r="H61"/>
          <cell r="I61"/>
          <cell r="J61"/>
          <cell r="K61"/>
          <cell r="L61"/>
        </row>
        <row r="62">
          <cell r="A62"/>
          <cell r="B62"/>
          <cell r="C62"/>
          <cell r="D62"/>
          <cell r="E62"/>
          <cell r="F62"/>
          <cell r="G62"/>
          <cell r="H62"/>
          <cell r="I62"/>
          <cell r="J62"/>
          <cell r="K62"/>
          <cell r="L62"/>
        </row>
        <row r="63">
          <cell r="A63">
            <v>12</v>
          </cell>
          <cell r="B63">
            <v>0.08</v>
          </cell>
          <cell r="C63">
            <v>4.4999999999999997E-3</v>
          </cell>
          <cell r="D63">
            <v>7.5499999999999998E-2</v>
          </cell>
          <cell r="E63">
            <v>8.4500000000000006E-2</v>
          </cell>
          <cell r="F63">
            <v>1.1399999999999999</v>
          </cell>
          <cell r="G63">
            <v>5.5709999999999997</v>
          </cell>
          <cell r="H63"/>
          <cell r="I63">
            <v>2.032</v>
          </cell>
          <cell r="J63"/>
          <cell r="K63">
            <v>1.9117</v>
          </cell>
          <cell r="L63">
            <v>2.1463000000000001</v>
          </cell>
        </row>
        <row r="64">
          <cell r="A64"/>
          <cell r="B64"/>
          <cell r="C64" t="str">
            <v>(0.006)</v>
          </cell>
          <cell r="D64"/>
          <cell r="E64"/>
          <cell r="F64"/>
          <cell r="G64"/>
          <cell r="H64"/>
          <cell r="I64"/>
          <cell r="J64"/>
          <cell r="K64"/>
          <cell r="L64"/>
        </row>
        <row r="65">
          <cell r="A65"/>
          <cell r="B65"/>
          <cell r="C65"/>
          <cell r="D65"/>
          <cell r="E65"/>
          <cell r="F65"/>
          <cell r="G65"/>
          <cell r="H65"/>
          <cell r="I65"/>
          <cell r="J65"/>
          <cell r="K65"/>
          <cell r="L65"/>
        </row>
        <row r="66">
          <cell r="A66">
            <v>10</v>
          </cell>
          <cell r="B66">
            <v>0.09</v>
          </cell>
          <cell r="C66">
            <v>4.4999999999999997E-3</v>
          </cell>
          <cell r="D66">
            <v>8.5500000000000007E-2</v>
          </cell>
          <cell r="E66">
            <v>9.4500000000000001E-2</v>
          </cell>
          <cell r="F66">
            <v>1.2829999999999999</v>
          </cell>
          <cell r="G66">
            <v>6.27</v>
          </cell>
          <cell r="H66"/>
          <cell r="I66">
            <v>2.286</v>
          </cell>
          <cell r="J66"/>
          <cell r="K66">
            <v>2.1717</v>
          </cell>
          <cell r="L66">
            <v>2.4003000000000001</v>
          </cell>
        </row>
        <row r="67">
          <cell r="A67"/>
          <cell r="B67"/>
          <cell r="C67" t="str">
            <v>(0.006)</v>
          </cell>
          <cell r="D67"/>
          <cell r="E67"/>
          <cell r="F67"/>
          <cell r="G67"/>
          <cell r="H67"/>
          <cell r="I67"/>
          <cell r="J67"/>
          <cell r="K67"/>
          <cell r="L67"/>
        </row>
        <row r="68">
          <cell r="A68"/>
          <cell r="B68"/>
          <cell r="C68"/>
          <cell r="D68"/>
          <cell r="E68"/>
          <cell r="F68"/>
          <cell r="G68"/>
          <cell r="H68"/>
          <cell r="I68"/>
          <cell r="J68"/>
          <cell r="K68"/>
          <cell r="L68"/>
        </row>
        <row r="69">
          <cell r="A69">
            <v>8</v>
          </cell>
          <cell r="B69">
            <v>0.1</v>
          </cell>
          <cell r="C69">
            <v>5.4999999999999997E-3</v>
          </cell>
          <cell r="D69">
            <v>9.4500000000000001E-2</v>
          </cell>
          <cell r="E69">
            <v>0.1055</v>
          </cell>
          <cell r="F69">
            <v>1.4259999999999999</v>
          </cell>
          <cell r="G69">
            <v>6.9690000000000003</v>
          </cell>
          <cell r="H69"/>
          <cell r="I69">
            <v>2.54</v>
          </cell>
          <cell r="J69"/>
          <cell r="K69">
            <v>2.4003000000000001</v>
          </cell>
          <cell r="L69">
            <v>2.6797</v>
          </cell>
        </row>
        <row r="70">
          <cell r="A70"/>
          <cell r="B70"/>
          <cell r="C70" t="str">
            <v>(0.007)</v>
          </cell>
          <cell r="D70"/>
          <cell r="E70"/>
          <cell r="F70"/>
          <cell r="G70"/>
          <cell r="H70"/>
          <cell r="I70"/>
          <cell r="J70"/>
          <cell r="K70"/>
          <cell r="L70"/>
        </row>
        <row r="71">
          <cell r="A71"/>
          <cell r="B71"/>
          <cell r="C71"/>
          <cell r="D71"/>
          <cell r="E71"/>
          <cell r="F71"/>
          <cell r="G71"/>
          <cell r="H71"/>
          <cell r="I71"/>
          <cell r="J71"/>
          <cell r="K71"/>
          <cell r="L71"/>
        </row>
        <row r="72">
          <cell r="A72">
            <v>6</v>
          </cell>
          <cell r="B72">
            <v>0.125</v>
          </cell>
          <cell r="C72">
            <v>5.4999999999999997E-3</v>
          </cell>
          <cell r="D72">
            <v>0.1195</v>
          </cell>
          <cell r="E72">
            <v>0.1305</v>
          </cell>
          <cell r="F72">
            <v>1.782</v>
          </cell>
          <cell r="G72">
            <v>8.7089999999999996</v>
          </cell>
          <cell r="H72"/>
          <cell r="I72">
            <v>3.1749999999999998</v>
          </cell>
          <cell r="J72"/>
          <cell r="K72">
            <v>3.0352999999999999</v>
          </cell>
          <cell r="L72">
            <v>3.3147000000000002</v>
          </cell>
        </row>
        <row r="73">
          <cell r="A73"/>
          <cell r="B73"/>
          <cell r="C73" t="str">
            <v>(0.007)</v>
          </cell>
          <cell r="D73"/>
          <cell r="E73"/>
          <cell r="F73"/>
          <cell r="G73"/>
          <cell r="H73"/>
          <cell r="I73"/>
          <cell r="J73"/>
          <cell r="K73"/>
          <cell r="L73"/>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General"/>
    </sheetNames>
    <sheetDataSet>
      <sheetData sheetId="0">
        <row r="1">
          <cell r="B1" t="str">
            <v>[MultiFamily Project]</v>
          </cell>
        </row>
      </sheetData>
      <sheetData sheetId="1"/>
    </sheetDataSet>
  </externalBook>
</externalLink>
</file>

<file path=xl/persons/person.xml><?xml version="1.0" encoding="utf-8"?>
<personList xmlns="http://schemas.microsoft.com/office/spreadsheetml/2018/threadedcomments" xmlns:x="http://schemas.openxmlformats.org/spreadsheetml/2006/main">
  <person displayName="Ian Bird" id="{417E7F80-5993-4F79-99ED-0C8859CD9005}" userId="S::ibird@mercurycontrolac.com::dc7856ee-a7ae-4f69-a8e8-303ec8714c6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56" dT="2025-08-03T02:32:25.02" personId="{417E7F80-5993-4F79-99ED-0C8859CD9005}" id="{9AD75EF9-F274-47C4-BB86-1CF10E30E961}">
    <text>If the unit is 5 tons or more, a smoke detector is required</text>
  </threadedComment>
  <threadedComment ref="R56" dT="2025-08-03T02:32:25.02" personId="{417E7F80-5993-4F79-99ED-0C8859CD9005}" id="{80A5A841-F684-4BDF-B39C-184ADB633A5C}">
    <text>If the unit is 5 tons or more, a smoke detector is required</text>
  </threadedComment>
  <threadedComment ref="S56" dT="2025-08-03T02:32:25.02" personId="{417E7F80-5993-4F79-99ED-0C8859CD9005}" id="{C05AAD93-2478-4899-8956-B3CD8CFF6285}">
    <text>If the unit is 5 tons or more, a smoke detector is required</text>
  </threadedComment>
  <threadedComment ref="AA56" dT="2025-08-03T02:32:25.02" personId="{417E7F80-5993-4F79-99ED-0C8859CD9005}" id="{F8B9A6D9-49DC-4321-94EA-DB68EA9FE8B2}">
    <text>If the unit is 5 tons or more, a smoke detector is required</text>
  </threadedComment>
  <threadedComment ref="AS56" dT="2025-08-03T02:32:25.02" personId="{417E7F80-5993-4F79-99ED-0C8859CD9005}" id="{42C7927E-9C0D-4DC1-9B43-4CEE1B6FA38C}">
    <text>If the unit is 5 tons or more, a smoke detector is required</text>
  </threadedComment>
  <threadedComment ref="T85" dT="2025-08-03T02:32:25.02" personId="{417E7F80-5993-4F79-99ED-0C8859CD9005}" id="{580F285C-A9B0-4F84-862C-A9BF75F2F1CB}">
    <text>If the unit is 5 tons or more, a smoke detector is required</text>
  </threadedComment>
  <threadedComment ref="V85" dT="2025-08-03T02:32:25.02" personId="{417E7F80-5993-4F79-99ED-0C8859CD9005}" id="{985779CA-6A0F-4D42-9895-01E2C9179422}">
    <text>If the unit is 5 tons or more, a smoke detector is required</text>
  </threadedComment>
  <threadedComment ref="AI85" dT="2025-08-03T02:32:25.02" personId="{417E7F80-5993-4F79-99ED-0C8859CD9005}" id="{3DAC100D-CEA3-4DF2-8BC8-9504648B8C8A}">
    <text>If the unit is 5 tons or more, a smoke detector is required</text>
  </threadedComment>
  <threadedComment ref="AZ85" dT="2025-08-03T02:32:25.02" personId="{417E7F80-5993-4F79-99ED-0C8859CD9005}" id="{B533AAE6-2939-47D6-9558-794577681285}">
    <text>If the unit is 5 tons or more, a smoke detector is required</text>
  </threadedComment>
  <threadedComment ref="N143" dT="2025-08-09T21:22:22.82" personId="{417E7F80-5993-4F79-99ED-0C8859CD9005}" id="{DDEB4996-2641-496F-8B7A-2828FDF7DEF7}">
    <text>Most VRF units don’t require a secondary drain pan</text>
  </threadedComment>
  <threadedComment ref="R143" dT="2025-08-03T02:32:25.02" personId="{417E7F80-5993-4F79-99ED-0C8859CD9005}" id="{32A2F9E6-7688-4C06-99C3-3EC046044643}">
    <text>If the unit is 5 tons or more, a smoke detector is required</text>
  </threadedComment>
  <threadedComment ref="AA143" dT="2025-08-03T02:32:25.02" personId="{417E7F80-5993-4F79-99ED-0C8859CD9005}" id="{027808DC-0113-44BF-B840-B12F956CBFC3}">
    <text>If the unit is 5 tons or more, a smoke detector is required</text>
  </threadedComment>
  <threadedComment ref="AO143" dT="2025-08-03T02:32:25.02" personId="{417E7F80-5993-4F79-99ED-0C8859CD9005}" id="{25463C9B-25D9-47DD-9128-D6ED815C8F92}">
    <text>If the unit is 5 tons or more, a smoke detector is required</text>
  </threadedComment>
</ThreadedComments>
</file>

<file path=xl/threadedComments/threadedComment2.xml><?xml version="1.0" encoding="utf-8"?>
<ThreadedComments xmlns="http://schemas.microsoft.com/office/spreadsheetml/2018/threadedcomments" xmlns:x="http://schemas.openxmlformats.org/spreadsheetml/2006/main">
  <threadedComment ref="F4" dT="2026-01-25T04:24:28.76" personId="{417E7F80-5993-4F79-99ED-0C8859CD9005}" id="{9710EFF9-701F-485C-BD89-99BA6EF5E3F1}">
    <text>Small, Large, Enormous:  Approximate the system project labor installation cost</text>
  </threadedComment>
</ThreadedComments>
</file>

<file path=xl/threadedComments/threadedComment3.xml><?xml version="1.0" encoding="utf-8"?>
<ThreadedComments xmlns="http://schemas.microsoft.com/office/spreadsheetml/2018/threadedcomments" xmlns:x="http://schemas.openxmlformats.org/spreadsheetml/2006/main">
  <threadedComment ref="F4" dT="2026-01-25T04:24:28.76" personId="{417E7F80-5993-4F79-99ED-0C8859CD9005}" id="{114700D1-5775-4ADA-BFEA-31873DCDE43D}">
    <text>Small, Large, Enormous:  Approximate the system project labor installation cost</text>
  </threadedComment>
  <threadedComment ref="F49" dT="2026-01-25T04:24:28.76" personId="{417E7F80-5993-4F79-99ED-0C8859CD9005}" id="{C7FD9F8C-AB0B-4AA4-AF48-E98485DB3226}">
    <text>Small, Large, Enormous:  Approximate the system project labor installation cost</text>
  </threadedComment>
</ThreadedComments>
</file>

<file path=xl/threadedComments/threadedComment4.xml><?xml version="1.0" encoding="utf-8"?>
<ThreadedComments xmlns="http://schemas.microsoft.com/office/spreadsheetml/2018/threadedcomments" xmlns:x="http://schemas.openxmlformats.org/spreadsheetml/2006/main">
  <threadedComment ref="V2" dT="2025-09-21T19:47:53.27" personId="{417E7F80-5993-4F79-99ED-0C8859CD9005}" id="{626BC2AB-41C1-4160-9864-C19EE5E87ACB}">
    <text xml:space="preserve">Miscellaneous materials rate compared to duct board and flex </text>
  </threadedComment>
  <threadedComment ref="T3" dT="2025-09-21T20:18:59.43" personId="{417E7F80-5993-4F79-99ED-0C8859CD9005}" id="{B9EB9AF4-699C-4E77-854D-B33CD98BD57A}">
    <text>Assumed 2 collars for each flex run</text>
  </threadedComment>
  <threadedComment ref="U3" dT="2025-09-21T20:18:20.41" personId="{417E7F80-5993-4F79-99ED-0C8859CD9005}" id="{7B2BD8FA-AA7C-40C1-8B34-A2DD32C5B40A}">
    <text>Supply and return plenum (box) assumed for round flex duct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7.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8.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AB64B-1B32-496B-94AA-AEC8933D32F1}">
  <sheetPr codeName="Sheet1"/>
  <dimension ref="C1:W67"/>
  <sheetViews>
    <sheetView showGridLines="0" tabSelected="1" zoomScale="75" zoomScaleNormal="75" workbookViewId="0"/>
  </sheetViews>
  <sheetFormatPr defaultRowHeight="15"/>
  <cols>
    <col min="1" max="1" width="2.140625" customWidth="1"/>
    <col min="2" max="2" width="3.28515625" customWidth="1"/>
    <col min="3" max="3" width="34.5703125" customWidth="1"/>
    <col min="4" max="6" width="15.7109375" customWidth="1"/>
    <col min="7" max="7" width="14.42578125" bestFit="1" customWidth="1"/>
    <col min="8" max="8" width="16" bestFit="1" customWidth="1"/>
    <col min="9" max="9" width="20.7109375" style="6" bestFit="1" customWidth="1"/>
    <col min="10" max="10" width="11.7109375" style="5" customWidth="1"/>
    <col min="11" max="11" width="14.7109375" style="4" bestFit="1" customWidth="1"/>
    <col min="12" max="12" width="8.28515625" customWidth="1"/>
    <col min="13" max="13" width="19" customWidth="1"/>
    <col min="14" max="14" width="12.42578125" customWidth="1"/>
    <col min="15" max="15" width="13" customWidth="1"/>
    <col min="16" max="16" width="58.42578125" bestFit="1" customWidth="1"/>
    <col min="17" max="17" width="14.42578125" bestFit="1" customWidth="1"/>
    <col min="18" max="18" width="16.85546875" bestFit="1" customWidth="1"/>
    <col min="19" max="20" width="11.5703125" bestFit="1" customWidth="1"/>
    <col min="22" max="22" width="12" bestFit="1" customWidth="1"/>
    <col min="23" max="23" width="16" bestFit="1" customWidth="1"/>
  </cols>
  <sheetData>
    <row r="1" spans="3:23" ht="18.75">
      <c r="C1" s="160"/>
      <c r="D1" s="161"/>
      <c r="E1" s="161"/>
    </row>
    <row r="2" spans="3:23">
      <c r="I2"/>
      <c r="J2"/>
      <c r="K2"/>
    </row>
    <row r="3" spans="3:23">
      <c r="C3" s="96" t="s">
        <v>0</v>
      </c>
      <c r="D3" s="210" t="s">
        <v>1</v>
      </c>
      <c r="E3" s="126" t="s">
        <v>2</v>
      </c>
      <c r="I3"/>
      <c r="J3"/>
      <c r="K3"/>
    </row>
    <row r="4" spans="3:23">
      <c r="C4" s="207" t="s">
        <v>3</v>
      </c>
      <c r="D4" s="209" t="s">
        <v>4</v>
      </c>
      <c r="E4" s="126" t="s">
        <v>5</v>
      </c>
      <c r="I4"/>
      <c r="J4"/>
      <c r="K4"/>
    </row>
    <row r="5" spans="3:23">
      <c r="C5" s="207" t="s">
        <v>6</v>
      </c>
      <c r="D5" s="209" t="s">
        <v>7</v>
      </c>
      <c r="E5" s="126" t="s">
        <v>8</v>
      </c>
      <c r="I5"/>
      <c r="J5"/>
      <c r="K5"/>
    </row>
    <row r="6" spans="3:23">
      <c r="C6" s="686" t="s">
        <v>9</v>
      </c>
      <c r="D6" s="684" t="s">
        <v>10</v>
      </c>
      <c r="E6" s="126" t="s">
        <v>11</v>
      </c>
      <c r="I6"/>
      <c r="J6"/>
      <c r="K6"/>
    </row>
    <row r="7" spans="3:23">
      <c r="C7" s="683"/>
      <c r="D7" s="685">
        <f>INDEX($W$10:$W$18,MATCH($D$6,$V$10:$V$18,0),1)</f>
        <v>1</v>
      </c>
      <c r="E7" s="126" t="s">
        <v>12</v>
      </c>
      <c r="I7"/>
      <c r="J7"/>
      <c r="K7"/>
    </row>
    <row r="8" spans="3:23">
      <c r="I8"/>
      <c r="J8"/>
      <c r="K8"/>
    </row>
    <row r="9" spans="3:23">
      <c r="C9" s="117" t="s">
        <v>13</v>
      </c>
      <c r="D9" s="117" t="s">
        <v>14</v>
      </c>
      <c r="E9" s="107" t="s">
        <v>15</v>
      </c>
      <c r="F9" s="107" t="s">
        <v>16</v>
      </c>
      <c r="G9" s="117" t="s">
        <v>17</v>
      </c>
      <c r="H9" s="107" t="s">
        <v>18</v>
      </c>
      <c r="I9" s="107" t="s">
        <v>19</v>
      </c>
      <c r="J9" s="107" t="s">
        <v>20</v>
      </c>
      <c r="K9" s="107" t="s">
        <v>21</v>
      </c>
      <c r="M9" s="69" t="s">
        <v>22</v>
      </c>
      <c r="N9" s="60">
        <f>'Unit Sched'!D12</f>
        <v>0</v>
      </c>
      <c r="O9" s="70" t="s">
        <v>23</v>
      </c>
      <c r="R9" s="35" t="s">
        <v>24</v>
      </c>
      <c r="S9" s="35" t="s">
        <v>3</v>
      </c>
      <c r="T9" s="35" t="s">
        <v>6</v>
      </c>
      <c r="V9" s="35" t="s">
        <v>25</v>
      </c>
      <c r="W9" s="35" t="s">
        <v>26</v>
      </c>
    </row>
    <row r="10" spans="3:23">
      <c r="C10" s="67" t="s">
        <v>27</v>
      </c>
      <c r="D10" s="290">
        <f>General!C14</f>
        <v>2592.5</v>
      </c>
      <c r="E10" s="29">
        <f>General!D14</f>
        <v>0</v>
      </c>
      <c r="F10" s="29">
        <f>SUM(D10:E10)</f>
        <v>2592.5</v>
      </c>
      <c r="G10" s="290">
        <f t="shared" ref="G10:H15" si="0">IFERROR(D10/$N$9,0)</f>
        <v>0</v>
      </c>
      <c r="H10" s="29">
        <f t="shared" si="0"/>
        <v>0</v>
      </c>
      <c r="I10" s="677">
        <f t="shared" ref="I10:I15" si="1">H10+G10</f>
        <v>0</v>
      </c>
      <c r="J10" s="156" t="str">
        <f t="shared" ref="J10:J20" si="2">IFERROR(I10/$I$23,"")</f>
        <v/>
      </c>
      <c r="K10" s="167"/>
      <c r="R10" s="195" t="s">
        <v>1</v>
      </c>
      <c r="S10" s="195" t="s">
        <v>28</v>
      </c>
      <c r="T10" s="195" t="s">
        <v>29</v>
      </c>
      <c r="V10" s="195" t="s">
        <v>30</v>
      </c>
      <c r="W10" s="195">
        <v>1.1000000000000001</v>
      </c>
    </row>
    <row r="11" spans="3:23">
      <c r="C11" s="73" t="s">
        <v>31</v>
      </c>
      <c r="D11" s="111">
        <f>'Unit Sched'!G12</f>
        <v>0</v>
      </c>
      <c r="E11" s="27">
        <f>'Unit Sched'!H12</f>
        <v>0</v>
      </c>
      <c r="F11" s="27">
        <f t="shared" ref="F11:F16" si="3">SUM(D11:E11)</f>
        <v>0</v>
      </c>
      <c r="G11" s="111">
        <f t="shared" si="0"/>
        <v>0</v>
      </c>
      <c r="H11" s="27">
        <f t="shared" si="0"/>
        <v>0</v>
      </c>
      <c r="I11" s="158">
        <f t="shared" si="1"/>
        <v>0</v>
      </c>
      <c r="J11" s="156" t="str">
        <f t="shared" si="2"/>
        <v/>
      </c>
      <c r="K11" s="168"/>
      <c r="M11" s="333" t="s">
        <v>32</v>
      </c>
      <c r="N11" s="334"/>
      <c r="O11" s="334"/>
      <c r="P11" s="335"/>
      <c r="R11" s="195" t="s">
        <v>33</v>
      </c>
      <c r="S11" s="195" t="s">
        <v>4</v>
      </c>
      <c r="T11" s="195" t="s">
        <v>7</v>
      </c>
      <c r="V11" s="195" t="s">
        <v>34</v>
      </c>
      <c r="W11" s="195">
        <v>1</v>
      </c>
    </row>
    <row r="12" spans="3:23">
      <c r="C12" s="73" t="s">
        <v>35</v>
      </c>
      <c r="D12" s="111">
        <f>'CW Pipe Sched'!O413</f>
        <v>0</v>
      </c>
      <c r="E12" s="27">
        <f>'CW Pipe Sched'!R413</f>
        <v>0</v>
      </c>
      <c r="F12" s="27">
        <f t="shared" si="3"/>
        <v>0</v>
      </c>
      <c r="G12" s="111">
        <f t="shared" si="0"/>
        <v>0</v>
      </c>
      <c r="H12" s="27">
        <f t="shared" si="0"/>
        <v>0</v>
      </c>
      <c r="I12" s="158">
        <f t="shared" si="1"/>
        <v>0</v>
      </c>
      <c r="J12" s="156" t="str">
        <f t="shared" si="2"/>
        <v/>
      </c>
      <c r="K12" s="168"/>
      <c r="M12" s="205" t="s">
        <v>36</v>
      </c>
      <c r="N12" s="205" t="s">
        <v>37</v>
      </c>
      <c r="O12" s="101" t="s">
        <v>38</v>
      </c>
      <c r="P12" s="64" t="s">
        <v>39</v>
      </c>
      <c r="R12" s="195" t="s">
        <v>40</v>
      </c>
      <c r="S12" s="195" t="s">
        <v>41</v>
      </c>
      <c r="T12" s="195"/>
      <c r="V12" s="195" t="s">
        <v>42</v>
      </c>
      <c r="W12" s="195">
        <v>1.1499999999999999</v>
      </c>
    </row>
    <row r="13" spans="3:23">
      <c r="C13" s="73" t="s">
        <v>43</v>
      </c>
      <c r="D13" s="111">
        <f>'VAV Schedule'!L37</f>
        <v>0</v>
      </c>
      <c r="E13" s="27">
        <f>'VAV Schedule'!M37</f>
        <v>0</v>
      </c>
      <c r="F13" s="27">
        <f t="shared" si="3"/>
        <v>0</v>
      </c>
      <c r="G13" s="111">
        <f t="shared" si="0"/>
        <v>0</v>
      </c>
      <c r="H13" s="27">
        <f t="shared" si="0"/>
        <v>0</v>
      </c>
      <c r="I13" s="158">
        <f t="shared" si="1"/>
        <v>0</v>
      </c>
      <c r="J13" s="156" t="str">
        <f t="shared" si="2"/>
        <v/>
      </c>
      <c r="K13" s="168"/>
      <c r="M13" s="1" t="s">
        <v>44</v>
      </c>
      <c r="N13" s="329">
        <v>0.1</v>
      </c>
      <c r="O13" s="27"/>
      <c r="P13" t="s">
        <v>45</v>
      </c>
      <c r="R13" s="115"/>
      <c r="S13" s="115"/>
      <c r="T13" s="115"/>
      <c r="V13" s="195" t="s">
        <v>46</v>
      </c>
      <c r="W13" s="195">
        <v>1.1000000000000001</v>
      </c>
    </row>
    <row r="14" spans="3:23">
      <c r="C14" s="73" t="s">
        <v>47</v>
      </c>
      <c r="D14" s="111">
        <f>'Electric Heat Sched'!G24</f>
        <v>0</v>
      </c>
      <c r="E14" s="27">
        <f>'Electric Heat Sched'!H24</f>
        <v>0</v>
      </c>
      <c r="F14" s="27">
        <f t="shared" ref="F14" si="4">SUM(D14:E14)</f>
        <v>0</v>
      </c>
      <c r="G14" s="111">
        <f t="shared" si="0"/>
        <v>0</v>
      </c>
      <c r="H14" s="27">
        <f t="shared" si="0"/>
        <v>0</v>
      </c>
      <c r="I14" s="158">
        <f t="shared" si="1"/>
        <v>0</v>
      </c>
      <c r="J14" s="156" t="str">
        <f t="shared" si="2"/>
        <v/>
      </c>
      <c r="K14" s="168"/>
      <c r="M14" s="1" t="s">
        <v>48</v>
      </c>
      <c r="N14" s="329">
        <v>0.5</v>
      </c>
      <c r="O14" s="27"/>
      <c r="P14" t="s">
        <v>49</v>
      </c>
      <c r="V14" s="195" t="s">
        <v>10</v>
      </c>
      <c r="W14" s="195">
        <v>1</v>
      </c>
    </row>
    <row r="15" spans="3:23">
      <c r="C15" s="73" t="s">
        <v>50</v>
      </c>
      <c r="D15" s="111">
        <f>'Fan Schedule'!M30</f>
        <v>0</v>
      </c>
      <c r="E15" s="27">
        <f>'Fan Schedule'!P30</f>
        <v>0</v>
      </c>
      <c r="F15" s="27">
        <f t="shared" si="3"/>
        <v>0</v>
      </c>
      <c r="G15" s="111">
        <f t="shared" si="0"/>
        <v>0</v>
      </c>
      <c r="H15" s="27">
        <f t="shared" si="0"/>
        <v>0</v>
      </c>
      <c r="I15" s="158">
        <f t="shared" si="1"/>
        <v>0</v>
      </c>
      <c r="J15" s="156" t="str">
        <f t="shared" si="2"/>
        <v/>
      </c>
      <c r="K15" s="168"/>
      <c r="M15" s="1" t="s">
        <v>51</v>
      </c>
      <c r="N15" s="330">
        <f>INDEX($R$17:$R$43,MATCH($E$23,$T$17:$T$43,1))</f>
        <v>1000</v>
      </c>
      <c r="P15" t="s">
        <v>52</v>
      </c>
      <c r="V15" s="195" t="s">
        <v>53</v>
      </c>
      <c r="W15" s="195">
        <v>1.1000000000000001</v>
      </c>
    </row>
    <row r="16" spans="3:23">
      <c r="C16" s="73" t="s">
        <v>54</v>
      </c>
      <c r="D16" s="111">
        <f>'Louvers &amp; FD'!M30+'Louvers &amp; FD'!M75</f>
        <v>0</v>
      </c>
      <c r="E16" s="27">
        <f>'Louvers &amp; FD'!P30+'Louvers &amp; FD'!P75</f>
        <v>0</v>
      </c>
      <c r="F16" s="27">
        <f t="shared" si="3"/>
        <v>0</v>
      </c>
      <c r="G16" s="111">
        <f t="shared" ref="G16" si="5">IFERROR(D16/$N$9,0)</f>
        <v>0</v>
      </c>
      <c r="H16" s="27">
        <f t="shared" ref="H16" si="6">IFERROR(E16/$N$9,0)</f>
        <v>0</v>
      </c>
      <c r="I16" s="158">
        <f t="shared" ref="I16" si="7">H16+G16</f>
        <v>0</v>
      </c>
      <c r="J16" s="156" t="str">
        <f t="shared" si="2"/>
        <v/>
      </c>
      <c r="K16" s="168"/>
      <c r="M16" s="1" t="s">
        <v>28</v>
      </c>
      <c r="N16" s="204">
        <v>-0.02</v>
      </c>
      <c r="O16" s="27"/>
      <c r="R16" s="78" t="s">
        <v>55</v>
      </c>
      <c r="S16" s="75" t="s">
        <v>56</v>
      </c>
      <c r="T16" s="162" t="s">
        <v>57</v>
      </c>
      <c r="V16" s="195" t="s">
        <v>58</v>
      </c>
      <c r="W16" s="195">
        <v>0.9</v>
      </c>
    </row>
    <row r="17" spans="3:23">
      <c r="C17" s="73" t="s">
        <v>59</v>
      </c>
      <c r="D17" s="111">
        <f>'Metal Duct'!W754+'Unit Sched'!J12</f>
        <v>0</v>
      </c>
      <c r="E17" s="27">
        <f>'Metal Duct'!X754+'Unit Sched'!K12</f>
        <v>0</v>
      </c>
      <c r="F17" s="27">
        <f>SUM(D17:E17)</f>
        <v>0</v>
      </c>
      <c r="G17" s="111">
        <f>IFERROR(D17/$N$9,0)</f>
        <v>0</v>
      </c>
      <c r="H17" s="27">
        <f>IFERROR(E17/$N$9,0)</f>
        <v>0</v>
      </c>
      <c r="I17" s="158">
        <f>H17+G17</f>
        <v>0</v>
      </c>
      <c r="J17" s="154" t="str">
        <f t="shared" si="2"/>
        <v/>
      </c>
      <c r="K17" s="168"/>
      <c r="M17" s="1" t="s">
        <v>4</v>
      </c>
      <c r="N17" s="204">
        <v>0</v>
      </c>
      <c r="O17" s="27"/>
      <c r="R17" s="111">
        <v>1000</v>
      </c>
      <c r="S17" s="27">
        <v>0</v>
      </c>
      <c r="T17" s="394">
        <v>0</v>
      </c>
      <c r="V17" s="195" t="s">
        <v>60</v>
      </c>
      <c r="W17" s="195">
        <v>1.1000000000000001</v>
      </c>
    </row>
    <row r="18" spans="3:23">
      <c r="C18" s="72" t="s">
        <v>61</v>
      </c>
      <c r="D18" s="155">
        <f>'Diffuser Schedule'!L24</f>
        <v>0</v>
      </c>
      <c r="E18" s="103">
        <f>'Diffuser Schedule'!M24</f>
        <v>0</v>
      </c>
      <c r="F18" s="103">
        <f>SUM(D18:E18)</f>
        <v>0</v>
      </c>
      <c r="G18" s="155">
        <f>IFERROR(D18/$N$9,0)</f>
        <v>0</v>
      </c>
      <c r="H18" s="103">
        <f>IFERROR(E18/$N$9,0)</f>
        <v>0</v>
      </c>
      <c r="I18" s="159">
        <f>H18+G18</f>
        <v>0</v>
      </c>
      <c r="J18" s="154" t="str">
        <f t="shared" si="2"/>
        <v/>
      </c>
      <c r="K18" s="168"/>
      <c r="M18" s="101" t="s">
        <v>41</v>
      </c>
      <c r="N18" s="206">
        <v>0.02</v>
      </c>
      <c r="O18" s="211"/>
      <c r="P18" s="64"/>
      <c r="R18" s="111">
        <v>1000</v>
      </c>
      <c r="S18" s="27">
        <v>10000</v>
      </c>
      <c r="T18" s="394">
        <f>S18*0.35</f>
        <v>3500</v>
      </c>
      <c r="V18" s="196" t="s">
        <v>62</v>
      </c>
      <c r="W18" s="196">
        <v>1.1000000000000001</v>
      </c>
    </row>
    <row r="19" spans="3:23">
      <c r="C19" s="678" t="s">
        <v>63</v>
      </c>
      <c r="D19" s="679"/>
      <c r="E19" s="680"/>
      <c r="F19" s="680">
        <f t="shared" ref="F19" si="8">SUM(D19:E19)</f>
        <v>0</v>
      </c>
      <c r="G19" s="679">
        <f t="shared" ref="G19" si="9">IFERROR(D19/$N$9,0)</f>
        <v>0</v>
      </c>
      <c r="H19" s="680">
        <f t="shared" ref="H19" si="10">IFERROR(E19/$N$9,0)</f>
        <v>0</v>
      </c>
      <c r="I19" s="681">
        <f t="shared" ref="I19" si="11">H19+G19</f>
        <v>0</v>
      </c>
      <c r="J19" s="154" t="str">
        <f t="shared" si="2"/>
        <v/>
      </c>
      <c r="K19" s="168"/>
      <c r="M19" s="1" t="s">
        <v>64</v>
      </c>
      <c r="N19" s="327">
        <f>INDEX($N$16:$N$18,MATCH($D$4,$M$16:$M$18,0),1)+N13</f>
        <v>0.1</v>
      </c>
      <c r="R19" s="111">
        <v>1100</v>
      </c>
      <c r="S19" s="27">
        <v>15000</v>
      </c>
      <c r="T19" s="394">
        <f>S19*0.35</f>
        <v>5250</v>
      </c>
    </row>
    <row r="20" spans="3:23">
      <c r="C20" s="401" t="s">
        <v>65</v>
      </c>
      <c r="D20" s="402"/>
      <c r="E20" s="403"/>
      <c r="F20" s="403">
        <f t="shared" ref="F20" si="12">SUM(D20:E20)</f>
        <v>0</v>
      </c>
      <c r="G20" s="402">
        <f t="shared" ref="G20" si="13">IFERROR(D20/$N$9,0)</f>
        <v>0</v>
      </c>
      <c r="H20" s="403">
        <f t="shared" ref="H20" si="14">IFERROR(E20/$N$9,0)</f>
        <v>0</v>
      </c>
      <c r="I20" s="404">
        <f t="shared" ref="I20" si="15">H20+G20</f>
        <v>0</v>
      </c>
      <c r="J20" s="154" t="str">
        <f t="shared" si="2"/>
        <v/>
      </c>
      <c r="K20" s="168"/>
      <c r="M20" s="331" t="s">
        <v>66</v>
      </c>
      <c r="N20" s="211">
        <f>N15</f>
        <v>1000</v>
      </c>
      <c r="O20" s="211"/>
      <c r="P20" s="64"/>
      <c r="R20" s="111">
        <v>1200</v>
      </c>
      <c r="S20" s="27">
        <v>25000</v>
      </c>
      <c r="T20" s="394">
        <f>S20*0.35</f>
        <v>8750</v>
      </c>
    </row>
    <row r="21" spans="3:23">
      <c r="C21" s="73" t="s">
        <v>67</v>
      </c>
      <c r="K21" s="168"/>
      <c r="R21" s="111">
        <v>1300</v>
      </c>
      <c r="S21" s="27">
        <v>50000</v>
      </c>
      <c r="T21" s="394">
        <f>S21*0.3</f>
        <v>15000</v>
      </c>
    </row>
    <row r="22" spans="3:23">
      <c r="C22" s="73" t="s">
        <v>6</v>
      </c>
      <c r="K22" s="168"/>
      <c r="M22" s="884" t="s">
        <v>68</v>
      </c>
      <c r="N22" s="885"/>
      <c r="O22" s="885"/>
      <c r="P22" s="886"/>
      <c r="R22" s="111">
        <v>1350</v>
      </c>
      <c r="S22" s="395">
        <v>70000</v>
      </c>
      <c r="T22" s="394">
        <f>S22*0.3</f>
        <v>21000</v>
      </c>
    </row>
    <row r="23" spans="3:23">
      <c r="C23" s="116" t="s">
        <v>69</v>
      </c>
      <c r="D23" s="112">
        <f>SUM(D10:D20)</f>
        <v>2592.5</v>
      </c>
      <c r="E23" s="108">
        <f>IF($D$5="y",1.4,1)*SUM(E10:E20)*$D$7</f>
        <v>0</v>
      </c>
      <c r="F23" s="113">
        <f>SUM(D23:E23)</f>
        <v>2592.5</v>
      </c>
      <c r="G23" s="112">
        <f>SUM(G10:G20)</f>
        <v>0</v>
      </c>
      <c r="H23" s="108">
        <f>SUM(H10:H20)</f>
        <v>0</v>
      </c>
      <c r="I23" s="113">
        <f>SUM(I10:I20)</f>
        <v>0</v>
      </c>
      <c r="J23" s="157"/>
      <c r="K23" s="122"/>
      <c r="M23" s="702" t="s">
        <v>36</v>
      </c>
      <c r="N23" s="702" t="s">
        <v>37</v>
      </c>
      <c r="O23" s="703" t="s">
        <v>38</v>
      </c>
      <c r="P23" s="704" t="s">
        <v>39</v>
      </c>
      <c r="R23" s="111">
        <v>1400</v>
      </c>
      <c r="S23" s="27">
        <f t="shared" ref="S23:S38" si="16">S24-10000</f>
        <v>80000</v>
      </c>
      <c r="T23" s="394">
        <f t="shared" ref="T23:T24" si="17">S23*0.3</f>
        <v>24000</v>
      </c>
    </row>
    <row r="24" spans="3:23">
      <c r="M24" s="705" t="s">
        <v>70</v>
      </c>
      <c r="N24" s="706">
        <v>0.8</v>
      </c>
      <c r="O24" s="707">
        <f>ROUND(D23+(1+N24)*E23,-2)</f>
        <v>2600</v>
      </c>
      <c r="P24" s="708" t="s">
        <v>71</v>
      </c>
      <c r="R24" s="111">
        <f t="shared" ref="R24:R41" si="18">R23+100</f>
        <v>1500</v>
      </c>
      <c r="S24" s="27">
        <f t="shared" si="16"/>
        <v>90000</v>
      </c>
      <c r="T24" s="394">
        <f t="shared" si="17"/>
        <v>27000</v>
      </c>
    </row>
    <row r="25" spans="3:23">
      <c r="C25" s="67" t="s">
        <v>72</v>
      </c>
      <c r="D25" s="7" t="s">
        <v>73</v>
      </c>
      <c r="E25" s="66" t="s">
        <v>74</v>
      </c>
      <c r="F25" s="21"/>
      <c r="M25" s="705" t="s">
        <v>75</v>
      </c>
      <c r="N25" s="706">
        <v>2.5</v>
      </c>
      <c r="O25" s="707">
        <f>ROUND(D23+(1+N25)*E23,-2)</f>
        <v>2600</v>
      </c>
      <c r="P25" s="708" t="s">
        <v>76</v>
      </c>
      <c r="R25" s="111">
        <f t="shared" si="18"/>
        <v>1600</v>
      </c>
      <c r="S25" s="27">
        <f t="shared" si="16"/>
        <v>100000</v>
      </c>
      <c r="T25" s="394">
        <f>S25*0.27</f>
        <v>27000</v>
      </c>
    </row>
    <row r="26" spans="3:23">
      <c r="C26" s="682" t="s">
        <v>77</v>
      </c>
      <c r="D26" s="109">
        <f>D23/$F$23</f>
        <v>1</v>
      </c>
      <c r="E26" s="110">
        <f>E23/$F$23</f>
        <v>0</v>
      </c>
      <c r="F26" s="68"/>
      <c r="M26" s="705" t="s">
        <v>28</v>
      </c>
      <c r="N26" s="709">
        <v>0.18</v>
      </c>
      <c r="O26" s="707">
        <f>ROUND($F$23/(1-N26),-2)</f>
        <v>3200</v>
      </c>
      <c r="P26" s="708" t="s">
        <v>78</v>
      </c>
      <c r="R26" s="111">
        <f t="shared" si="18"/>
        <v>1700</v>
      </c>
      <c r="S26" s="27">
        <f t="shared" si="16"/>
        <v>110000</v>
      </c>
      <c r="T26" s="394">
        <f>S26*0.27</f>
        <v>29700.000000000004</v>
      </c>
    </row>
    <row r="27" spans="3:23">
      <c r="M27" s="705" t="s">
        <v>4</v>
      </c>
      <c r="N27" s="709">
        <v>0.2</v>
      </c>
      <c r="O27" s="707">
        <f>ROUND($F$23/(1-N27),-2)</f>
        <v>3200</v>
      </c>
      <c r="P27" s="708" t="s">
        <v>79</v>
      </c>
      <c r="R27" s="111">
        <f t="shared" si="18"/>
        <v>1800</v>
      </c>
      <c r="S27" s="27">
        <f t="shared" si="16"/>
        <v>120000</v>
      </c>
      <c r="T27" s="394">
        <f>S27*0.27</f>
        <v>32400.000000000004</v>
      </c>
    </row>
    <row r="28" spans="3:23">
      <c r="C28" s="126" t="s">
        <v>80</v>
      </c>
      <c r="E28" s="1" t="s">
        <v>81</v>
      </c>
      <c r="G28" t="s">
        <v>82</v>
      </c>
      <c r="M28" s="705" t="s">
        <v>41</v>
      </c>
      <c r="N28" s="709">
        <v>0.22</v>
      </c>
      <c r="O28" s="707">
        <f>ROUND($F$23/(1-N28),-2)</f>
        <v>3300</v>
      </c>
      <c r="P28" s="708" t="s">
        <v>83</v>
      </c>
      <c r="R28" s="111">
        <f t="shared" si="18"/>
        <v>1900</v>
      </c>
      <c r="S28" s="27">
        <f t="shared" si="16"/>
        <v>130000</v>
      </c>
      <c r="T28" s="394">
        <f>S28*0.27</f>
        <v>35100</v>
      </c>
    </row>
    <row r="29" spans="3:23">
      <c r="C29" s="71" t="s">
        <v>84</v>
      </c>
      <c r="D29" s="118">
        <f>(($N$20+$E$23*$N$14)+$F$23)/(1-$N$19)+IF($D$3="Public",0.005*$D23,0)</f>
        <v>3991.6666666666665</v>
      </c>
      <c r="E29" s="118" t="e">
        <f>D29/$N$9</f>
        <v>#DIV/0!</v>
      </c>
      <c r="G29" s="121" t="s">
        <v>85</v>
      </c>
      <c r="H29" s="370">
        <f>IF(D3="Public",0,0.0825)</f>
        <v>8.2500000000000004E-2</v>
      </c>
      <c r="M29" s="710">
        <v>75000</v>
      </c>
      <c r="N29" s="709">
        <f>IF($F$23&gt;M29,0,IF($F$23&gt;=M30,1%,0))</f>
        <v>0</v>
      </c>
      <c r="O29" s="708"/>
      <c r="P29" s="708"/>
      <c r="R29" s="111">
        <f t="shared" si="18"/>
        <v>2000</v>
      </c>
      <c r="S29" s="27">
        <f t="shared" si="16"/>
        <v>140000</v>
      </c>
      <c r="T29" s="394">
        <f t="shared" ref="T29" si="19">S29*0.27</f>
        <v>37800</v>
      </c>
    </row>
    <row r="30" spans="3:23">
      <c r="C30" s="73" t="s">
        <v>86</v>
      </c>
      <c r="D30" s="119">
        <f>D29-F23</f>
        <v>1399.1666666666665</v>
      </c>
      <c r="E30" s="124" t="e">
        <f>D30/$N$9</f>
        <v>#DIV/0!</v>
      </c>
      <c r="G30" s="123" t="s">
        <v>87</v>
      </c>
      <c r="H30" s="371">
        <v>0</v>
      </c>
      <c r="M30" s="710">
        <v>50000</v>
      </c>
      <c r="N30" s="709">
        <f>IF(SUM(N$29:N29)&gt;0,0,IF($F$23&gt;M30,0,IF($F$23&gt;=M31,2%,0)))</f>
        <v>0</v>
      </c>
      <c r="O30" s="708"/>
      <c r="P30" s="708"/>
      <c r="R30" s="111">
        <f t="shared" si="18"/>
        <v>2100</v>
      </c>
      <c r="S30" s="27">
        <f t="shared" si="16"/>
        <v>150000</v>
      </c>
      <c r="T30" s="394">
        <f>S30*0.25</f>
        <v>37500</v>
      </c>
    </row>
    <row r="31" spans="3:23">
      <c r="C31" s="72" t="s">
        <v>3</v>
      </c>
      <c r="D31" s="120">
        <f>D30/D29</f>
        <v>0.35052192066805843</v>
      </c>
      <c r="M31" s="710">
        <v>25000</v>
      </c>
      <c r="N31" s="709">
        <f>IF(SUM(N$29:N30)&gt;0,0,IF($F$23&gt;M31,0,IF($F$23&gt;=M32,3%,0)))</f>
        <v>0</v>
      </c>
      <c r="O31" s="708"/>
      <c r="P31" s="708"/>
      <c r="R31" s="111">
        <f t="shared" si="18"/>
        <v>2200</v>
      </c>
      <c r="S31" s="27">
        <f t="shared" si="16"/>
        <v>160000</v>
      </c>
      <c r="T31" s="394">
        <f t="shared" ref="T31:T43" si="20">S31*0.25</f>
        <v>40000</v>
      </c>
    </row>
    <row r="32" spans="3:23">
      <c r="C32" s="114" t="s">
        <v>88</v>
      </c>
      <c r="D32" s="97">
        <f>ROUND(D23*($H$29)+E23*($H$30),-1)</f>
        <v>210</v>
      </c>
      <c r="E32" s="19"/>
      <c r="M32" s="710">
        <v>15000</v>
      </c>
      <c r="N32" s="709">
        <f>IF(SUM(N$29:N31)&gt;0,0,IF($F$23&gt;M32,0,IF($F$23&gt;=M33,5%,0)))</f>
        <v>0</v>
      </c>
      <c r="O32" s="708"/>
      <c r="P32" s="708"/>
      <c r="R32" s="111">
        <f t="shared" si="18"/>
        <v>2300</v>
      </c>
      <c r="S32" s="27">
        <f t="shared" si="16"/>
        <v>170000</v>
      </c>
      <c r="T32" s="394">
        <f t="shared" si="20"/>
        <v>42500</v>
      </c>
    </row>
    <row r="33" spans="3:20">
      <c r="C33" s="67" t="s">
        <v>89</v>
      </c>
      <c r="D33" s="125">
        <f>D29+D32</f>
        <v>4201.6666666666661</v>
      </c>
      <c r="M33" s="710">
        <v>10000</v>
      </c>
      <c r="N33" s="709">
        <f>IF(SUM(N$29:N32)&gt;0,0,IF($F$23&gt;M33,0,IF($F$23&gt;=M34,9%,0)))</f>
        <v>0</v>
      </c>
      <c r="O33" s="708"/>
      <c r="P33" s="708"/>
      <c r="R33" s="111">
        <f t="shared" si="18"/>
        <v>2400</v>
      </c>
      <c r="S33" s="27">
        <f t="shared" si="16"/>
        <v>180000</v>
      </c>
      <c r="T33" s="394">
        <f t="shared" si="20"/>
        <v>45000</v>
      </c>
    </row>
    <row r="34" spans="3:20">
      <c r="C34" t="s">
        <v>90</v>
      </c>
      <c r="M34" s="710">
        <v>5000</v>
      </c>
      <c r="N34" s="709">
        <f>IF(SUM(N$29:N33)&gt;0,0,IF($F$23&gt;M34,0,IF($F$23&gt;0,12%,0)))</f>
        <v>0.12</v>
      </c>
      <c r="O34" s="708"/>
      <c r="P34" s="708"/>
      <c r="R34" s="111">
        <f t="shared" si="18"/>
        <v>2500</v>
      </c>
      <c r="S34" s="27">
        <f t="shared" si="16"/>
        <v>190000</v>
      </c>
      <c r="T34" s="394">
        <f t="shared" si="20"/>
        <v>47500</v>
      </c>
    </row>
    <row r="35" spans="3:20">
      <c r="F35" s="688"/>
      <c r="M35" s="705" t="s">
        <v>91</v>
      </c>
      <c r="N35" s="709">
        <f>IF(D3="Public",5%,0)</f>
        <v>0</v>
      </c>
      <c r="O35" s="708"/>
      <c r="P35" s="708"/>
      <c r="R35" s="111">
        <f t="shared" si="18"/>
        <v>2600</v>
      </c>
      <c r="S35" s="27">
        <f t="shared" si="16"/>
        <v>200000</v>
      </c>
      <c r="T35" s="394">
        <f t="shared" si="20"/>
        <v>50000</v>
      </c>
    </row>
    <row r="36" spans="3:20">
      <c r="C36" s="687" t="s">
        <v>68</v>
      </c>
      <c r="D36" s="688"/>
      <c r="E36" s="689" t="s">
        <v>81</v>
      </c>
      <c r="F36" s="688"/>
      <c r="M36" s="703" t="s">
        <v>92</v>
      </c>
      <c r="N36" s="711">
        <f>MAX(0,E26-0.25)*0.75</f>
        <v>0</v>
      </c>
      <c r="O36" s="704"/>
      <c r="P36" s="704"/>
      <c r="R36" s="111">
        <f t="shared" si="18"/>
        <v>2700</v>
      </c>
      <c r="S36" s="27">
        <f t="shared" si="16"/>
        <v>210000</v>
      </c>
      <c r="T36" s="394">
        <f t="shared" si="20"/>
        <v>52500</v>
      </c>
    </row>
    <row r="37" spans="3:20">
      <c r="C37" s="690" t="s">
        <v>84</v>
      </c>
      <c r="D37" s="691">
        <f>O40+IF($D$3="Public",0.005*$D23,0)</f>
        <v>2600</v>
      </c>
      <c r="E37" s="691" t="e">
        <f>D37/$N$9</f>
        <v>#DIV/0!</v>
      </c>
      <c r="F37" s="688"/>
      <c r="M37" s="705" t="s">
        <v>93</v>
      </c>
      <c r="N37" s="712">
        <f>SUM(N29:N36)</f>
        <v>0.12</v>
      </c>
      <c r="O37" s="708"/>
      <c r="P37" s="708"/>
      <c r="R37" s="111">
        <f t="shared" si="18"/>
        <v>2800</v>
      </c>
      <c r="S37" s="27">
        <f t="shared" si="16"/>
        <v>220000</v>
      </c>
      <c r="T37" s="394">
        <f t="shared" si="20"/>
        <v>55000</v>
      </c>
    </row>
    <row r="38" spans="3:20">
      <c r="C38" s="692" t="s">
        <v>86</v>
      </c>
      <c r="D38" s="693">
        <f>D37-F23</f>
        <v>7.5</v>
      </c>
      <c r="E38" s="694" t="e">
        <f>D38/$N$9</f>
        <v>#DIV/0!</v>
      </c>
      <c r="F38" s="688"/>
      <c r="M38" s="705" t="s">
        <v>94</v>
      </c>
      <c r="N38" s="713">
        <f>INDEX($N$26:$N$28,MATCH($D$4,$M$26:$M$28,0),1)</f>
        <v>0.2</v>
      </c>
      <c r="O38" s="708"/>
      <c r="P38" s="708"/>
      <c r="R38" s="111">
        <f t="shared" si="18"/>
        <v>2900</v>
      </c>
      <c r="S38" s="27">
        <f t="shared" si="16"/>
        <v>230000</v>
      </c>
      <c r="T38" s="394">
        <f t="shared" si="20"/>
        <v>57500</v>
      </c>
    </row>
    <row r="39" spans="3:20">
      <c r="C39" s="695" t="s">
        <v>3</v>
      </c>
      <c r="D39" s="696">
        <f>D38/D37</f>
        <v>2.8846153846153848E-3</v>
      </c>
      <c r="E39" s="688"/>
      <c r="F39" s="688"/>
      <c r="M39" s="703" t="s">
        <v>95</v>
      </c>
      <c r="N39" s="714">
        <f>SUM(N37:N38)</f>
        <v>0.32</v>
      </c>
      <c r="O39" s="715">
        <f>ROUND($F$23/(1-N39),-2)</f>
        <v>3800</v>
      </c>
      <c r="P39" s="704" t="s">
        <v>96</v>
      </c>
      <c r="R39" s="111">
        <f t="shared" si="18"/>
        <v>3000</v>
      </c>
      <c r="S39" s="27">
        <f>S40-10000</f>
        <v>240000</v>
      </c>
      <c r="T39" s="394">
        <f t="shared" si="20"/>
        <v>60000</v>
      </c>
    </row>
    <row r="40" spans="3:20">
      <c r="C40" s="697" t="s">
        <v>88</v>
      </c>
      <c r="D40" s="698">
        <f>ROUND(D23*($H$29)+E23*($H$30),-1)</f>
        <v>210</v>
      </c>
      <c r="E40" s="699"/>
      <c r="F40" s="688"/>
      <c r="M40" s="716" t="s">
        <v>97</v>
      </c>
      <c r="N40" s="717"/>
      <c r="O40" s="718">
        <f>MIN(MAX(O39,O24),O25)</f>
        <v>2600</v>
      </c>
      <c r="P40" s="717"/>
      <c r="R40" s="111">
        <f t="shared" si="18"/>
        <v>3100</v>
      </c>
      <c r="S40" s="27">
        <v>250000</v>
      </c>
      <c r="T40" s="394">
        <f t="shared" si="20"/>
        <v>62500</v>
      </c>
    </row>
    <row r="41" spans="3:20">
      <c r="C41" s="700" t="s">
        <v>89</v>
      </c>
      <c r="D41" s="701">
        <f>D37+D40</f>
        <v>2810</v>
      </c>
      <c r="E41" s="688"/>
      <c r="F41" s="688"/>
      <c r="R41" s="111">
        <f t="shared" si="18"/>
        <v>3200</v>
      </c>
      <c r="S41" s="395">
        <v>2000000</v>
      </c>
      <c r="T41" s="394">
        <f t="shared" si="20"/>
        <v>500000</v>
      </c>
    </row>
    <row r="42" spans="3:20">
      <c r="C42" s="687" t="s">
        <v>90</v>
      </c>
      <c r="D42" s="688"/>
      <c r="E42" s="688"/>
      <c r="R42" s="111">
        <v>4000</v>
      </c>
      <c r="S42" s="395">
        <v>4000000</v>
      </c>
      <c r="T42" s="394">
        <f t="shared" si="20"/>
        <v>1000000</v>
      </c>
    </row>
    <row r="43" spans="3:20">
      <c r="D43" s="126"/>
      <c r="R43" s="396">
        <v>6000</v>
      </c>
      <c r="S43" s="397">
        <v>6000000</v>
      </c>
      <c r="T43" s="343">
        <f t="shared" si="20"/>
        <v>1500000</v>
      </c>
    </row>
    <row r="44" spans="3:20">
      <c r="D44" s="126"/>
    </row>
    <row r="46" spans="3:20">
      <c r="C46" s="592" t="s">
        <v>98</v>
      </c>
      <c r="D46" s="64"/>
      <c r="E46" s="64"/>
      <c r="F46" s="64"/>
      <c r="G46" s="64"/>
    </row>
    <row r="47" spans="3:20">
      <c r="C47" t="s">
        <v>99</v>
      </c>
    </row>
    <row r="48" spans="3:20">
      <c r="C48" t="s">
        <v>100</v>
      </c>
    </row>
    <row r="49" spans="3:3">
      <c r="C49" t="s">
        <v>101</v>
      </c>
    </row>
    <row r="50" spans="3:3">
      <c r="C50" t="s">
        <v>102</v>
      </c>
    </row>
    <row r="51" spans="3:3">
      <c r="C51" t="s">
        <v>103</v>
      </c>
    </row>
    <row r="52" spans="3:3">
      <c r="C52" t="s">
        <v>104</v>
      </c>
    </row>
    <row r="53" spans="3:3">
      <c r="C53" t="s">
        <v>105</v>
      </c>
    </row>
    <row r="54" spans="3:3">
      <c r="C54" t="s">
        <v>106</v>
      </c>
    </row>
    <row r="55" spans="3:3">
      <c r="C55" t="s">
        <v>107</v>
      </c>
    </row>
    <row r="56" spans="3:3">
      <c r="C56" t="s">
        <v>108</v>
      </c>
    </row>
    <row r="57" spans="3:3">
      <c r="C57" t="s">
        <v>109</v>
      </c>
    </row>
    <row r="58" spans="3:3">
      <c r="C58" t="s">
        <v>110</v>
      </c>
    </row>
    <row r="59" spans="3:3">
      <c r="C59" t="s">
        <v>111</v>
      </c>
    </row>
    <row r="60" spans="3:3">
      <c r="C60" t="s">
        <v>112</v>
      </c>
    </row>
    <row r="61" spans="3:3">
      <c r="C61" t="s">
        <v>113</v>
      </c>
    </row>
    <row r="62" spans="3:3">
      <c r="C62" t="s">
        <v>114</v>
      </c>
    </row>
    <row r="63" spans="3:3">
      <c r="C63" t="s">
        <v>115</v>
      </c>
    </row>
    <row r="64" spans="3:3">
      <c r="C64" t="s">
        <v>116</v>
      </c>
    </row>
    <row r="65" spans="3:3">
      <c r="C65" t="s">
        <v>117</v>
      </c>
    </row>
    <row r="66" spans="3:3">
      <c r="C66" t="s">
        <v>118</v>
      </c>
    </row>
    <row r="67" spans="3:3">
      <c r="C67" t="s">
        <v>119</v>
      </c>
    </row>
  </sheetData>
  <mergeCells count="1">
    <mergeCell ref="M22:P22"/>
  </mergeCells>
  <dataValidations count="4">
    <dataValidation type="list" allowBlank="1" showInputMessage="1" showErrorMessage="1" sqref="D3" xr:uid="{54D4FA62-5296-4805-AD08-4B3F47DB1836}">
      <formula1>$R$10:$R$13</formula1>
    </dataValidation>
    <dataValidation type="list" allowBlank="1" showInputMessage="1" showErrorMessage="1" sqref="D4" xr:uid="{CD3B5816-DB12-4020-A776-AAE1B5740F6E}">
      <formula1>$S$10:$S$13</formula1>
    </dataValidation>
    <dataValidation type="list" allowBlank="1" showInputMessage="1" showErrorMessage="1" sqref="D5" xr:uid="{2E25861C-E0DA-452C-80F3-CCA9B4890CB3}">
      <formula1>$T$10:$T$12</formula1>
    </dataValidation>
    <dataValidation type="list" allowBlank="1" showInputMessage="1" showErrorMessage="1" sqref="D6" xr:uid="{41E4C0F1-C1B4-419F-80EE-47015A1E5561}">
      <formula1>$V$10:$V$18</formula1>
    </dataValidation>
  </dataValidation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A0B4B-FD34-40A8-9DC6-1D736250B7B6}">
  <dimension ref="B2:AC95"/>
  <sheetViews>
    <sheetView showGridLines="0" zoomScale="75" zoomScaleNormal="75" workbookViewId="0">
      <selection activeCell="P57" sqref="P57"/>
    </sheetView>
  </sheetViews>
  <sheetFormatPr defaultRowHeight="15"/>
  <cols>
    <col min="1" max="1" width="2.140625" customWidth="1"/>
    <col min="2" max="2" width="2.28515625" customWidth="1"/>
    <col min="3" max="3" width="17.5703125" customWidth="1"/>
    <col min="7" max="7" width="10.42578125" customWidth="1"/>
    <col min="8" max="8" width="123.42578125" customWidth="1"/>
    <col min="10" max="10" width="2.28515625" customWidth="1"/>
    <col min="11" max="11" width="17.5703125" customWidth="1"/>
    <col min="15" max="15" width="10.42578125" customWidth="1"/>
    <col min="16" max="16" width="123.42578125" customWidth="1"/>
    <col min="18" max="18" width="4" customWidth="1"/>
    <col min="19" max="21" width="11.5703125" bestFit="1" customWidth="1"/>
    <col min="22" max="28" width="12.7109375" bestFit="1" customWidth="1"/>
  </cols>
  <sheetData>
    <row r="2" spans="2:29" ht="15.75">
      <c r="B2" s="326" t="s">
        <v>120</v>
      </c>
      <c r="C2" s="325"/>
      <c r="D2" s="325"/>
      <c r="E2" s="325"/>
      <c r="F2" s="325"/>
      <c r="G2" s="325"/>
      <c r="H2" s="325"/>
      <c r="J2" s="326" t="s">
        <v>121</v>
      </c>
      <c r="K2" s="325"/>
      <c r="L2" s="325"/>
      <c r="M2" s="325"/>
      <c r="N2" s="325"/>
      <c r="O2" s="325"/>
      <c r="P2" s="325"/>
      <c r="R2" s="1" t="s">
        <v>122</v>
      </c>
    </row>
    <row r="3" spans="2:29">
      <c r="C3" s="75" t="s">
        <v>123</v>
      </c>
      <c r="D3" s="75" t="s">
        <v>124</v>
      </c>
      <c r="E3" s="75" t="s">
        <v>125</v>
      </c>
      <c r="F3" s="75" t="s">
        <v>126</v>
      </c>
      <c r="G3" s="75"/>
      <c r="K3" s="75" t="s">
        <v>123</v>
      </c>
      <c r="L3" s="75" t="s">
        <v>124</v>
      </c>
      <c r="M3" s="75" t="s">
        <v>125</v>
      </c>
      <c r="N3" s="75" t="s">
        <v>126</v>
      </c>
      <c r="O3" s="75"/>
      <c r="S3" s="211">
        <v>1000000</v>
      </c>
      <c r="T3" s="211">
        <f t="shared" ref="T3:AB3" si="0">S3+1000000</f>
        <v>2000000</v>
      </c>
      <c r="U3" s="211">
        <f t="shared" si="0"/>
        <v>3000000</v>
      </c>
      <c r="V3" s="211">
        <f t="shared" si="0"/>
        <v>4000000</v>
      </c>
      <c r="W3" s="211">
        <f t="shared" si="0"/>
        <v>5000000</v>
      </c>
      <c r="X3" s="211">
        <f t="shared" si="0"/>
        <v>6000000</v>
      </c>
      <c r="Y3" s="211">
        <f t="shared" si="0"/>
        <v>7000000</v>
      </c>
      <c r="Z3" s="211">
        <f t="shared" si="0"/>
        <v>8000000</v>
      </c>
      <c r="AA3" s="211">
        <f t="shared" si="0"/>
        <v>9000000</v>
      </c>
      <c r="AB3" s="211">
        <f t="shared" si="0"/>
        <v>10000000</v>
      </c>
      <c r="AC3" t="s">
        <v>127</v>
      </c>
    </row>
    <row r="4" spans="2:29">
      <c r="C4" t="s">
        <v>128</v>
      </c>
      <c r="D4" s="27"/>
      <c r="E4" s="327">
        <v>0.01</v>
      </c>
      <c r="F4" s="327">
        <v>0.01</v>
      </c>
      <c r="G4" s="36"/>
      <c r="K4" t="s">
        <v>128</v>
      </c>
      <c r="L4" s="27"/>
      <c r="M4" s="327">
        <f>K17</f>
        <v>0.04</v>
      </c>
      <c r="N4" s="327">
        <f>K17</f>
        <v>0.04</v>
      </c>
      <c r="O4" s="36"/>
      <c r="S4" s="19">
        <f>AVERAGE($M4:$N4)*(S$3/4)</f>
        <v>10000</v>
      </c>
      <c r="T4" s="19">
        <f t="shared" ref="T4:AB10" si="1">AVERAGE($M4:$N4)*(T$3/4)</f>
        <v>20000</v>
      </c>
      <c r="U4" s="19">
        <f t="shared" si="1"/>
        <v>30000</v>
      </c>
      <c r="V4" s="19">
        <f t="shared" si="1"/>
        <v>40000</v>
      </c>
      <c r="W4" s="19">
        <f t="shared" si="1"/>
        <v>50000</v>
      </c>
      <c r="X4" s="19">
        <f t="shared" si="1"/>
        <v>60000</v>
      </c>
      <c r="Y4" s="19">
        <f t="shared" si="1"/>
        <v>70000</v>
      </c>
      <c r="Z4" s="19">
        <f t="shared" si="1"/>
        <v>80000</v>
      </c>
      <c r="AA4" s="19">
        <f t="shared" si="1"/>
        <v>90000</v>
      </c>
      <c r="AB4" s="19">
        <f t="shared" si="1"/>
        <v>100000</v>
      </c>
    </row>
    <row r="5" spans="2:29">
      <c r="C5" t="s">
        <v>129</v>
      </c>
      <c r="D5" s="27">
        <f>C33</f>
        <v>2884</v>
      </c>
      <c r="E5" s="327">
        <f>C38</f>
        <v>2.6249999999999999E-2</v>
      </c>
      <c r="F5" s="327">
        <f>52500/3000000</f>
        <v>1.7500000000000002E-2</v>
      </c>
      <c r="G5" s="327"/>
      <c r="K5" t="s">
        <v>129</v>
      </c>
      <c r="L5" s="27">
        <f>K33</f>
        <v>2884</v>
      </c>
      <c r="M5" s="327">
        <f>K38</f>
        <v>0.105</v>
      </c>
      <c r="N5" s="327">
        <f>M5*0.65</f>
        <v>6.8250000000000005E-2</v>
      </c>
      <c r="O5" s="327"/>
      <c r="S5" s="19">
        <f t="shared" ref="S5:S10" si="2">AVERAGE($M5:$N5)*(S$3/4)</f>
        <v>21656.250000000004</v>
      </c>
      <c r="T5" s="19">
        <f t="shared" si="1"/>
        <v>43312.500000000007</v>
      </c>
      <c r="U5" s="19">
        <f t="shared" si="1"/>
        <v>64968.750000000007</v>
      </c>
      <c r="V5" s="19">
        <f t="shared" si="1"/>
        <v>86625.000000000015</v>
      </c>
      <c r="W5" s="19">
        <f t="shared" si="1"/>
        <v>108281.25000000001</v>
      </c>
      <c r="X5" s="19">
        <f t="shared" si="1"/>
        <v>129937.50000000001</v>
      </c>
      <c r="Y5" s="19">
        <f t="shared" si="1"/>
        <v>151593.75</v>
      </c>
      <c r="Z5" s="19">
        <f t="shared" si="1"/>
        <v>173250.00000000003</v>
      </c>
      <c r="AA5" s="19">
        <f t="shared" si="1"/>
        <v>194906.25000000003</v>
      </c>
      <c r="AB5" s="19">
        <f t="shared" si="1"/>
        <v>216562.50000000003</v>
      </c>
    </row>
    <row r="6" spans="2:29">
      <c r="C6" t="s">
        <v>130</v>
      </c>
      <c r="D6" s="27"/>
      <c r="E6" s="327">
        <f>C47</f>
        <v>3.2500000000000001E-2</v>
      </c>
      <c r="F6" s="327">
        <f>C45/3000000</f>
        <v>2.1666666666666667E-2</v>
      </c>
      <c r="G6" s="327"/>
      <c r="K6" t="s">
        <v>130</v>
      </c>
      <c r="L6" s="27"/>
      <c r="M6" s="327">
        <f>K47</f>
        <v>0.13</v>
      </c>
      <c r="N6" s="327">
        <f>M6*0.65</f>
        <v>8.4500000000000006E-2</v>
      </c>
      <c r="O6" s="327"/>
      <c r="S6" s="19">
        <f t="shared" si="2"/>
        <v>26812.500000000004</v>
      </c>
      <c r="T6" s="19">
        <f t="shared" si="1"/>
        <v>53625.000000000007</v>
      </c>
      <c r="U6" s="19">
        <f t="shared" si="1"/>
        <v>80437.500000000015</v>
      </c>
      <c r="V6" s="19">
        <f t="shared" si="1"/>
        <v>107250.00000000001</v>
      </c>
      <c r="W6" s="19">
        <f t="shared" si="1"/>
        <v>134062.50000000003</v>
      </c>
      <c r="X6" s="19">
        <f t="shared" si="1"/>
        <v>160875.00000000003</v>
      </c>
      <c r="Y6" s="19">
        <f t="shared" si="1"/>
        <v>187687.50000000003</v>
      </c>
      <c r="Z6" s="19">
        <f t="shared" si="1"/>
        <v>214500.00000000003</v>
      </c>
      <c r="AA6" s="19">
        <f t="shared" si="1"/>
        <v>241312.50000000003</v>
      </c>
      <c r="AB6" s="19">
        <f t="shared" si="1"/>
        <v>268125.00000000006</v>
      </c>
    </row>
    <row r="7" spans="2:29">
      <c r="C7" t="s">
        <v>131</v>
      </c>
      <c r="D7" s="27"/>
      <c r="E7" s="327">
        <f>C58</f>
        <v>8.0000000000000002E-3</v>
      </c>
      <c r="F7" s="327">
        <f>48000/8000000</f>
        <v>6.0000000000000001E-3</v>
      </c>
      <c r="G7" s="327"/>
      <c r="K7" t="s">
        <v>131</v>
      </c>
      <c r="L7" s="27"/>
      <c r="M7" s="327">
        <f>K58</f>
        <v>2.4E-2</v>
      </c>
      <c r="N7" s="327">
        <f>M7*0.65</f>
        <v>1.5600000000000001E-2</v>
      </c>
      <c r="O7" s="327"/>
      <c r="S7" s="19">
        <f t="shared" si="2"/>
        <v>4950</v>
      </c>
      <c r="T7" s="19">
        <f t="shared" si="1"/>
        <v>9900</v>
      </c>
      <c r="U7" s="19">
        <f t="shared" si="1"/>
        <v>14850.000000000002</v>
      </c>
      <c r="V7" s="19">
        <f t="shared" si="1"/>
        <v>19800</v>
      </c>
      <c r="W7" s="19">
        <f t="shared" si="1"/>
        <v>24750.000000000004</v>
      </c>
      <c r="X7" s="19">
        <f t="shared" si="1"/>
        <v>29700.000000000004</v>
      </c>
      <c r="Y7" s="19">
        <f t="shared" si="1"/>
        <v>34650</v>
      </c>
      <c r="Z7" s="19">
        <f t="shared" si="1"/>
        <v>39600</v>
      </c>
      <c r="AA7" s="19">
        <f t="shared" si="1"/>
        <v>44550.000000000007</v>
      </c>
      <c r="AB7" s="19">
        <f t="shared" si="1"/>
        <v>49500.000000000007</v>
      </c>
    </row>
    <row r="8" spans="2:29">
      <c r="C8" t="s">
        <v>132</v>
      </c>
      <c r="D8" s="27"/>
      <c r="E8" s="327">
        <f>C69</f>
        <v>0.02</v>
      </c>
      <c r="F8" s="332">
        <f>20000/1500000</f>
        <v>1.3333333333333334E-2</v>
      </c>
      <c r="G8" s="327"/>
      <c r="K8" t="s">
        <v>132</v>
      </c>
      <c r="L8" s="27"/>
      <c r="M8" s="327">
        <f>K69</f>
        <v>0.08</v>
      </c>
      <c r="N8" s="332">
        <f t="shared" ref="N8:N10" si="3">M8*0.65</f>
        <v>5.2000000000000005E-2</v>
      </c>
      <c r="O8" s="327"/>
      <c r="S8" s="19">
        <f t="shared" si="2"/>
        <v>16500</v>
      </c>
      <c r="T8" s="19">
        <f t="shared" si="1"/>
        <v>33000</v>
      </c>
      <c r="U8" s="19">
        <f t="shared" si="1"/>
        <v>49500</v>
      </c>
      <c r="V8" s="19">
        <f t="shared" si="1"/>
        <v>66000</v>
      </c>
      <c r="W8" s="19">
        <f t="shared" si="1"/>
        <v>82500</v>
      </c>
      <c r="X8" s="19">
        <f t="shared" si="1"/>
        <v>99000</v>
      </c>
      <c r="Y8" s="19">
        <f t="shared" si="1"/>
        <v>115500</v>
      </c>
      <c r="Z8" s="19">
        <f t="shared" si="1"/>
        <v>132000</v>
      </c>
      <c r="AA8" s="19">
        <f t="shared" si="1"/>
        <v>148500</v>
      </c>
      <c r="AB8" s="19">
        <f t="shared" si="1"/>
        <v>165000</v>
      </c>
    </row>
    <row r="9" spans="2:29">
      <c r="C9" t="s">
        <v>133</v>
      </c>
      <c r="D9" s="27"/>
      <c r="E9" s="327">
        <f>C81</f>
        <v>1.8599999999999998E-2</v>
      </c>
      <c r="F9" s="327">
        <f>37200/3000000</f>
        <v>1.24E-2</v>
      </c>
      <c r="G9" s="327"/>
      <c r="K9" t="s">
        <v>133</v>
      </c>
      <c r="L9" s="27"/>
      <c r="M9" s="327">
        <f>K81</f>
        <v>7.4399999999999994E-2</v>
      </c>
      <c r="N9" s="327">
        <f t="shared" si="3"/>
        <v>4.836E-2</v>
      </c>
      <c r="O9" s="327"/>
      <c r="S9" s="19">
        <f t="shared" si="2"/>
        <v>15345</v>
      </c>
      <c r="T9" s="19">
        <f t="shared" si="1"/>
        <v>30690</v>
      </c>
      <c r="U9" s="19">
        <f t="shared" si="1"/>
        <v>46035</v>
      </c>
      <c r="V9" s="19">
        <f t="shared" si="1"/>
        <v>61380</v>
      </c>
      <c r="W9" s="19">
        <f t="shared" si="1"/>
        <v>76725</v>
      </c>
      <c r="X9" s="19">
        <f t="shared" si="1"/>
        <v>92070</v>
      </c>
      <c r="Y9" s="19">
        <f t="shared" si="1"/>
        <v>107415</v>
      </c>
      <c r="Z9" s="19">
        <f t="shared" si="1"/>
        <v>122760</v>
      </c>
      <c r="AA9" s="19">
        <f t="shared" si="1"/>
        <v>138105</v>
      </c>
      <c r="AB9" s="19">
        <f t="shared" si="1"/>
        <v>153450</v>
      </c>
    </row>
    <row r="10" spans="2:29">
      <c r="C10" s="64" t="s">
        <v>134</v>
      </c>
      <c r="D10" s="211"/>
      <c r="E10" s="328">
        <f>C95</f>
        <v>1.4999999999999999E-2</v>
      </c>
      <c r="F10" s="328">
        <f>30000/3000000</f>
        <v>0.01</v>
      </c>
      <c r="G10" s="328"/>
      <c r="K10" s="64" t="s">
        <v>134</v>
      </c>
      <c r="L10" s="211"/>
      <c r="M10" s="328">
        <f>K95</f>
        <v>0.06</v>
      </c>
      <c r="N10" s="328">
        <f t="shared" si="3"/>
        <v>3.9E-2</v>
      </c>
      <c r="O10" s="328"/>
      <c r="S10" s="19">
        <f t="shared" si="2"/>
        <v>12375</v>
      </c>
      <c r="T10" s="19">
        <f t="shared" si="1"/>
        <v>24750</v>
      </c>
      <c r="U10" s="19">
        <f t="shared" si="1"/>
        <v>37125</v>
      </c>
      <c r="V10" s="19">
        <f t="shared" si="1"/>
        <v>49500</v>
      </c>
      <c r="W10" s="19">
        <f t="shared" si="1"/>
        <v>61875</v>
      </c>
      <c r="X10" s="19">
        <f t="shared" si="1"/>
        <v>74250</v>
      </c>
      <c r="Y10" s="19">
        <f t="shared" si="1"/>
        <v>86625</v>
      </c>
      <c r="Z10" s="19">
        <f t="shared" si="1"/>
        <v>99000</v>
      </c>
      <c r="AA10" s="19">
        <f t="shared" si="1"/>
        <v>111375</v>
      </c>
      <c r="AB10" s="19">
        <f t="shared" si="1"/>
        <v>123750</v>
      </c>
    </row>
    <row r="11" spans="2:29">
      <c r="C11" t="s">
        <v>135</v>
      </c>
      <c r="D11" s="27">
        <f>ROUND(SUM(D4:D10),-2)</f>
        <v>2900</v>
      </c>
      <c r="E11" s="313">
        <f>SUM(E4:E10)</f>
        <v>0.13035000000000002</v>
      </c>
      <c r="F11" s="313">
        <f>SUM(F4:F10)</f>
        <v>9.0899999999999995E-2</v>
      </c>
      <c r="G11" s="313"/>
      <c r="K11" t="s">
        <v>135</v>
      </c>
      <c r="L11" s="27">
        <f>ROUND(SUM(L4:L10),-2)</f>
        <v>2900</v>
      </c>
      <c r="M11" s="313">
        <f>SUM(M4:M10)</f>
        <v>0.51340000000000008</v>
      </c>
      <c r="N11" s="313">
        <f>SUM(N4:N10)</f>
        <v>0.34771000000000002</v>
      </c>
      <c r="O11" s="313"/>
    </row>
    <row r="12" spans="2:29">
      <c r="S12" t="s">
        <v>136</v>
      </c>
    </row>
    <row r="13" spans="2:29">
      <c r="S13" s="64">
        <v>1</v>
      </c>
      <c r="T13" s="64">
        <v>1</v>
      </c>
      <c r="U13" s="64">
        <v>1</v>
      </c>
      <c r="V13" s="64">
        <v>1</v>
      </c>
      <c r="W13" s="64">
        <v>1</v>
      </c>
      <c r="X13" s="64">
        <v>1</v>
      </c>
      <c r="Y13" s="64">
        <v>1</v>
      </c>
      <c r="Z13" s="64">
        <v>1</v>
      </c>
      <c r="AA13" s="64">
        <v>1</v>
      </c>
      <c r="AB13" s="64">
        <v>1</v>
      </c>
    </row>
    <row r="14" spans="2:29">
      <c r="S14" s="19">
        <f>S4/S13</f>
        <v>10000</v>
      </c>
      <c r="T14" s="19">
        <f t="shared" ref="T14:AB14" si="4">T4/T13</f>
        <v>20000</v>
      </c>
      <c r="U14" s="19">
        <f t="shared" si="4"/>
        <v>30000</v>
      </c>
      <c r="V14" s="19">
        <f t="shared" si="4"/>
        <v>40000</v>
      </c>
      <c r="W14" s="19">
        <f t="shared" si="4"/>
        <v>50000</v>
      </c>
      <c r="X14" s="19">
        <f t="shared" si="4"/>
        <v>60000</v>
      </c>
      <c r="Y14" s="19">
        <f t="shared" si="4"/>
        <v>70000</v>
      </c>
      <c r="Z14" s="19">
        <f t="shared" si="4"/>
        <v>80000</v>
      </c>
      <c r="AA14" s="19">
        <f t="shared" si="4"/>
        <v>90000</v>
      </c>
      <c r="AB14" s="19">
        <f t="shared" si="4"/>
        <v>100000</v>
      </c>
      <c r="AC14" t="s">
        <v>137</v>
      </c>
    </row>
    <row r="15" spans="2:29">
      <c r="B15" s="321" t="s">
        <v>138</v>
      </c>
      <c r="C15" s="322"/>
      <c r="D15" s="322"/>
      <c r="E15" s="322"/>
      <c r="F15" s="322"/>
      <c r="G15" s="322"/>
      <c r="H15" s="322"/>
      <c r="J15" s="321" t="s">
        <v>138</v>
      </c>
      <c r="K15" s="322"/>
      <c r="L15" s="322"/>
      <c r="M15" s="322"/>
      <c r="N15" s="322"/>
      <c r="O15" s="322"/>
      <c r="P15" s="322"/>
      <c r="S15" s="19">
        <v>70000</v>
      </c>
      <c r="T15" s="19">
        <v>70000</v>
      </c>
      <c r="U15" s="19">
        <v>70000</v>
      </c>
      <c r="V15" s="19">
        <v>70000</v>
      </c>
      <c r="W15" s="19">
        <v>70000</v>
      </c>
      <c r="X15" s="19">
        <v>70000</v>
      </c>
      <c r="Y15" s="19">
        <v>70000</v>
      </c>
      <c r="Z15" s="19">
        <v>70000</v>
      </c>
      <c r="AA15" s="19">
        <v>70000</v>
      </c>
      <c r="AB15" s="19">
        <v>70000</v>
      </c>
      <c r="AC15" t="s">
        <v>139</v>
      </c>
    </row>
    <row r="16" spans="2:29">
      <c r="C16" s="101" t="s">
        <v>140</v>
      </c>
      <c r="D16" s="60" t="s">
        <v>39</v>
      </c>
      <c r="E16" s="60"/>
      <c r="F16" s="60"/>
      <c r="G16" s="60"/>
      <c r="H16" s="60"/>
      <c r="K16" s="101" t="s">
        <v>140</v>
      </c>
      <c r="L16" s="60" t="s">
        <v>39</v>
      </c>
      <c r="M16" s="60"/>
      <c r="N16" s="60"/>
      <c r="O16" s="60"/>
      <c r="P16" s="60"/>
      <c r="S16" s="19">
        <f>S15*S13-S14*S13</f>
        <v>60000</v>
      </c>
      <c r="T16" s="19">
        <f t="shared" ref="T16:AB16" si="5">T15*T13-T14*T13</f>
        <v>50000</v>
      </c>
      <c r="U16" s="19">
        <f t="shared" si="5"/>
        <v>40000</v>
      </c>
      <c r="V16" s="19">
        <f t="shared" si="5"/>
        <v>30000</v>
      </c>
      <c r="W16" s="19">
        <f t="shared" si="5"/>
        <v>20000</v>
      </c>
      <c r="X16" s="19">
        <f t="shared" si="5"/>
        <v>10000</v>
      </c>
      <c r="Y16" s="19">
        <f t="shared" si="5"/>
        <v>0</v>
      </c>
      <c r="Z16" s="19">
        <f t="shared" si="5"/>
        <v>-10000</v>
      </c>
      <c r="AA16" s="19">
        <f t="shared" si="5"/>
        <v>-20000</v>
      </c>
      <c r="AB16" s="19">
        <f t="shared" si="5"/>
        <v>-30000</v>
      </c>
      <c r="AC16" t="s">
        <v>141</v>
      </c>
    </row>
    <row r="17" spans="2:29">
      <c r="C17" s="324">
        <v>0.01</v>
      </c>
      <c r="D17" t="s">
        <v>142</v>
      </c>
      <c r="K17" s="324">
        <v>0.04</v>
      </c>
      <c r="L17" t="s">
        <v>142</v>
      </c>
    </row>
    <row r="18" spans="2:29">
      <c r="B18" s="126"/>
      <c r="J18" s="126"/>
    </row>
    <row r="19" spans="2:29">
      <c r="B19" s="321" t="s">
        <v>143</v>
      </c>
      <c r="C19" s="322"/>
      <c r="D19" s="322"/>
      <c r="E19" s="322"/>
      <c r="F19" s="322"/>
      <c r="G19" s="322"/>
      <c r="H19" s="322"/>
      <c r="J19" s="321" t="s">
        <v>143</v>
      </c>
      <c r="K19" s="322"/>
      <c r="L19" s="322"/>
      <c r="M19" s="322"/>
      <c r="N19" s="322"/>
      <c r="O19" s="322"/>
      <c r="P19" s="322"/>
      <c r="S19" t="s">
        <v>136</v>
      </c>
    </row>
    <row r="20" spans="2:29">
      <c r="C20" t="s">
        <v>144</v>
      </c>
      <c r="K20" t="s">
        <v>144</v>
      </c>
      <c r="S20" s="64">
        <v>1</v>
      </c>
      <c r="T20" s="64">
        <v>1</v>
      </c>
      <c r="U20" s="64">
        <v>1</v>
      </c>
      <c r="V20" s="64">
        <v>2</v>
      </c>
      <c r="W20" s="64">
        <v>2</v>
      </c>
      <c r="X20" s="64">
        <v>2</v>
      </c>
      <c r="Y20" s="64">
        <v>3</v>
      </c>
      <c r="Z20" s="64">
        <v>3</v>
      </c>
      <c r="AA20" s="64">
        <v>3</v>
      </c>
      <c r="AB20" s="64">
        <v>4</v>
      </c>
    </row>
    <row r="21" spans="2:29">
      <c r="D21" s="24" t="s">
        <v>145</v>
      </c>
      <c r="E21" s="24"/>
      <c r="F21" s="24"/>
      <c r="L21" s="24" t="s">
        <v>146</v>
      </c>
      <c r="M21" s="24"/>
      <c r="N21" s="24"/>
      <c r="S21" s="19">
        <f t="shared" ref="S21:AB21" si="6">S5/S20</f>
        <v>21656.250000000004</v>
      </c>
      <c r="T21" s="19">
        <f t="shared" si="6"/>
        <v>43312.500000000007</v>
      </c>
      <c r="U21" s="19">
        <f t="shared" si="6"/>
        <v>64968.750000000007</v>
      </c>
      <c r="V21" s="19">
        <f t="shared" si="6"/>
        <v>43312.500000000007</v>
      </c>
      <c r="W21" s="19">
        <f t="shared" si="6"/>
        <v>54140.625000000007</v>
      </c>
      <c r="X21" s="19">
        <f t="shared" si="6"/>
        <v>64968.750000000007</v>
      </c>
      <c r="Y21" s="19">
        <f t="shared" si="6"/>
        <v>50531.25</v>
      </c>
      <c r="Z21" s="19">
        <f t="shared" si="6"/>
        <v>57750.000000000007</v>
      </c>
      <c r="AA21" s="19">
        <f t="shared" si="6"/>
        <v>64968.750000000007</v>
      </c>
      <c r="AB21" s="19">
        <f t="shared" si="6"/>
        <v>54140.625000000007</v>
      </c>
      <c r="AC21" t="s">
        <v>137</v>
      </c>
    </row>
    <row r="22" spans="2:29">
      <c r="D22" s="24" t="s">
        <v>147</v>
      </c>
      <c r="E22" s="24"/>
      <c r="F22" s="24"/>
      <c r="L22" s="24" t="s">
        <v>147</v>
      </c>
      <c r="M22" s="24"/>
      <c r="N22" s="24"/>
      <c r="S22" s="19">
        <v>65000</v>
      </c>
      <c r="T22" s="19">
        <v>65000</v>
      </c>
      <c r="U22" s="19">
        <v>65000</v>
      </c>
      <c r="V22" s="19">
        <v>65000</v>
      </c>
      <c r="W22" s="19">
        <v>65000</v>
      </c>
      <c r="X22" s="19">
        <v>65000</v>
      </c>
      <c r="Y22" s="19">
        <v>65000</v>
      </c>
      <c r="Z22" s="19">
        <v>65000</v>
      </c>
      <c r="AA22" s="19">
        <v>65000</v>
      </c>
      <c r="AB22" s="19">
        <v>65000</v>
      </c>
      <c r="AC22" t="s">
        <v>139</v>
      </c>
    </row>
    <row r="23" spans="2:29">
      <c r="D23" s="24" t="s">
        <v>148</v>
      </c>
      <c r="E23" s="24"/>
      <c r="F23" s="24"/>
      <c r="L23" s="24" t="s">
        <v>148</v>
      </c>
      <c r="M23" s="24"/>
      <c r="N23" s="24"/>
      <c r="S23" s="19">
        <f>S22*S20-S21*S20</f>
        <v>43343.75</v>
      </c>
      <c r="T23" s="19">
        <f t="shared" ref="T23:AB23" si="7">T22*T20-T21*T20</f>
        <v>21687.499999999993</v>
      </c>
      <c r="U23" s="19">
        <f t="shared" si="7"/>
        <v>31.249999999992724</v>
      </c>
      <c r="V23" s="19">
        <f t="shared" si="7"/>
        <v>43374.999999999985</v>
      </c>
      <c r="W23" s="19">
        <f t="shared" si="7"/>
        <v>21718.749999999985</v>
      </c>
      <c r="X23" s="19">
        <f t="shared" si="7"/>
        <v>62.499999999985448</v>
      </c>
      <c r="Y23" s="19">
        <f t="shared" si="7"/>
        <v>43406.25</v>
      </c>
      <c r="Z23" s="19">
        <f t="shared" si="7"/>
        <v>21749.999999999971</v>
      </c>
      <c r="AA23" s="19">
        <f t="shared" si="7"/>
        <v>93.749999999970896</v>
      </c>
      <c r="AB23" s="19">
        <f t="shared" si="7"/>
        <v>43437.499999999971</v>
      </c>
      <c r="AC23" t="s">
        <v>141</v>
      </c>
    </row>
    <row r="24" spans="2:29">
      <c r="D24" s="24" t="s">
        <v>149</v>
      </c>
      <c r="E24" s="24"/>
      <c r="F24" s="24"/>
      <c r="L24" s="24" t="s">
        <v>149</v>
      </c>
      <c r="M24" s="24"/>
      <c r="N24" s="24"/>
    </row>
    <row r="25" spans="2:29">
      <c r="D25" s="24" t="s">
        <v>150</v>
      </c>
      <c r="E25" s="24"/>
      <c r="F25" s="24"/>
      <c r="L25" s="24" t="s">
        <v>150</v>
      </c>
      <c r="M25" s="24"/>
      <c r="N25" s="24"/>
      <c r="S25" t="s">
        <v>130</v>
      </c>
    </row>
    <row r="26" spans="2:29">
      <c r="D26" s="24" t="s">
        <v>151</v>
      </c>
      <c r="E26" s="24"/>
      <c r="F26" s="24"/>
      <c r="L26" s="24" t="s">
        <v>151</v>
      </c>
      <c r="M26" s="24"/>
      <c r="N26" s="24"/>
      <c r="S26" s="64">
        <v>1</v>
      </c>
      <c r="T26" s="64">
        <v>1</v>
      </c>
      <c r="U26" s="64">
        <v>1</v>
      </c>
      <c r="V26" s="64">
        <v>2</v>
      </c>
      <c r="W26" s="64">
        <v>2</v>
      </c>
      <c r="X26" s="64">
        <v>2</v>
      </c>
      <c r="Y26" s="64">
        <v>3</v>
      </c>
      <c r="Z26" s="64">
        <v>3</v>
      </c>
      <c r="AA26" s="64">
        <v>3</v>
      </c>
      <c r="AB26" s="64">
        <v>4</v>
      </c>
    </row>
    <row r="27" spans="2:29">
      <c r="D27" s="24" t="s">
        <v>152</v>
      </c>
      <c r="E27" s="24"/>
      <c r="F27" s="24"/>
      <c r="L27" s="24" t="s">
        <v>152</v>
      </c>
      <c r="M27" s="24"/>
      <c r="N27" s="24"/>
      <c r="S27" s="19">
        <f t="shared" ref="S27:AB27" si="8">S6/S26</f>
        <v>26812.500000000004</v>
      </c>
      <c r="T27" s="19">
        <f t="shared" si="8"/>
        <v>53625.000000000007</v>
      </c>
      <c r="U27" s="19">
        <f t="shared" si="8"/>
        <v>80437.500000000015</v>
      </c>
      <c r="V27" s="19">
        <f t="shared" si="8"/>
        <v>53625.000000000007</v>
      </c>
      <c r="W27" s="19">
        <f t="shared" si="8"/>
        <v>67031.250000000015</v>
      </c>
      <c r="X27" s="19">
        <f t="shared" si="8"/>
        <v>80437.500000000015</v>
      </c>
      <c r="Y27" s="19">
        <f t="shared" si="8"/>
        <v>62562.500000000007</v>
      </c>
      <c r="Z27" s="19">
        <f t="shared" si="8"/>
        <v>71500.000000000015</v>
      </c>
      <c r="AA27" s="19">
        <f t="shared" si="8"/>
        <v>80437.500000000015</v>
      </c>
      <c r="AB27" s="19">
        <f t="shared" si="8"/>
        <v>67031.250000000015</v>
      </c>
      <c r="AC27" t="s">
        <v>137</v>
      </c>
    </row>
    <row r="28" spans="2:29">
      <c r="C28" t="s">
        <v>153</v>
      </c>
      <c r="K28" t="s">
        <v>153</v>
      </c>
      <c r="S28" s="19">
        <v>70000</v>
      </c>
      <c r="T28" s="19">
        <v>70000</v>
      </c>
      <c r="U28" s="19">
        <v>70000</v>
      </c>
      <c r="V28" s="19">
        <v>70000</v>
      </c>
      <c r="W28" s="19">
        <v>70000</v>
      </c>
      <c r="X28" s="19">
        <v>70000</v>
      </c>
      <c r="Y28" s="19">
        <v>70000</v>
      </c>
      <c r="Z28" s="19">
        <v>70000</v>
      </c>
      <c r="AA28" s="19">
        <v>70000</v>
      </c>
      <c r="AB28" s="19">
        <v>70000</v>
      </c>
      <c r="AC28" t="s">
        <v>139</v>
      </c>
    </row>
    <row r="29" spans="2:29">
      <c r="C29" s="75" t="s">
        <v>154</v>
      </c>
      <c r="D29" s="60" t="s">
        <v>155</v>
      </c>
      <c r="E29" s="60"/>
      <c r="F29" s="60"/>
      <c r="G29" s="60"/>
      <c r="H29" s="60"/>
      <c r="K29" s="75" t="s">
        <v>154</v>
      </c>
      <c r="L29" s="60" t="s">
        <v>155</v>
      </c>
      <c r="M29" s="60"/>
      <c r="N29" s="60"/>
      <c r="O29" s="60"/>
      <c r="P29" s="60"/>
      <c r="S29" s="19">
        <f>S28*S26-S27*S26</f>
        <v>43187.5</v>
      </c>
      <c r="T29" s="19">
        <f t="shared" ref="T29:AB29" si="9">T28*T26-T27*T26</f>
        <v>16374.999999999993</v>
      </c>
      <c r="U29" s="19">
        <f t="shared" si="9"/>
        <v>-10437.500000000015</v>
      </c>
      <c r="V29" s="19">
        <f t="shared" si="9"/>
        <v>32749.999999999985</v>
      </c>
      <c r="W29" s="19">
        <f t="shared" si="9"/>
        <v>5937.4999999999709</v>
      </c>
      <c r="X29" s="19">
        <f t="shared" si="9"/>
        <v>-20875.000000000029</v>
      </c>
      <c r="Y29" s="19">
        <f t="shared" si="9"/>
        <v>22312.499999999971</v>
      </c>
      <c r="Z29" s="19">
        <f t="shared" si="9"/>
        <v>-4500.0000000000582</v>
      </c>
      <c r="AA29" s="19">
        <f t="shared" si="9"/>
        <v>-31312.500000000058</v>
      </c>
      <c r="AB29" s="19">
        <f t="shared" si="9"/>
        <v>11874.999999999942</v>
      </c>
      <c r="AC29" t="s">
        <v>141</v>
      </c>
    </row>
    <row r="30" spans="2:29">
      <c r="C30">
        <f>8/5</f>
        <v>1.6</v>
      </c>
      <c r="D30" s="1" t="s">
        <v>156</v>
      </c>
      <c r="E30" s="1"/>
      <c r="F30" s="1"/>
      <c r="G30" t="s">
        <v>157</v>
      </c>
      <c r="K30">
        <f>8/5</f>
        <v>1.6</v>
      </c>
      <c r="L30" s="1" t="s">
        <v>156</v>
      </c>
      <c r="M30" s="1"/>
      <c r="N30" s="1"/>
      <c r="O30" t="s">
        <v>157</v>
      </c>
    </row>
    <row r="31" spans="2:29">
      <c r="C31">
        <f>12/5</f>
        <v>2.4</v>
      </c>
      <c r="D31" s="1" t="s">
        <v>33</v>
      </c>
      <c r="E31" s="1"/>
      <c r="F31" s="1"/>
      <c r="G31" t="s">
        <v>157</v>
      </c>
      <c r="K31">
        <f>12/5</f>
        <v>2.4</v>
      </c>
      <c r="L31" s="1" t="s">
        <v>33</v>
      </c>
      <c r="M31" s="1"/>
      <c r="N31" s="1"/>
      <c r="O31" t="s">
        <v>157</v>
      </c>
    </row>
    <row r="32" spans="2:29">
      <c r="C32" s="74">
        <f>(C31+C30)/2</f>
        <v>2</v>
      </c>
      <c r="D32" s="1" t="s">
        <v>158</v>
      </c>
      <c r="E32" s="1"/>
      <c r="F32" s="1"/>
      <c r="G32" t="s">
        <v>159</v>
      </c>
      <c r="K32" s="74">
        <f>(K31+K30)/2</f>
        <v>2</v>
      </c>
      <c r="L32" s="1" t="s">
        <v>158</v>
      </c>
      <c r="M32" s="1"/>
      <c r="N32" s="1"/>
      <c r="O32" t="s">
        <v>159</v>
      </c>
      <c r="S32" t="s">
        <v>131</v>
      </c>
    </row>
    <row r="33" spans="2:29">
      <c r="C33" s="145">
        <f>1442*C32</f>
        <v>2884</v>
      </c>
      <c r="D33" s="319" t="s">
        <v>160</v>
      </c>
      <c r="E33" s="319"/>
      <c r="F33" s="319"/>
      <c r="K33" s="145">
        <f>1442*K32</f>
        <v>2884</v>
      </c>
      <c r="L33" s="319" t="s">
        <v>160</v>
      </c>
      <c r="M33" s="319"/>
      <c r="N33" s="319"/>
      <c r="S33" s="64">
        <v>1</v>
      </c>
      <c r="T33" s="64">
        <v>1</v>
      </c>
      <c r="U33" s="64">
        <v>1</v>
      </c>
      <c r="V33" s="64">
        <v>1</v>
      </c>
      <c r="W33" s="64">
        <v>1</v>
      </c>
      <c r="X33" s="64">
        <v>1</v>
      </c>
      <c r="Y33" s="64">
        <v>1</v>
      </c>
      <c r="Z33" s="64">
        <v>1.5</v>
      </c>
      <c r="AA33" s="64">
        <v>1.5</v>
      </c>
      <c r="AB33" s="64">
        <v>1.5</v>
      </c>
    </row>
    <row r="34" spans="2:29">
      <c r="C34" s="64" t="s">
        <v>161</v>
      </c>
      <c r="D34" s="64"/>
      <c r="E34" s="64"/>
      <c r="F34" s="64"/>
      <c r="G34" s="64"/>
      <c r="H34" s="64"/>
      <c r="K34" s="64" t="s">
        <v>161</v>
      </c>
      <c r="L34" s="64"/>
      <c r="M34" s="64"/>
      <c r="N34" s="64"/>
      <c r="O34" s="64"/>
      <c r="P34" s="64"/>
      <c r="S34" s="19">
        <f t="shared" ref="S34:AB34" si="10">S7/S33</f>
        <v>4950</v>
      </c>
      <c r="T34" s="19">
        <f t="shared" si="10"/>
        <v>9900</v>
      </c>
      <c r="U34" s="19">
        <f t="shared" si="10"/>
        <v>14850.000000000002</v>
      </c>
      <c r="V34" s="19">
        <f t="shared" si="10"/>
        <v>19800</v>
      </c>
      <c r="W34" s="19">
        <f t="shared" si="10"/>
        <v>24750.000000000004</v>
      </c>
      <c r="X34" s="19">
        <f t="shared" si="10"/>
        <v>29700.000000000004</v>
      </c>
      <c r="Y34" s="19">
        <f t="shared" si="10"/>
        <v>34650</v>
      </c>
      <c r="Z34" s="19">
        <f t="shared" si="10"/>
        <v>26400</v>
      </c>
      <c r="AA34" s="19">
        <f t="shared" si="10"/>
        <v>29700.000000000004</v>
      </c>
      <c r="AB34" s="19">
        <f t="shared" si="10"/>
        <v>33000.000000000007</v>
      </c>
      <c r="AC34" t="s">
        <v>137</v>
      </c>
    </row>
    <row r="35" spans="2:29">
      <c r="C35" s="101" t="s">
        <v>162</v>
      </c>
      <c r="D35" s="64" t="s">
        <v>155</v>
      </c>
      <c r="E35" s="64"/>
      <c r="F35" s="64"/>
      <c r="G35" s="64"/>
      <c r="H35" s="64"/>
      <c r="K35" s="101" t="s">
        <v>162</v>
      </c>
      <c r="L35" s="64" t="s">
        <v>155</v>
      </c>
      <c r="M35" s="64"/>
      <c r="N35" s="64"/>
      <c r="O35" s="64"/>
      <c r="P35" s="64"/>
      <c r="S35" s="19">
        <v>45000</v>
      </c>
      <c r="T35" s="19">
        <v>45000</v>
      </c>
      <c r="U35" s="19">
        <v>45000</v>
      </c>
      <c r="V35" s="19">
        <v>45000</v>
      </c>
      <c r="W35" s="19">
        <v>45000</v>
      </c>
      <c r="X35" s="19">
        <v>45000</v>
      </c>
      <c r="Y35" s="19">
        <v>45000</v>
      </c>
      <c r="Z35" s="19">
        <v>45000</v>
      </c>
      <c r="AA35" s="19">
        <v>45000</v>
      </c>
      <c r="AB35" s="19">
        <v>45000</v>
      </c>
      <c r="AC35" t="s">
        <v>139</v>
      </c>
    </row>
    <row r="36" spans="2:29">
      <c r="C36" s="146">
        <v>52500</v>
      </c>
      <c r="D36" t="s">
        <v>163</v>
      </c>
      <c r="K36" s="146">
        <v>52500</v>
      </c>
      <c r="L36" t="s">
        <v>163</v>
      </c>
      <c r="S36" s="19">
        <f>S35*S33-S34*S33</f>
        <v>40050</v>
      </c>
      <c r="T36" s="19">
        <f t="shared" ref="T36:AB36" si="11">T35*T33-T34*T33</f>
        <v>35100</v>
      </c>
      <c r="U36" s="19">
        <f t="shared" si="11"/>
        <v>30150</v>
      </c>
      <c r="V36" s="19">
        <f t="shared" si="11"/>
        <v>25200</v>
      </c>
      <c r="W36" s="19">
        <f t="shared" si="11"/>
        <v>20249.999999999996</v>
      </c>
      <c r="X36" s="19">
        <f t="shared" si="11"/>
        <v>15299.999999999996</v>
      </c>
      <c r="Y36" s="19">
        <f t="shared" si="11"/>
        <v>10350</v>
      </c>
      <c r="Z36" s="19">
        <f t="shared" si="11"/>
        <v>27900</v>
      </c>
      <c r="AA36" s="19">
        <f t="shared" si="11"/>
        <v>22949.999999999993</v>
      </c>
      <c r="AB36" s="19">
        <f t="shared" si="11"/>
        <v>17999.999999999985</v>
      </c>
      <c r="AC36" t="s">
        <v>141</v>
      </c>
    </row>
    <row r="37" spans="2:29">
      <c r="C37" s="146">
        <v>2000000</v>
      </c>
      <c r="D37" t="s">
        <v>164</v>
      </c>
      <c r="K37" s="146">
        <v>500000</v>
      </c>
      <c r="L37" t="s">
        <v>164</v>
      </c>
    </row>
    <row r="38" spans="2:29">
      <c r="C38" s="323">
        <f>C36/C37</f>
        <v>2.6249999999999999E-2</v>
      </c>
      <c r="D38" t="s">
        <v>165</v>
      </c>
      <c r="K38" s="323">
        <f>K36/K37</f>
        <v>0.105</v>
      </c>
      <c r="L38" t="s">
        <v>165</v>
      </c>
      <c r="S38" t="s">
        <v>166</v>
      </c>
    </row>
    <row r="39" spans="2:29">
      <c r="C39" s="27"/>
      <c r="K39" s="27"/>
      <c r="S39" s="64">
        <v>1</v>
      </c>
      <c r="T39" s="64">
        <v>1</v>
      </c>
      <c r="U39" s="64">
        <v>2</v>
      </c>
      <c r="V39" s="64">
        <v>2</v>
      </c>
      <c r="W39" s="64">
        <v>2</v>
      </c>
      <c r="X39" s="64">
        <v>3</v>
      </c>
      <c r="Y39" s="64">
        <v>3</v>
      </c>
      <c r="Z39" s="64">
        <v>3</v>
      </c>
      <c r="AA39" s="64">
        <v>4</v>
      </c>
      <c r="AB39" s="64">
        <v>4</v>
      </c>
    </row>
    <row r="40" spans="2:29">
      <c r="B40" s="321" t="s">
        <v>167</v>
      </c>
      <c r="C40" s="322"/>
      <c r="D40" s="322"/>
      <c r="E40" s="322"/>
      <c r="F40" s="322"/>
      <c r="G40" s="322"/>
      <c r="H40" s="322"/>
      <c r="J40" s="321" t="s">
        <v>167</v>
      </c>
      <c r="K40" s="322"/>
      <c r="L40" s="322"/>
      <c r="M40" s="322"/>
      <c r="N40" s="322"/>
      <c r="O40" s="322"/>
      <c r="P40" s="322"/>
      <c r="S40" s="19">
        <f>S8/S39</f>
        <v>16500</v>
      </c>
      <c r="T40" s="19">
        <f t="shared" ref="T40:AB40" si="12">T8/T39</f>
        <v>33000</v>
      </c>
      <c r="U40" s="19">
        <f t="shared" si="12"/>
        <v>24750</v>
      </c>
      <c r="V40" s="19">
        <f t="shared" si="12"/>
        <v>33000</v>
      </c>
      <c r="W40" s="19">
        <f t="shared" si="12"/>
        <v>41250</v>
      </c>
      <c r="X40" s="19">
        <f t="shared" si="12"/>
        <v>33000</v>
      </c>
      <c r="Y40" s="19">
        <f t="shared" si="12"/>
        <v>38500</v>
      </c>
      <c r="Z40" s="19">
        <f t="shared" si="12"/>
        <v>44000</v>
      </c>
      <c r="AA40" s="19">
        <f t="shared" si="12"/>
        <v>37125</v>
      </c>
      <c r="AB40" s="19">
        <f t="shared" si="12"/>
        <v>41250</v>
      </c>
      <c r="AC40" t="s">
        <v>137</v>
      </c>
    </row>
    <row r="41" spans="2:29">
      <c r="C41" t="s">
        <v>144</v>
      </c>
      <c r="D41" s="336" t="s">
        <v>168</v>
      </c>
      <c r="E41" s="337"/>
      <c r="F41" s="337"/>
      <c r="G41" s="337"/>
      <c r="H41" s="337"/>
      <c r="K41" t="s">
        <v>144</v>
      </c>
      <c r="L41" s="336" t="s">
        <v>168</v>
      </c>
      <c r="M41" s="337"/>
      <c r="N41" s="337"/>
      <c r="O41" s="337"/>
      <c r="P41" s="337"/>
      <c r="S41" s="19">
        <v>12000</v>
      </c>
      <c r="T41" s="19">
        <v>12000</v>
      </c>
      <c r="U41" s="19">
        <v>12000</v>
      </c>
      <c r="V41" s="19">
        <v>12000</v>
      </c>
      <c r="W41" s="19">
        <v>12000</v>
      </c>
      <c r="X41" s="19">
        <v>12000</v>
      </c>
      <c r="Y41" s="19">
        <v>12000</v>
      </c>
      <c r="Z41" s="19">
        <v>12000</v>
      </c>
      <c r="AA41" s="19">
        <v>12000</v>
      </c>
      <c r="AB41" s="19">
        <v>12000</v>
      </c>
      <c r="AC41" t="s">
        <v>139</v>
      </c>
    </row>
    <row r="42" spans="2:29">
      <c r="D42" s="24" t="s">
        <v>169</v>
      </c>
      <c r="E42" s="24"/>
      <c r="F42" s="24"/>
      <c r="L42" s="24" t="s">
        <v>169</v>
      </c>
      <c r="M42" s="24"/>
      <c r="N42" s="24"/>
      <c r="S42" s="19">
        <f>S41*S39-S40*S39</f>
        <v>-4500</v>
      </c>
      <c r="T42" s="19">
        <f t="shared" ref="T42:AB42" si="13">T41*T39-T40*T39</f>
        <v>-21000</v>
      </c>
      <c r="U42" s="19">
        <f t="shared" si="13"/>
        <v>-25500</v>
      </c>
      <c r="V42" s="19">
        <f t="shared" si="13"/>
        <v>-42000</v>
      </c>
      <c r="W42" s="19">
        <f t="shared" si="13"/>
        <v>-58500</v>
      </c>
      <c r="X42" s="19">
        <f t="shared" si="13"/>
        <v>-63000</v>
      </c>
      <c r="Y42" s="19">
        <f t="shared" si="13"/>
        <v>-79500</v>
      </c>
      <c r="Z42" s="19">
        <f t="shared" si="13"/>
        <v>-96000</v>
      </c>
      <c r="AA42" s="19">
        <f t="shared" si="13"/>
        <v>-100500</v>
      </c>
      <c r="AB42" s="19">
        <f t="shared" si="13"/>
        <v>-117000</v>
      </c>
      <c r="AC42" t="s">
        <v>141</v>
      </c>
    </row>
    <row r="43" spans="2:29">
      <c r="D43" s="24" t="s">
        <v>170</v>
      </c>
      <c r="E43" s="24"/>
      <c r="F43" s="24"/>
      <c r="L43" s="24" t="s">
        <v>170</v>
      </c>
      <c r="M43" s="24"/>
      <c r="N43" s="24"/>
    </row>
    <row r="44" spans="2:29">
      <c r="C44" s="101" t="s">
        <v>162</v>
      </c>
      <c r="D44" s="64" t="s">
        <v>155</v>
      </c>
      <c r="E44" s="64"/>
      <c r="F44" s="64"/>
      <c r="G44" s="64"/>
      <c r="H44" s="64"/>
      <c r="K44" s="101" t="s">
        <v>162</v>
      </c>
      <c r="L44" s="64" t="s">
        <v>155</v>
      </c>
      <c r="M44" s="64"/>
      <c r="N44" s="64"/>
      <c r="O44" s="64"/>
      <c r="P44" s="64"/>
      <c r="S44" t="s">
        <v>133</v>
      </c>
    </row>
    <row r="45" spans="2:29">
      <c r="C45" s="146">
        <v>65000</v>
      </c>
      <c r="D45" t="s">
        <v>163</v>
      </c>
      <c r="K45" s="146">
        <v>65000</v>
      </c>
      <c r="L45" t="s">
        <v>163</v>
      </c>
      <c r="S45" s="64">
        <v>1</v>
      </c>
      <c r="T45" s="64">
        <v>1</v>
      </c>
      <c r="U45" s="64">
        <v>1</v>
      </c>
      <c r="V45" s="64">
        <v>1</v>
      </c>
      <c r="W45" s="64">
        <v>1</v>
      </c>
      <c r="X45" s="64">
        <v>1.5</v>
      </c>
      <c r="Y45" s="64">
        <v>1.5</v>
      </c>
      <c r="Z45" s="64">
        <v>1.5</v>
      </c>
      <c r="AA45" s="64">
        <v>1.5</v>
      </c>
      <c r="AB45" s="64">
        <v>1.5</v>
      </c>
    </row>
    <row r="46" spans="2:29">
      <c r="C46" s="146">
        <v>2000000</v>
      </c>
      <c r="D46" t="s">
        <v>171</v>
      </c>
      <c r="K46" s="146">
        <v>500000</v>
      </c>
      <c r="L46" t="s">
        <v>172</v>
      </c>
      <c r="S46" s="19">
        <f>S9/S45</f>
        <v>15345</v>
      </c>
      <c r="T46" s="19">
        <f t="shared" ref="T46:AB46" si="14">T9/T45</f>
        <v>30690</v>
      </c>
      <c r="U46" s="19">
        <f t="shared" si="14"/>
        <v>46035</v>
      </c>
      <c r="V46" s="19">
        <f t="shared" si="14"/>
        <v>61380</v>
      </c>
      <c r="W46" s="19">
        <f t="shared" si="14"/>
        <v>76725</v>
      </c>
      <c r="X46" s="19">
        <f t="shared" si="14"/>
        <v>61380</v>
      </c>
      <c r="Y46" s="19">
        <f t="shared" si="14"/>
        <v>71610</v>
      </c>
      <c r="Z46" s="19">
        <f t="shared" si="14"/>
        <v>81840</v>
      </c>
      <c r="AA46" s="19">
        <f t="shared" si="14"/>
        <v>92070</v>
      </c>
      <c r="AB46" s="19">
        <f t="shared" si="14"/>
        <v>102300</v>
      </c>
      <c r="AC46" t="s">
        <v>137</v>
      </c>
    </row>
    <row r="47" spans="2:29">
      <c r="C47" s="323">
        <f>C45/C46</f>
        <v>3.2500000000000001E-2</v>
      </c>
      <c r="D47" t="s">
        <v>173</v>
      </c>
      <c r="K47" s="323">
        <f>K45/K46</f>
        <v>0.13</v>
      </c>
      <c r="L47" t="s">
        <v>174</v>
      </c>
      <c r="S47" s="19">
        <v>35000</v>
      </c>
      <c r="T47" s="19">
        <v>35000</v>
      </c>
      <c r="U47" s="19">
        <v>35000</v>
      </c>
      <c r="V47" s="19">
        <v>35000</v>
      </c>
      <c r="W47" s="19">
        <v>35000</v>
      </c>
      <c r="X47" s="19">
        <v>35000</v>
      </c>
      <c r="Y47" s="19">
        <v>35000</v>
      </c>
      <c r="Z47" s="19">
        <v>35000</v>
      </c>
      <c r="AA47" s="19">
        <v>35000</v>
      </c>
      <c r="AB47" s="19">
        <v>35000</v>
      </c>
      <c r="AC47" t="s">
        <v>139</v>
      </c>
    </row>
    <row r="48" spans="2:29">
      <c r="C48" s="27"/>
      <c r="K48" s="27"/>
      <c r="S48" s="19">
        <f>S47*S45-S46*S45</f>
        <v>19655</v>
      </c>
      <c r="T48" s="19">
        <f t="shared" ref="T48:AB48" si="15">T47*T45-T46*T45</f>
        <v>4310</v>
      </c>
      <c r="U48" s="19">
        <f t="shared" si="15"/>
        <v>-11035</v>
      </c>
      <c r="V48" s="19">
        <f t="shared" si="15"/>
        <v>-26380</v>
      </c>
      <c r="W48" s="19">
        <f t="shared" si="15"/>
        <v>-41725</v>
      </c>
      <c r="X48" s="19">
        <f t="shared" si="15"/>
        <v>-39570</v>
      </c>
      <c r="Y48" s="19">
        <f t="shared" si="15"/>
        <v>-54915</v>
      </c>
      <c r="Z48" s="19">
        <f t="shared" si="15"/>
        <v>-70260</v>
      </c>
      <c r="AA48" s="19">
        <f t="shared" si="15"/>
        <v>-85605</v>
      </c>
      <c r="AB48" s="19">
        <f t="shared" si="15"/>
        <v>-100950</v>
      </c>
      <c r="AC48" t="s">
        <v>141</v>
      </c>
    </row>
    <row r="49" spans="2:29">
      <c r="B49" s="321" t="s">
        <v>175</v>
      </c>
      <c r="C49" s="322"/>
      <c r="D49" s="322"/>
      <c r="E49" s="322"/>
      <c r="F49" s="322"/>
      <c r="G49" s="322"/>
      <c r="H49" s="322"/>
      <c r="J49" s="321" t="s">
        <v>175</v>
      </c>
      <c r="K49" s="322"/>
      <c r="L49" s="322"/>
      <c r="M49" s="322"/>
      <c r="N49" s="322"/>
      <c r="O49" s="322"/>
      <c r="P49" s="322"/>
    </row>
    <row r="50" spans="2:29">
      <c r="C50" t="s">
        <v>144</v>
      </c>
      <c r="K50" t="s">
        <v>144</v>
      </c>
      <c r="S50" t="s">
        <v>176</v>
      </c>
    </row>
    <row r="51" spans="2:29">
      <c r="D51" s="24" t="s">
        <v>177</v>
      </c>
      <c r="E51" s="24"/>
      <c r="F51" s="24"/>
      <c r="L51" s="24" t="s">
        <v>177</v>
      </c>
      <c r="M51" s="24"/>
      <c r="N51" s="24"/>
      <c r="S51" s="64">
        <v>1</v>
      </c>
      <c r="T51" s="64">
        <v>1</v>
      </c>
      <c r="U51" s="64">
        <v>1</v>
      </c>
      <c r="V51" s="64">
        <v>1</v>
      </c>
      <c r="W51" s="64">
        <v>1</v>
      </c>
      <c r="X51" s="64">
        <v>1.5</v>
      </c>
      <c r="Y51" s="64">
        <v>1.5</v>
      </c>
      <c r="Z51" s="64">
        <v>1.5</v>
      </c>
      <c r="AA51" s="64">
        <v>1.5</v>
      </c>
      <c r="AB51" s="64">
        <v>1.5</v>
      </c>
    </row>
    <row r="52" spans="2:29">
      <c r="D52" s="24" t="s">
        <v>178</v>
      </c>
      <c r="E52" s="24"/>
      <c r="F52" s="24"/>
      <c r="L52" s="24" t="s">
        <v>178</v>
      </c>
      <c r="M52" s="24"/>
      <c r="N52" s="24"/>
      <c r="S52" s="19">
        <f>S10/S51</f>
        <v>12375</v>
      </c>
      <c r="T52" s="19">
        <f t="shared" ref="T52:AB52" si="16">T10/T51</f>
        <v>24750</v>
      </c>
      <c r="U52" s="19">
        <f t="shared" si="16"/>
        <v>37125</v>
      </c>
      <c r="V52" s="19">
        <f t="shared" si="16"/>
        <v>49500</v>
      </c>
      <c r="W52" s="19">
        <f t="shared" si="16"/>
        <v>61875</v>
      </c>
      <c r="X52" s="19">
        <f t="shared" si="16"/>
        <v>49500</v>
      </c>
      <c r="Y52" s="19">
        <f t="shared" si="16"/>
        <v>57750</v>
      </c>
      <c r="Z52" s="19">
        <f t="shared" si="16"/>
        <v>66000</v>
      </c>
      <c r="AA52" s="19">
        <f t="shared" si="16"/>
        <v>74250</v>
      </c>
      <c r="AB52" s="19">
        <f t="shared" si="16"/>
        <v>82500</v>
      </c>
      <c r="AC52" t="s">
        <v>137</v>
      </c>
    </row>
    <row r="53" spans="2:29">
      <c r="D53" s="24" t="s">
        <v>179</v>
      </c>
      <c r="E53" s="24"/>
      <c r="F53" s="24"/>
      <c r="L53" s="24" t="s">
        <v>179</v>
      </c>
      <c r="M53" s="24"/>
      <c r="N53" s="24"/>
      <c r="S53" s="19">
        <v>15000</v>
      </c>
      <c r="T53" s="19">
        <v>15000</v>
      </c>
      <c r="U53" s="19">
        <v>15000</v>
      </c>
      <c r="V53" s="19">
        <v>22000</v>
      </c>
      <c r="W53" s="19">
        <v>22000</v>
      </c>
      <c r="X53" s="19">
        <v>22000</v>
      </c>
      <c r="Y53" s="19">
        <v>22000</v>
      </c>
      <c r="Z53" s="19">
        <v>30000</v>
      </c>
      <c r="AA53" s="19">
        <v>30000</v>
      </c>
      <c r="AB53" s="19">
        <v>30000</v>
      </c>
      <c r="AC53" t="s">
        <v>139</v>
      </c>
    </row>
    <row r="54" spans="2:29">
      <c r="D54" s="24" t="s">
        <v>180</v>
      </c>
      <c r="E54" s="24"/>
      <c r="F54" s="24"/>
      <c r="L54" s="24" t="s">
        <v>180</v>
      </c>
      <c r="M54" s="24"/>
      <c r="N54" s="24"/>
      <c r="S54" s="19">
        <f>S53*S51-S52*S51</f>
        <v>2625</v>
      </c>
      <c r="T54" s="19">
        <f t="shared" ref="T54:AB54" si="17">T53*T51-T52*T51</f>
        <v>-9750</v>
      </c>
      <c r="U54" s="19">
        <f t="shared" si="17"/>
        <v>-22125</v>
      </c>
      <c r="V54" s="19">
        <f t="shared" si="17"/>
        <v>-27500</v>
      </c>
      <c r="W54" s="19">
        <f t="shared" si="17"/>
        <v>-39875</v>
      </c>
      <c r="X54" s="19">
        <f t="shared" si="17"/>
        <v>-41250</v>
      </c>
      <c r="Y54" s="19">
        <f t="shared" si="17"/>
        <v>-53625</v>
      </c>
      <c r="Z54" s="19">
        <f t="shared" si="17"/>
        <v>-54000</v>
      </c>
      <c r="AA54" s="19">
        <f t="shared" si="17"/>
        <v>-66375</v>
      </c>
      <c r="AB54" s="19">
        <f t="shared" si="17"/>
        <v>-78750</v>
      </c>
      <c r="AC54" t="s">
        <v>141</v>
      </c>
    </row>
    <row r="55" spans="2:29">
      <c r="C55" s="101" t="s">
        <v>162</v>
      </c>
      <c r="D55" s="64" t="s">
        <v>155</v>
      </c>
      <c r="E55" s="64"/>
      <c r="F55" s="64"/>
      <c r="G55" s="64"/>
      <c r="H55" s="64"/>
      <c r="K55" s="101" t="s">
        <v>162</v>
      </c>
      <c r="L55" s="64" t="s">
        <v>155</v>
      </c>
      <c r="M55" s="64"/>
      <c r="N55" s="64"/>
      <c r="O55" s="64"/>
      <c r="P55" s="64"/>
    </row>
    <row r="56" spans="2:29">
      <c r="C56" s="146">
        <v>48000</v>
      </c>
      <c r="D56" t="s">
        <v>163</v>
      </c>
      <c r="K56" s="146">
        <v>48000</v>
      </c>
      <c r="L56" t="s">
        <v>163</v>
      </c>
      <c r="S56" s="60" t="s">
        <v>181</v>
      </c>
      <c r="T56" s="60"/>
      <c r="U56" s="60"/>
      <c r="V56" s="60"/>
      <c r="W56" s="60"/>
      <c r="X56" s="60"/>
      <c r="Y56" s="60"/>
      <c r="Z56" s="60"/>
      <c r="AA56" s="60"/>
      <c r="AB56" s="60"/>
    </row>
    <row r="57" spans="2:29">
      <c r="C57" s="146">
        <v>6000000</v>
      </c>
      <c r="D57" t="s">
        <v>171</v>
      </c>
      <c r="K57" s="146">
        <v>2000000</v>
      </c>
      <c r="L57" t="s">
        <v>182</v>
      </c>
      <c r="S57" s="27">
        <f t="shared" ref="S57:AB57" si="18">S16+S23+S29+S36+S42+S48+S54</f>
        <v>204361.25</v>
      </c>
      <c r="T57" s="27">
        <f t="shared" si="18"/>
        <v>96722.5</v>
      </c>
      <c r="U57" s="27">
        <f t="shared" si="18"/>
        <v>1083.7499999999782</v>
      </c>
      <c r="V57" s="27">
        <f t="shared" si="18"/>
        <v>35444.999999999971</v>
      </c>
      <c r="W57" s="27">
        <f t="shared" si="18"/>
        <v>-72193.750000000044</v>
      </c>
      <c r="X57" s="27">
        <f t="shared" si="18"/>
        <v>-139332.50000000006</v>
      </c>
      <c r="Y57" s="27">
        <f t="shared" si="18"/>
        <v>-111971.25000000003</v>
      </c>
      <c r="Z57" s="27">
        <f t="shared" si="18"/>
        <v>-185110.00000000009</v>
      </c>
      <c r="AA57" s="27">
        <f t="shared" si="18"/>
        <v>-280748.75000000012</v>
      </c>
      <c r="AB57" s="27">
        <f t="shared" si="18"/>
        <v>-253387.50000000012</v>
      </c>
    </row>
    <row r="58" spans="2:29">
      <c r="C58" s="323">
        <f>C56/C57</f>
        <v>8.0000000000000002E-3</v>
      </c>
      <c r="D58" t="s">
        <v>173</v>
      </c>
      <c r="K58" s="323">
        <f>K56/K57</f>
        <v>2.4E-2</v>
      </c>
      <c r="L58" t="s">
        <v>173</v>
      </c>
      <c r="S58" t="s">
        <v>183</v>
      </c>
    </row>
    <row r="59" spans="2:29">
      <c r="S59" s="313">
        <f t="shared" ref="S59:AB59" si="19">S57/S3</f>
        <v>0.20436124999999999</v>
      </c>
      <c r="T59" s="313">
        <f t="shared" si="19"/>
        <v>4.8361250000000001E-2</v>
      </c>
      <c r="U59" s="313">
        <f t="shared" si="19"/>
        <v>3.6124999999999271E-4</v>
      </c>
      <c r="V59" s="313">
        <f t="shared" si="19"/>
        <v>8.8612499999999924E-3</v>
      </c>
      <c r="W59" s="313">
        <f t="shared" si="19"/>
        <v>-1.4438750000000009E-2</v>
      </c>
      <c r="X59" s="313">
        <f t="shared" si="19"/>
        <v>-2.3222083333333345E-2</v>
      </c>
      <c r="Y59" s="313">
        <f t="shared" si="19"/>
        <v>-1.5995892857142861E-2</v>
      </c>
      <c r="Z59" s="313">
        <f t="shared" si="19"/>
        <v>-2.313875000000001E-2</v>
      </c>
      <c r="AA59" s="313">
        <f t="shared" si="19"/>
        <v>-3.1194305555555569E-2</v>
      </c>
      <c r="AB59" s="313">
        <f t="shared" si="19"/>
        <v>-2.5338750000000011E-2</v>
      </c>
    </row>
    <row r="60" spans="2:29">
      <c r="B60" s="321" t="s">
        <v>184</v>
      </c>
      <c r="C60" s="322"/>
      <c r="D60" s="322"/>
      <c r="E60" s="322"/>
      <c r="F60" s="322"/>
      <c r="G60" s="322"/>
      <c r="H60" s="322"/>
      <c r="J60" s="321" t="s">
        <v>184</v>
      </c>
      <c r="K60" s="322"/>
      <c r="L60" s="322"/>
      <c r="M60" s="322"/>
      <c r="N60" s="322"/>
      <c r="O60" s="322"/>
      <c r="P60" s="322"/>
    </row>
    <row r="61" spans="2:29">
      <c r="C61" t="s">
        <v>144</v>
      </c>
      <c r="K61" t="s">
        <v>144</v>
      </c>
    </row>
    <row r="62" spans="2:29">
      <c r="D62" s="24" t="s">
        <v>185</v>
      </c>
      <c r="E62" s="24"/>
      <c r="F62" s="24"/>
      <c r="L62" s="24" t="s">
        <v>185</v>
      </c>
      <c r="M62" s="24"/>
      <c r="N62" s="24"/>
    </row>
    <row r="63" spans="2:29">
      <c r="D63" s="24" t="s">
        <v>186</v>
      </c>
      <c r="E63" s="24"/>
      <c r="F63" s="24"/>
      <c r="L63" s="24" t="s">
        <v>186</v>
      </c>
      <c r="M63" s="24"/>
      <c r="N63" s="24"/>
    </row>
    <row r="64" spans="2:29">
      <c r="D64" s="24" t="s">
        <v>187</v>
      </c>
      <c r="E64" s="24"/>
      <c r="F64" s="24"/>
      <c r="L64" s="24" t="s">
        <v>187</v>
      </c>
      <c r="M64" s="24"/>
      <c r="N64" s="24"/>
    </row>
    <row r="65" spans="2:16">
      <c r="D65" s="24" t="s">
        <v>188</v>
      </c>
      <c r="E65" s="24"/>
      <c r="F65" s="24"/>
      <c r="L65" s="24" t="s">
        <v>188</v>
      </c>
      <c r="M65" s="24"/>
      <c r="N65" s="24"/>
    </row>
    <row r="66" spans="2:16">
      <c r="C66" s="101" t="s">
        <v>162</v>
      </c>
      <c r="D66" s="64" t="s">
        <v>155</v>
      </c>
      <c r="E66" s="64"/>
      <c r="F66" s="64"/>
      <c r="G66" s="64"/>
      <c r="H66" s="64"/>
      <c r="K66" s="101" t="s">
        <v>162</v>
      </c>
      <c r="L66" s="64" t="s">
        <v>155</v>
      </c>
      <c r="M66" s="64"/>
      <c r="N66" s="64"/>
      <c r="O66" s="64"/>
      <c r="P66" s="64"/>
    </row>
    <row r="67" spans="2:16">
      <c r="C67" s="146">
        <v>20000</v>
      </c>
      <c r="D67" t="s">
        <v>163</v>
      </c>
      <c r="K67" s="146">
        <v>20000</v>
      </c>
      <c r="L67" t="s">
        <v>163</v>
      </c>
    </row>
    <row r="68" spans="2:16">
      <c r="C68" s="146">
        <v>1000000</v>
      </c>
      <c r="D68" t="s">
        <v>171</v>
      </c>
      <c r="K68" s="146">
        <v>250000</v>
      </c>
      <c r="L68" t="s">
        <v>182</v>
      </c>
    </row>
    <row r="69" spans="2:16">
      <c r="C69" s="323">
        <f>C67/C68</f>
        <v>0.02</v>
      </c>
      <c r="D69" t="s">
        <v>173</v>
      </c>
      <c r="K69" s="323">
        <f>K67/K68</f>
        <v>0.08</v>
      </c>
      <c r="L69" t="s">
        <v>173</v>
      </c>
    </row>
    <row r="71" spans="2:16">
      <c r="B71" s="321" t="s">
        <v>189</v>
      </c>
      <c r="C71" s="322"/>
      <c r="D71" s="322"/>
      <c r="E71" s="322"/>
      <c r="F71" s="322"/>
      <c r="G71" s="322"/>
      <c r="H71" s="322"/>
      <c r="J71" s="321" t="s">
        <v>189</v>
      </c>
      <c r="K71" s="322"/>
      <c r="L71" s="322"/>
      <c r="M71" s="322"/>
      <c r="N71" s="322"/>
      <c r="O71" s="322"/>
      <c r="P71" s="322"/>
    </row>
    <row r="72" spans="2:16">
      <c r="C72" t="s">
        <v>144</v>
      </c>
      <c r="K72" t="s">
        <v>144</v>
      </c>
    </row>
    <row r="73" spans="2:16">
      <c r="D73" s="24" t="s">
        <v>190</v>
      </c>
      <c r="E73" s="24"/>
      <c r="F73" s="24"/>
      <c r="L73" s="24" t="s">
        <v>190</v>
      </c>
      <c r="M73" s="24"/>
      <c r="N73" s="24"/>
    </row>
    <row r="74" spans="2:16">
      <c r="D74" s="24" t="s">
        <v>191</v>
      </c>
      <c r="E74" s="24"/>
      <c r="F74" s="24"/>
      <c r="L74" s="24" t="s">
        <v>191</v>
      </c>
      <c r="M74" s="24"/>
      <c r="N74" s="24"/>
    </row>
    <row r="75" spans="2:16">
      <c r="D75" s="24" t="s">
        <v>192</v>
      </c>
      <c r="E75" s="24"/>
      <c r="F75" s="24"/>
      <c r="L75" s="24" t="s">
        <v>192</v>
      </c>
      <c r="M75" s="24"/>
      <c r="N75" s="24"/>
    </row>
    <row r="76" spans="2:16">
      <c r="D76" s="24" t="s">
        <v>193</v>
      </c>
      <c r="E76" s="24"/>
      <c r="F76" s="24"/>
      <c r="L76" s="24" t="s">
        <v>193</v>
      </c>
      <c r="M76" s="24"/>
      <c r="N76" s="24"/>
    </row>
    <row r="77" spans="2:16">
      <c r="D77" s="24" t="s">
        <v>194</v>
      </c>
      <c r="E77" s="24"/>
      <c r="F77" s="24"/>
      <c r="L77" s="24" t="s">
        <v>194</v>
      </c>
      <c r="M77" s="24"/>
      <c r="N77" s="24"/>
    </row>
    <row r="78" spans="2:16">
      <c r="C78" s="101" t="s">
        <v>162</v>
      </c>
      <c r="D78" s="64" t="s">
        <v>155</v>
      </c>
      <c r="E78" s="64"/>
      <c r="F78" s="64"/>
      <c r="G78" s="64"/>
      <c r="H78" s="64"/>
      <c r="K78" s="101" t="s">
        <v>162</v>
      </c>
      <c r="L78" s="64" t="s">
        <v>155</v>
      </c>
      <c r="M78" s="64"/>
      <c r="N78" s="64"/>
      <c r="O78" s="64"/>
      <c r="P78" s="64"/>
    </row>
    <row r="79" spans="2:16">
      <c r="C79" s="146">
        <v>37200</v>
      </c>
      <c r="D79" t="s">
        <v>163</v>
      </c>
      <c r="K79" s="146">
        <v>37200</v>
      </c>
      <c r="L79" t="s">
        <v>195</v>
      </c>
    </row>
    <row r="80" spans="2:16">
      <c r="C80" s="146">
        <v>2000000</v>
      </c>
      <c r="D80" t="s">
        <v>196</v>
      </c>
      <c r="K80" s="146">
        <v>500000</v>
      </c>
      <c r="L80" t="s">
        <v>197</v>
      </c>
    </row>
    <row r="81" spans="2:16">
      <c r="C81" s="323">
        <f>C79/C80</f>
        <v>1.8599999999999998E-2</v>
      </c>
      <c r="D81" t="s">
        <v>173</v>
      </c>
      <c r="K81" s="323">
        <f>K79/K80</f>
        <v>7.4399999999999994E-2</v>
      </c>
      <c r="L81" t="s">
        <v>198</v>
      </c>
    </row>
    <row r="83" spans="2:16">
      <c r="B83" s="321" t="s">
        <v>199</v>
      </c>
      <c r="C83" s="322"/>
      <c r="D83" s="322"/>
      <c r="E83" s="322"/>
      <c r="F83" s="322"/>
      <c r="G83" s="322"/>
      <c r="H83" s="322"/>
      <c r="J83" s="321" t="s">
        <v>199</v>
      </c>
      <c r="K83" s="322"/>
      <c r="L83" s="322"/>
      <c r="M83" s="322"/>
      <c r="N83" s="322"/>
      <c r="O83" s="322"/>
      <c r="P83" s="322"/>
    </row>
    <row r="84" spans="2:16">
      <c r="C84" t="s">
        <v>144</v>
      </c>
      <c r="K84" t="s">
        <v>144</v>
      </c>
    </row>
    <row r="85" spans="2:16">
      <c r="D85" s="24" t="s">
        <v>200</v>
      </c>
      <c r="E85" s="24"/>
      <c r="F85" s="24"/>
      <c r="L85" s="24" t="s">
        <v>200</v>
      </c>
      <c r="M85" s="24"/>
      <c r="N85" s="24"/>
    </row>
    <row r="86" spans="2:16">
      <c r="D86" s="24" t="s">
        <v>201</v>
      </c>
      <c r="E86" s="24"/>
      <c r="F86" s="24"/>
      <c r="L86" s="24" t="s">
        <v>201</v>
      </c>
      <c r="M86" s="24"/>
      <c r="N86" s="24"/>
    </row>
    <row r="87" spans="2:16">
      <c r="D87" s="24" t="s">
        <v>202</v>
      </c>
      <c r="E87" s="24"/>
      <c r="F87" s="24"/>
      <c r="L87" s="24" t="s">
        <v>202</v>
      </c>
      <c r="M87" s="24"/>
      <c r="N87" s="24"/>
    </row>
    <row r="88" spans="2:16">
      <c r="D88" s="24" t="s">
        <v>203</v>
      </c>
      <c r="E88" s="24"/>
      <c r="F88" s="24"/>
      <c r="L88" s="24" t="s">
        <v>203</v>
      </c>
      <c r="M88" s="24"/>
      <c r="N88" s="24"/>
    </row>
    <row r="89" spans="2:16">
      <c r="D89" s="24"/>
      <c r="E89" s="24"/>
      <c r="F89" s="24"/>
      <c r="G89" s="24" t="s">
        <v>204</v>
      </c>
      <c r="L89" s="24"/>
      <c r="M89" s="24"/>
      <c r="N89" s="24"/>
      <c r="O89" s="24" t="s">
        <v>204</v>
      </c>
    </row>
    <row r="90" spans="2:16">
      <c r="G90" s="24" t="s">
        <v>205</v>
      </c>
      <c r="O90" s="24" t="s">
        <v>205</v>
      </c>
    </row>
    <row r="91" spans="2:16">
      <c r="G91" s="24" t="s">
        <v>206</v>
      </c>
      <c r="O91" s="24" t="s">
        <v>206</v>
      </c>
    </row>
    <row r="92" spans="2:16">
      <c r="C92" s="101" t="s">
        <v>162</v>
      </c>
      <c r="D92" s="64" t="s">
        <v>155</v>
      </c>
      <c r="E92" s="64"/>
      <c r="F92" s="64"/>
      <c r="G92" s="64"/>
      <c r="H92" s="64"/>
      <c r="K92" s="101" t="s">
        <v>162</v>
      </c>
      <c r="L92" s="64" t="s">
        <v>155</v>
      </c>
      <c r="M92" s="64"/>
      <c r="N92" s="64"/>
      <c r="O92" s="64"/>
      <c r="P92" s="64"/>
    </row>
    <row r="93" spans="2:16">
      <c r="C93" s="146">
        <f>10000+12000+3500+3500+1000</f>
        <v>30000</v>
      </c>
      <c r="D93" t="s">
        <v>163</v>
      </c>
      <c r="K93" s="146">
        <f>10000+12000+3500+3500+1000</f>
        <v>30000</v>
      </c>
      <c r="L93" t="s">
        <v>163</v>
      </c>
    </row>
    <row r="94" spans="2:16">
      <c r="C94" s="146">
        <v>2000000</v>
      </c>
      <c r="D94" t="s">
        <v>207</v>
      </c>
      <c r="K94" s="146">
        <v>500000</v>
      </c>
      <c r="L94" t="s">
        <v>208</v>
      </c>
    </row>
    <row r="95" spans="2:16">
      <c r="C95" s="323">
        <f>C93/C94</f>
        <v>1.4999999999999999E-2</v>
      </c>
      <c r="D95" t="s">
        <v>173</v>
      </c>
      <c r="K95" s="323">
        <f>K93/K94</f>
        <v>0.06</v>
      </c>
      <c r="L95" t="s">
        <v>209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8BB1C-783A-4DD5-B790-10583F8F0281}">
  <sheetPr codeName="Sheet2"/>
  <dimension ref="B1:L115"/>
  <sheetViews>
    <sheetView showGridLines="0" zoomScale="75" zoomScaleNormal="75" workbookViewId="0">
      <selection activeCell="D3" sqref="D3"/>
    </sheetView>
  </sheetViews>
  <sheetFormatPr defaultRowHeight="15"/>
  <cols>
    <col min="1" max="1" width="3.28515625" customWidth="1"/>
    <col min="2" max="2" width="23.140625" customWidth="1"/>
    <col min="3" max="4" width="15.28515625" customWidth="1"/>
    <col min="5" max="5" width="131.28515625" customWidth="1"/>
    <col min="7" max="7" width="20.5703125" customWidth="1"/>
    <col min="8" max="15" width="12.7109375" customWidth="1"/>
  </cols>
  <sheetData>
    <row r="1" spans="2:7" ht="18.75">
      <c r="B1" s="348" t="str">
        <f>IF(Summary!$C$1="","",Summary!$C$1)</f>
        <v/>
      </c>
      <c r="C1" s="349"/>
      <c r="D1" s="349"/>
      <c r="E1" s="349"/>
    </row>
    <row r="2" spans="2:7" ht="15.75">
      <c r="B2" s="350" t="s">
        <v>210</v>
      </c>
      <c r="C2" s="351"/>
      <c r="D2" s="351"/>
      <c r="E2" s="351"/>
      <c r="G2" t="s">
        <v>211</v>
      </c>
    </row>
    <row r="3" spans="2:7">
      <c r="B3" s="320" t="s">
        <v>212</v>
      </c>
      <c r="C3" s="60" t="s">
        <v>14</v>
      </c>
      <c r="D3" s="75" t="s">
        <v>15</v>
      </c>
      <c r="E3" s="65" t="s">
        <v>39</v>
      </c>
      <c r="G3" s="134" t="s">
        <v>213</v>
      </c>
    </row>
    <row r="4" spans="2:7">
      <c r="B4" s="355" t="s">
        <v>214</v>
      </c>
      <c r="C4" s="231">
        <f>C23</f>
        <v>192.5</v>
      </c>
      <c r="D4" s="231"/>
      <c r="E4" s="356"/>
      <c r="G4" s="134" t="s">
        <v>215</v>
      </c>
    </row>
    <row r="5" spans="2:7">
      <c r="B5" s="357" t="s">
        <v>216</v>
      </c>
      <c r="C5" s="358"/>
      <c r="D5" s="240">
        <f>D33</f>
        <v>0</v>
      </c>
      <c r="E5" s="359"/>
      <c r="G5" s="115" t="s">
        <v>217</v>
      </c>
    </row>
    <row r="6" spans="2:7">
      <c r="B6" s="357" t="s">
        <v>218</v>
      </c>
      <c r="C6" s="240">
        <f>C48</f>
        <v>0</v>
      </c>
      <c r="D6" s="240"/>
      <c r="E6" s="359"/>
    </row>
    <row r="7" spans="2:7">
      <c r="B7" s="357" t="s">
        <v>219</v>
      </c>
      <c r="C7" s="358"/>
      <c r="D7" s="240">
        <f>D68</f>
        <v>0</v>
      </c>
      <c r="E7" s="359"/>
    </row>
    <row r="8" spans="2:7">
      <c r="B8" s="357" t="s">
        <v>220</v>
      </c>
      <c r="C8" s="240">
        <f>C82</f>
        <v>2400</v>
      </c>
      <c r="D8" s="240"/>
      <c r="E8" s="359"/>
    </row>
    <row r="9" spans="2:7">
      <c r="B9" s="357" t="s">
        <v>221</v>
      </c>
      <c r="C9" s="240">
        <f>C94</f>
        <v>0</v>
      </c>
      <c r="D9" s="240"/>
      <c r="E9" s="359"/>
    </row>
    <row r="10" spans="2:7">
      <c r="B10" s="357" t="s">
        <v>222</v>
      </c>
      <c r="C10" s="240"/>
      <c r="D10" s="240">
        <f>D104</f>
        <v>0</v>
      </c>
      <c r="E10" s="359"/>
    </row>
    <row r="11" spans="2:7">
      <c r="B11" s="357" t="s">
        <v>223</v>
      </c>
      <c r="C11" s="240">
        <f>C115</f>
        <v>0</v>
      </c>
      <c r="D11" s="240"/>
      <c r="E11" s="359"/>
    </row>
    <row r="12" spans="2:7">
      <c r="B12" s="361" t="s">
        <v>224</v>
      </c>
      <c r="C12" s="362">
        <v>0</v>
      </c>
      <c r="D12" s="362">
        <v>0</v>
      </c>
      <c r="E12" s="359"/>
    </row>
    <row r="13" spans="2:7">
      <c r="B13" s="363" t="s">
        <v>224</v>
      </c>
      <c r="C13" s="364">
        <v>0</v>
      </c>
      <c r="D13" s="364">
        <v>0</v>
      </c>
      <c r="E13" s="360"/>
    </row>
    <row r="14" spans="2:7">
      <c r="B14" s="318" t="s">
        <v>225</v>
      </c>
      <c r="C14" s="145">
        <f>SUM(C4:C13)</f>
        <v>2592.5</v>
      </c>
      <c r="D14" s="145">
        <f>SUM(D4:D13)</f>
        <v>0</v>
      </c>
    </row>
    <row r="16" spans="2:7" ht="17.25">
      <c r="B16" s="132" t="s">
        <v>214</v>
      </c>
      <c r="C16" s="133"/>
      <c r="D16" s="133"/>
      <c r="E16" s="133"/>
    </row>
    <row r="17" spans="2:9">
      <c r="B17" s="60" t="s">
        <v>212</v>
      </c>
      <c r="C17" s="75" t="s">
        <v>226</v>
      </c>
      <c r="D17" s="75"/>
      <c r="E17" s="60" t="s">
        <v>155</v>
      </c>
    </row>
    <row r="18" spans="2:9">
      <c r="B18" s="127" t="s">
        <v>227</v>
      </c>
      <c r="C18" s="142" t="s">
        <v>215</v>
      </c>
      <c r="D18" s="369"/>
      <c r="E18" s="127" t="s">
        <v>228</v>
      </c>
    </row>
    <row r="19" spans="2:9">
      <c r="B19" s="143" t="s">
        <v>229</v>
      </c>
      <c r="C19" s="144">
        <f>Summary!F18+Summary!F17+Summary!F15+Summary!F14+Summary!F13+Summary!F11+Summary!F12</f>
        <v>0</v>
      </c>
      <c r="D19" s="144"/>
      <c r="E19" s="143" t="s">
        <v>230</v>
      </c>
    </row>
    <row r="20" spans="2:9">
      <c r="B20" t="s">
        <v>231</v>
      </c>
      <c r="C20" s="130" cm="1">
        <f t="array" ref="C20">IF(C18="",_xludf.ISERROR,IF($C$18="yes",MAX(175,C19*0.005),0))</f>
        <v>175</v>
      </c>
      <c r="D20" s="130"/>
      <c r="E20" t="s">
        <v>232</v>
      </c>
    </row>
    <row r="21" spans="2:9">
      <c r="B21" t="s">
        <v>233</v>
      </c>
      <c r="C21" s="128">
        <v>0.1</v>
      </c>
      <c r="D21" s="128"/>
    </row>
    <row r="22" spans="2:9">
      <c r="B22" s="64" t="s">
        <v>234</v>
      </c>
      <c r="C22" s="131">
        <f>C20*C21</f>
        <v>17.5</v>
      </c>
      <c r="D22" s="131"/>
      <c r="E22" s="64"/>
    </row>
    <row r="23" spans="2:9">
      <c r="B23" s="126" t="s">
        <v>235</v>
      </c>
      <c r="C23" s="130">
        <f>C22+C20</f>
        <v>192.5</v>
      </c>
      <c r="D23" s="130"/>
    </row>
    <row r="24" spans="2:9">
      <c r="C24" s="1"/>
      <c r="D24" s="1"/>
    </row>
    <row r="25" spans="2:9" ht="17.25">
      <c r="B25" s="132" t="s">
        <v>216</v>
      </c>
      <c r="C25" s="133"/>
      <c r="D25" s="133"/>
      <c r="E25" s="133"/>
      <c r="G25" s="1" t="s">
        <v>236</v>
      </c>
    </row>
    <row r="26" spans="2:9">
      <c r="B26" s="60" t="s">
        <v>212</v>
      </c>
      <c r="C26" s="60"/>
      <c r="D26" s="75" t="s">
        <v>226</v>
      </c>
      <c r="E26" s="60" t="s">
        <v>155</v>
      </c>
      <c r="G26" s="78" t="s">
        <v>123</v>
      </c>
      <c r="H26" s="162" t="s">
        <v>237</v>
      </c>
    </row>
    <row r="27" spans="2:9">
      <c r="B27" t="s">
        <v>227</v>
      </c>
      <c r="D27" s="129" t="s">
        <v>215</v>
      </c>
      <c r="E27" t="s">
        <v>238</v>
      </c>
      <c r="G27" t="s">
        <v>140</v>
      </c>
      <c r="H27" s="27">
        <v>45000</v>
      </c>
      <c r="I27">
        <v>70000</v>
      </c>
    </row>
    <row r="28" spans="2:9">
      <c r="B28" t="s">
        <v>239</v>
      </c>
      <c r="D28" s="130">
        <f>Summary!$E$18+Summary!$E$17+Summary!$E$15+Summary!$E$14+Summary!$E$13+Summary!$E$11++Summary!$E$12</f>
        <v>0</v>
      </c>
      <c r="E28" t="s">
        <v>240</v>
      </c>
      <c r="G28" t="s">
        <v>241</v>
      </c>
      <c r="H28" s="146">
        <v>3000000</v>
      </c>
      <c r="I28">
        <v>2000000</v>
      </c>
    </row>
    <row r="29" spans="2:9">
      <c r="B29" t="s">
        <v>216</v>
      </c>
      <c r="D29" s="314">
        <f>H30</f>
        <v>0.06</v>
      </c>
      <c r="E29" t="s">
        <v>242</v>
      </c>
      <c r="G29" t="s">
        <v>243</v>
      </c>
      <c r="H29" s="146">
        <f>H28*0.25</f>
        <v>750000</v>
      </c>
      <c r="I29">
        <f>I28*0.25</f>
        <v>500000</v>
      </c>
    </row>
    <row r="30" spans="2:9">
      <c r="B30" t="s">
        <v>231</v>
      </c>
      <c r="D30" s="130">
        <f>IF(D27="Yes",D28*D29,0)</f>
        <v>0</v>
      </c>
      <c r="E30" t="s">
        <v>244</v>
      </c>
      <c r="G30" t="s">
        <v>245</v>
      </c>
      <c r="H30" s="313">
        <f>H27/H29</f>
        <v>0.06</v>
      </c>
      <c r="I30" s="203">
        <f>I27/I29</f>
        <v>0.14000000000000001</v>
      </c>
    </row>
    <row r="31" spans="2:9">
      <c r="B31" t="s">
        <v>233</v>
      </c>
      <c r="D31" s="138">
        <v>0</v>
      </c>
      <c r="E31" t="s">
        <v>246</v>
      </c>
    </row>
    <row r="32" spans="2:9">
      <c r="B32" s="64" t="s">
        <v>234</v>
      </c>
      <c r="C32" s="64"/>
      <c r="D32" s="131">
        <f>D30*D31</f>
        <v>0</v>
      </c>
      <c r="E32" s="64"/>
    </row>
    <row r="33" spans="2:10">
      <c r="B33" s="126" t="s">
        <v>235</v>
      </c>
      <c r="C33" s="126"/>
      <c r="D33" s="130">
        <f>D32+D30</f>
        <v>0</v>
      </c>
    </row>
    <row r="35" spans="2:10" ht="17.25">
      <c r="B35" s="132" t="s">
        <v>247</v>
      </c>
      <c r="C35" s="133"/>
      <c r="D35" s="133"/>
      <c r="E35" s="133"/>
      <c r="G35" t="s">
        <v>248</v>
      </c>
    </row>
    <row r="36" spans="2:10">
      <c r="B36" s="60" t="s">
        <v>212</v>
      </c>
      <c r="C36" s="75" t="s">
        <v>226</v>
      </c>
      <c r="D36" s="75"/>
      <c r="E36" s="60" t="s">
        <v>155</v>
      </c>
      <c r="G36" s="150" t="s">
        <v>249</v>
      </c>
      <c r="H36" s="60" t="s">
        <v>250</v>
      </c>
      <c r="I36" s="75" t="s">
        <v>251</v>
      </c>
      <c r="J36" s="162" t="s">
        <v>252</v>
      </c>
    </row>
    <row r="37" spans="2:10">
      <c r="B37" t="s">
        <v>227</v>
      </c>
      <c r="C37" s="129" t="s">
        <v>217</v>
      </c>
      <c r="D37" s="365"/>
      <c r="E37" t="s">
        <v>238</v>
      </c>
      <c r="G37" t="s">
        <v>253</v>
      </c>
      <c r="H37" t="s">
        <v>254</v>
      </c>
      <c r="I37">
        <v>19</v>
      </c>
      <c r="J37" s="146">
        <v>750</v>
      </c>
    </row>
    <row r="38" spans="2:10">
      <c r="B38" t="s">
        <v>255</v>
      </c>
      <c r="C38" s="141">
        <v>5</v>
      </c>
      <c r="D38" s="366"/>
      <c r="E38" t="s">
        <v>256</v>
      </c>
      <c r="G38" t="s">
        <v>257</v>
      </c>
      <c r="H38" t="s">
        <v>258</v>
      </c>
      <c r="I38">
        <v>40</v>
      </c>
      <c r="J38" s="146">
        <v>1500</v>
      </c>
    </row>
    <row r="39" spans="2:10">
      <c r="B39" t="s">
        <v>259</v>
      </c>
      <c r="C39" s="141">
        <v>0</v>
      </c>
      <c r="D39" s="366"/>
      <c r="E39" t="s">
        <v>260</v>
      </c>
      <c r="G39" t="s">
        <v>261</v>
      </c>
      <c r="H39" t="s">
        <v>262</v>
      </c>
      <c r="I39">
        <v>80</v>
      </c>
      <c r="J39" s="146">
        <v>3500</v>
      </c>
    </row>
    <row r="40" spans="2:10">
      <c r="B40" t="s">
        <v>263</v>
      </c>
      <c r="C40" s="141" t="s">
        <v>264</v>
      </c>
      <c r="D40" s="366"/>
      <c r="G40" t="s">
        <v>264</v>
      </c>
      <c r="H40" t="s">
        <v>265</v>
      </c>
      <c r="I40">
        <v>120</v>
      </c>
      <c r="J40" s="146">
        <v>4500</v>
      </c>
    </row>
    <row r="41" spans="2:10">
      <c r="B41" t="s">
        <v>266</v>
      </c>
      <c r="C41" s="130" t="str">
        <f>INDEX($H$37:$H$40,MATCH(C40,$G$37:$G$40,0),1)</f>
        <v>&gt; 25 ton/chiller</v>
      </c>
      <c r="D41" s="130"/>
      <c r="E41" t="s">
        <v>267</v>
      </c>
      <c r="J41" s="146"/>
    </row>
    <row r="42" spans="2:10">
      <c r="B42" t="s">
        <v>268</v>
      </c>
      <c r="C42" s="4">
        <f>INDEX($I$37:$I$40,MATCH(C40,$G$37:$G$40,0),1)</f>
        <v>120</v>
      </c>
      <c r="D42" s="4"/>
      <c r="E42" t="s">
        <v>269</v>
      </c>
      <c r="J42" s="146"/>
    </row>
    <row r="43" spans="2:10">
      <c r="B43" t="s">
        <v>270</v>
      </c>
      <c r="C43" s="130">
        <f>INDEX($J$37:$J$40,MATCH(C40,$G$37:$G$40,0),1)</f>
        <v>4500</v>
      </c>
      <c r="D43" s="130"/>
      <c r="J43" s="146"/>
    </row>
    <row r="44" spans="2:10">
      <c r="B44" s="135" t="s">
        <v>271</v>
      </c>
      <c r="C44" s="163">
        <f>ROUNDUP(C38/8,0)+C39</f>
        <v>1</v>
      </c>
      <c r="D44" s="163"/>
      <c r="E44" s="135" t="s">
        <v>272</v>
      </c>
    </row>
    <row r="45" spans="2:10">
      <c r="B45" t="s">
        <v>231</v>
      </c>
      <c r="C45" s="130">
        <f>IF($C$37="yes",C43*C44,0)</f>
        <v>0</v>
      </c>
      <c r="D45" s="130"/>
      <c r="E45" t="s">
        <v>244</v>
      </c>
    </row>
    <row r="46" spans="2:10">
      <c r="B46" t="s">
        <v>233</v>
      </c>
      <c r="C46" s="138">
        <v>0</v>
      </c>
      <c r="D46" s="367"/>
      <c r="E46" t="s">
        <v>273</v>
      </c>
    </row>
    <row r="47" spans="2:10">
      <c r="B47" s="64" t="s">
        <v>234</v>
      </c>
      <c r="C47" s="131">
        <f>C45*C46</f>
        <v>0</v>
      </c>
      <c r="D47" s="131"/>
      <c r="E47" s="64"/>
    </row>
    <row r="48" spans="2:10">
      <c r="B48" s="126" t="s">
        <v>235</v>
      </c>
      <c r="C48" s="130">
        <f>C47+C45</f>
        <v>0</v>
      </c>
      <c r="D48" s="130"/>
    </row>
    <row r="50" spans="2:9" ht="17.25">
      <c r="B50" s="132" t="s">
        <v>274</v>
      </c>
      <c r="C50" s="133"/>
      <c r="D50" s="133"/>
      <c r="E50" s="133"/>
      <c r="G50" t="s">
        <v>248</v>
      </c>
    </row>
    <row r="51" spans="2:9">
      <c r="B51" s="60" t="s">
        <v>212</v>
      </c>
      <c r="C51" s="60"/>
      <c r="D51" s="75" t="s">
        <v>226</v>
      </c>
      <c r="E51" s="60" t="s">
        <v>155</v>
      </c>
      <c r="G51" s="150" t="s">
        <v>249</v>
      </c>
      <c r="H51" s="60" t="s">
        <v>250</v>
      </c>
      <c r="I51" s="162" t="s">
        <v>275</v>
      </c>
    </row>
    <row r="52" spans="2:9">
      <c r="B52" t="s">
        <v>227</v>
      </c>
      <c r="D52" s="129" t="s">
        <v>217</v>
      </c>
      <c r="E52" t="s">
        <v>238</v>
      </c>
      <c r="G52" t="s">
        <v>276</v>
      </c>
      <c r="H52" t="s">
        <v>277</v>
      </c>
      <c r="I52" s="146">
        <v>1200</v>
      </c>
    </row>
    <row r="53" spans="2:9">
      <c r="B53" t="s">
        <v>278</v>
      </c>
      <c r="D53" s="141"/>
      <c r="E53" t="s">
        <v>279</v>
      </c>
      <c r="G53" t="s">
        <v>280</v>
      </c>
      <c r="H53" t="s">
        <v>281</v>
      </c>
      <c r="I53" s="146">
        <v>800</v>
      </c>
    </row>
    <row r="54" spans="2:9">
      <c r="B54" t="s">
        <v>282</v>
      </c>
      <c r="D54" s="141"/>
      <c r="E54" t="s">
        <v>283</v>
      </c>
      <c r="G54" t="s">
        <v>284</v>
      </c>
      <c r="H54" t="s">
        <v>285</v>
      </c>
      <c r="I54" s="146">
        <v>600</v>
      </c>
    </row>
    <row r="55" spans="2:9">
      <c r="B55" s="291" t="s">
        <v>286</v>
      </c>
      <c r="C55" s="291"/>
      <c r="D55" s="141" t="s">
        <v>287</v>
      </c>
      <c r="E55" t="s">
        <v>288</v>
      </c>
      <c r="G55" t="s">
        <v>289</v>
      </c>
      <c r="H55" t="s">
        <v>290</v>
      </c>
      <c r="I55" s="146">
        <v>400</v>
      </c>
    </row>
    <row r="56" spans="2:9">
      <c r="B56" t="s">
        <v>291</v>
      </c>
      <c r="D56" s="141"/>
      <c r="E56" t="s">
        <v>292</v>
      </c>
      <c r="I56" s="146"/>
    </row>
    <row r="57" spans="2:9">
      <c r="B57" t="s">
        <v>293</v>
      </c>
      <c r="D57" s="141"/>
      <c r="E57" t="s">
        <v>294</v>
      </c>
    </row>
    <row r="58" spans="2:9">
      <c r="B58" t="s">
        <v>295</v>
      </c>
      <c r="D58" s="141"/>
      <c r="E58" t="s">
        <v>296</v>
      </c>
      <c r="G58" s="126" t="s">
        <v>297</v>
      </c>
    </row>
    <row r="59" spans="2:9">
      <c r="B59" t="s">
        <v>298</v>
      </c>
      <c r="D59" s="141"/>
      <c r="E59" t="s">
        <v>299</v>
      </c>
    </row>
    <row r="60" spans="2:9">
      <c r="B60" t="s">
        <v>300</v>
      </c>
      <c r="D60" s="141"/>
      <c r="E60" t="s">
        <v>301</v>
      </c>
    </row>
    <row r="61" spans="2:9">
      <c r="B61" t="s">
        <v>302</v>
      </c>
      <c r="D61" s="165">
        <f>D54*400+D53*600+IF(D56=0,0,IF(D56&gt;5,1500,800))</f>
        <v>0</v>
      </c>
      <c r="E61" t="s">
        <v>303</v>
      </c>
    </row>
    <row r="62" spans="2:9">
      <c r="B62" t="s">
        <v>304</v>
      </c>
      <c r="D62" s="165">
        <f>SUMPRODUCT($D$57:$D$60,$I$52:$I$55)</f>
        <v>0</v>
      </c>
      <c r="E62" t="s">
        <v>242</v>
      </c>
    </row>
    <row r="63" spans="2:9">
      <c r="B63" t="s">
        <v>305</v>
      </c>
      <c r="D63" s="166">
        <v>0</v>
      </c>
      <c r="E63" t="s">
        <v>306</v>
      </c>
    </row>
    <row r="64" spans="2:9">
      <c r="B64" s="135" t="s">
        <v>307</v>
      </c>
      <c r="C64" s="135"/>
      <c r="D64" s="164">
        <f>D62*(1-D63)</f>
        <v>0</v>
      </c>
      <c r="E64" s="135" t="s">
        <v>308</v>
      </c>
    </row>
    <row r="65" spans="2:12">
      <c r="B65" t="s">
        <v>231</v>
      </c>
      <c r="D65" s="130">
        <f>IF(D52="No",0,D64+D61)</f>
        <v>0</v>
      </c>
      <c r="E65" t="s">
        <v>244</v>
      </c>
    </row>
    <row r="66" spans="2:12">
      <c r="B66" t="s">
        <v>233</v>
      </c>
      <c r="D66" s="138">
        <v>0</v>
      </c>
      <c r="E66" t="s">
        <v>309</v>
      </c>
    </row>
    <row r="67" spans="2:12">
      <c r="B67" s="64" t="s">
        <v>234</v>
      </c>
      <c r="C67" s="64"/>
      <c r="D67" s="131">
        <f>D65*D66</f>
        <v>0</v>
      </c>
      <c r="E67" s="64"/>
    </row>
    <row r="68" spans="2:12">
      <c r="B68" s="126" t="s">
        <v>235</v>
      </c>
      <c r="C68" s="126"/>
      <c r="D68" s="130">
        <f>D67+D65</f>
        <v>0</v>
      </c>
    </row>
    <row r="70" spans="2:12" ht="17.25">
      <c r="B70" s="132" t="s">
        <v>220</v>
      </c>
      <c r="C70" s="133"/>
      <c r="D70" s="133"/>
      <c r="E70" s="133"/>
      <c r="G70" t="s">
        <v>310</v>
      </c>
    </row>
    <row r="71" spans="2:12">
      <c r="B71" s="60" t="s">
        <v>212</v>
      </c>
      <c r="C71" s="75" t="s">
        <v>226</v>
      </c>
      <c r="D71" s="75"/>
      <c r="E71" s="60" t="s">
        <v>155</v>
      </c>
      <c r="H71" s="150" t="s">
        <v>311</v>
      </c>
      <c r="I71" s="60"/>
      <c r="J71" s="70"/>
      <c r="K71" s="60" t="s">
        <v>312</v>
      </c>
      <c r="L71" s="70"/>
    </row>
    <row r="72" spans="2:12">
      <c r="B72" t="s">
        <v>227</v>
      </c>
      <c r="C72" s="129" t="s">
        <v>215</v>
      </c>
      <c r="D72" s="139"/>
      <c r="E72" t="s">
        <v>313</v>
      </c>
      <c r="G72" s="78" t="s">
        <v>74</v>
      </c>
      <c r="H72" s="75" t="s">
        <v>314</v>
      </c>
      <c r="I72" s="75" t="s">
        <v>315</v>
      </c>
      <c r="J72" s="162" t="s">
        <v>316</v>
      </c>
      <c r="K72" s="75" t="s">
        <v>315</v>
      </c>
      <c r="L72" s="162" t="s">
        <v>316</v>
      </c>
    </row>
    <row r="73" spans="2:12">
      <c r="B73" t="s">
        <v>15</v>
      </c>
      <c r="C73" s="139">
        <f>Summary!E23</f>
        <v>0</v>
      </c>
      <c r="D73" s="139"/>
      <c r="E73" t="s">
        <v>317</v>
      </c>
      <c r="G73" s="315">
        <v>0</v>
      </c>
      <c r="H73" s="127">
        <v>2</v>
      </c>
      <c r="I73" s="127">
        <v>1</v>
      </c>
      <c r="J73" s="127">
        <v>1</v>
      </c>
      <c r="K73" s="317">
        <f>2*500+500</f>
        <v>1500</v>
      </c>
      <c r="L73" s="317">
        <f>2*350+200</f>
        <v>900</v>
      </c>
    </row>
    <row r="74" spans="2:12">
      <c r="B74" t="s">
        <v>318</v>
      </c>
      <c r="C74" s="1">
        <f>INDEX($H$73:$H$78,MATCH(C73,$G$73:$G$78,1),1)</f>
        <v>2</v>
      </c>
      <c r="E74" t="s">
        <v>319</v>
      </c>
      <c r="G74" s="316">
        <v>18000</v>
      </c>
      <c r="H74">
        <v>3</v>
      </c>
      <c r="I74">
        <v>1</v>
      </c>
      <c r="J74">
        <v>1</v>
      </c>
      <c r="K74" s="27">
        <f>3*500+500</f>
        <v>2000</v>
      </c>
      <c r="L74" s="27">
        <f>3*350+200</f>
        <v>1250</v>
      </c>
    </row>
    <row r="75" spans="2:12">
      <c r="B75" t="s">
        <v>320</v>
      </c>
      <c r="C75" s="1">
        <f>INDEX($I$73:$I$78,MATCH(C73,$G$73:$G$78,1),1)</f>
        <v>1</v>
      </c>
      <c r="E75" t="s">
        <v>321</v>
      </c>
      <c r="G75" s="316">
        <f>36000*2</f>
        <v>72000</v>
      </c>
      <c r="H75">
        <v>3</v>
      </c>
      <c r="I75">
        <v>1</v>
      </c>
      <c r="J75">
        <v>1</v>
      </c>
      <c r="K75" s="27">
        <f>6*500+500</f>
        <v>3500</v>
      </c>
      <c r="L75" s="27">
        <f>6*350+200</f>
        <v>2300</v>
      </c>
    </row>
    <row r="76" spans="2:12">
      <c r="B76" s="135" t="s">
        <v>322</v>
      </c>
      <c r="C76" s="137">
        <f>INDEX($J$73:$J$78,MATCH(C73,$G$73:$G$78,1),1)</f>
        <v>1</v>
      </c>
      <c r="D76" s="137"/>
      <c r="E76" s="135" t="s">
        <v>323</v>
      </c>
      <c r="G76" s="316">
        <f>36000*4</f>
        <v>144000</v>
      </c>
      <c r="H76">
        <v>6</v>
      </c>
      <c r="I76">
        <v>2</v>
      </c>
      <c r="J76">
        <v>2</v>
      </c>
      <c r="K76" s="27">
        <f>(6*500+500)*I76</f>
        <v>7000</v>
      </c>
      <c r="L76" s="27">
        <f>(6*350+200)*J76</f>
        <v>4600</v>
      </c>
    </row>
    <row r="77" spans="2:12">
      <c r="B77" t="s">
        <v>324</v>
      </c>
      <c r="C77" s="130">
        <f>INDEX($K$73:$K$78,MATCH(C73,$G$73:$G$78,1),1)</f>
        <v>1500</v>
      </c>
      <c r="E77" t="s">
        <v>325</v>
      </c>
      <c r="G77" s="316">
        <f>36000*8</f>
        <v>288000</v>
      </c>
      <c r="H77">
        <v>9</v>
      </c>
      <c r="I77">
        <v>3</v>
      </c>
      <c r="J77">
        <v>3</v>
      </c>
      <c r="K77" s="27">
        <f>(6*500+500)*I77</f>
        <v>10500</v>
      </c>
      <c r="L77" s="27">
        <f>(6*350+200)*J77</f>
        <v>6900</v>
      </c>
    </row>
    <row r="78" spans="2:12">
      <c r="B78" t="s">
        <v>326</v>
      </c>
      <c r="C78" s="130">
        <f>INDEX($L$73:$L$78,MATCH(C73,$G$73:$G$78,1),1)</f>
        <v>900</v>
      </c>
      <c r="E78" t="s">
        <v>325</v>
      </c>
      <c r="G78" s="27">
        <f>36000*12</f>
        <v>432000</v>
      </c>
      <c r="H78">
        <v>12</v>
      </c>
      <c r="I78">
        <v>4</v>
      </c>
      <c r="J78">
        <v>4</v>
      </c>
      <c r="K78" s="27">
        <f>(9*500+500)*I78</f>
        <v>20000</v>
      </c>
      <c r="L78" s="27">
        <f>(9*350+200)*J78</f>
        <v>13400</v>
      </c>
    </row>
    <row r="79" spans="2:12">
      <c r="B79" t="s">
        <v>231</v>
      </c>
      <c r="C79" s="130">
        <f>IF(C72="Yes",SUM(C77,C78),0)</f>
        <v>2400</v>
      </c>
      <c r="D79" s="130"/>
      <c r="E79" t="s">
        <v>327</v>
      </c>
    </row>
    <row r="80" spans="2:12">
      <c r="B80" t="s">
        <v>233</v>
      </c>
      <c r="C80" s="138">
        <v>0</v>
      </c>
      <c r="D80" s="130"/>
      <c r="E80" t="s">
        <v>328</v>
      </c>
    </row>
    <row r="81" spans="2:5">
      <c r="B81" s="64" t="s">
        <v>234</v>
      </c>
      <c r="C81" s="131">
        <f>C79*C80</f>
        <v>0</v>
      </c>
      <c r="D81" s="131"/>
      <c r="E81" s="64" t="s">
        <v>329</v>
      </c>
    </row>
    <row r="82" spans="2:5">
      <c r="B82" s="126" t="s">
        <v>235</v>
      </c>
      <c r="C82" s="130">
        <f>C81+C79</f>
        <v>2400</v>
      </c>
      <c r="D82" s="130"/>
    </row>
    <row r="84" spans="2:5" ht="17.25">
      <c r="B84" s="132" t="s">
        <v>330</v>
      </c>
      <c r="C84" s="133"/>
      <c r="D84" s="133"/>
      <c r="E84" s="133"/>
    </row>
    <row r="85" spans="2:5">
      <c r="B85" s="60" t="s">
        <v>212</v>
      </c>
      <c r="C85" s="75" t="s">
        <v>226</v>
      </c>
      <c r="D85" s="75"/>
      <c r="E85" s="60" t="s">
        <v>155</v>
      </c>
    </row>
    <row r="86" spans="2:5">
      <c r="B86" t="s">
        <v>227</v>
      </c>
      <c r="C86" s="129" t="s">
        <v>215</v>
      </c>
      <c r="D86" s="365"/>
      <c r="E86" t="s">
        <v>331</v>
      </c>
    </row>
    <row r="87" spans="2:5">
      <c r="B87" t="s">
        <v>332</v>
      </c>
      <c r="C87" s="129" t="s">
        <v>215</v>
      </c>
      <c r="D87" s="365"/>
    </row>
    <row r="88" spans="2:5">
      <c r="B88" t="s">
        <v>333</v>
      </c>
      <c r="C88" s="136" t="str" cm="1">
        <f t="array" ref="C88">IF(C87="Yes","No",IF(C87="No","Yes",_xludf.ISERROR))</f>
        <v>No</v>
      </c>
      <c r="D88" s="136"/>
    </row>
    <row r="89" spans="2:5">
      <c r="B89" t="s">
        <v>334</v>
      </c>
      <c r="C89" s="141"/>
      <c r="D89" s="366"/>
      <c r="E89" t="s">
        <v>335</v>
      </c>
    </row>
    <row r="90" spans="2:5">
      <c r="B90" s="135" t="s">
        <v>336</v>
      </c>
      <c r="C90" s="137">
        <f>'Diffuser Schedule'!K24</f>
        <v>0</v>
      </c>
      <c r="D90" s="137"/>
      <c r="E90" s="135" t="s">
        <v>323</v>
      </c>
    </row>
    <row r="91" spans="2:5">
      <c r="B91" t="s">
        <v>231</v>
      </c>
      <c r="C91" s="130" cm="1">
        <f t="array" ref="C91">IF(C86="No",0,IF(C87="",_xludf.ISERROR,(C89*450+C90*45)/(IF(C87="Yes",3,1))))</f>
        <v>0</v>
      </c>
      <c r="D91" s="130"/>
      <c r="E91" t="s">
        <v>337</v>
      </c>
    </row>
    <row r="92" spans="2:5">
      <c r="B92" t="s">
        <v>233</v>
      </c>
      <c r="C92" s="138">
        <v>0</v>
      </c>
      <c r="D92" s="367"/>
      <c r="E92" t="s">
        <v>338</v>
      </c>
    </row>
    <row r="93" spans="2:5">
      <c r="B93" s="64" t="s">
        <v>234</v>
      </c>
      <c r="C93" s="131">
        <f>C91*C92</f>
        <v>0</v>
      </c>
      <c r="D93" s="131"/>
      <c r="E93" s="64"/>
    </row>
    <row r="94" spans="2:5">
      <c r="B94" s="126" t="s">
        <v>235</v>
      </c>
      <c r="C94" s="130">
        <f>C93+C91</f>
        <v>0</v>
      </c>
      <c r="D94" s="130"/>
    </row>
    <row r="96" spans="2:5" ht="17.25">
      <c r="B96" s="132" t="s">
        <v>222</v>
      </c>
      <c r="C96" s="133"/>
      <c r="D96" s="133"/>
      <c r="E96" s="133"/>
    </row>
    <row r="97" spans="2:5">
      <c r="B97" s="60" t="s">
        <v>212</v>
      </c>
      <c r="C97" s="75"/>
      <c r="D97" s="75" t="s">
        <v>226</v>
      </c>
      <c r="E97" s="60" t="s">
        <v>155</v>
      </c>
    </row>
    <row r="98" spans="2:5">
      <c r="B98" t="s">
        <v>227</v>
      </c>
      <c r="C98" s="365"/>
      <c r="D98" s="129" t="s">
        <v>215</v>
      </c>
      <c r="E98" t="s">
        <v>331</v>
      </c>
    </row>
    <row r="99" spans="2:5">
      <c r="B99" t="s">
        <v>339</v>
      </c>
      <c r="C99" s="366"/>
      <c r="D99" s="391">
        <f>SUM('Unit Sched'!D5:D8)</f>
        <v>0</v>
      </c>
      <c r="E99" t="s">
        <v>335</v>
      </c>
    </row>
    <row r="100" spans="2:5">
      <c r="B100" s="135" t="s">
        <v>340</v>
      </c>
      <c r="C100" s="389"/>
      <c r="D100" s="390">
        <f>'Unit Sched'!D13</f>
        <v>0</v>
      </c>
      <c r="E100" s="135" t="s">
        <v>335</v>
      </c>
    </row>
    <row r="101" spans="2:5">
      <c r="B101" t="s">
        <v>231</v>
      </c>
      <c r="C101" s="130"/>
      <c r="D101" s="130">
        <f>D99*10+D100*50</f>
        <v>0</v>
      </c>
      <c r="E101" t="s">
        <v>341</v>
      </c>
    </row>
    <row r="102" spans="2:5">
      <c r="B102" t="s">
        <v>233</v>
      </c>
      <c r="C102" s="367"/>
      <c r="D102" s="138">
        <v>0</v>
      </c>
      <c r="E102" t="s">
        <v>338</v>
      </c>
    </row>
    <row r="103" spans="2:5">
      <c r="B103" s="64" t="s">
        <v>234</v>
      </c>
      <c r="C103" s="131"/>
      <c r="D103" s="131">
        <f>D101*D102</f>
        <v>0</v>
      </c>
      <c r="E103" s="64"/>
    </row>
    <row r="104" spans="2:5">
      <c r="B104" s="126" t="s">
        <v>235</v>
      </c>
      <c r="C104" s="130"/>
      <c r="D104" s="130">
        <f>D103+D101</f>
        <v>0</v>
      </c>
    </row>
    <row r="106" spans="2:5" ht="17.25">
      <c r="B106" s="132" t="s">
        <v>223</v>
      </c>
      <c r="C106" s="133"/>
      <c r="D106" s="133"/>
      <c r="E106" s="133"/>
    </row>
    <row r="107" spans="2:5">
      <c r="B107" s="60" t="s">
        <v>212</v>
      </c>
      <c r="C107" s="75" t="s">
        <v>226</v>
      </c>
      <c r="D107" s="75"/>
      <c r="E107" s="60" t="s">
        <v>155</v>
      </c>
    </row>
    <row r="108" spans="2:5">
      <c r="B108" t="s">
        <v>227</v>
      </c>
      <c r="C108" s="129" t="s">
        <v>217</v>
      </c>
      <c r="D108" s="365"/>
      <c r="E108" t="s">
        <v>342</v>
      </c>
    </row>
    <row r="109" spans="2:5">
      <c r="B109" t="s">
        <v>343</v>
      </c>
      <c r="C109" s="139">
        <f>Summary!$E$18+Summary!$E$17+Summary!$E$15+Summary!$E$14+Summary!$E$13+Summary!$E$11+Summary!$E$12</f>
        <v>0</v>
      </c>
      <c r="D109" s="139"/>
    </row>
    <row r="110" spans="2:5">
      <c r="B110" t="s">
        <v>344</v>
      </c>
      <c r="C110" s="213">
        <v>0.15</v>
      </c>
      <c r="D110" s="368"/>
      <c r="E110" t="s">
        <v>345</v>
      </c>
    </row>
    <row r="111" spans="2:5">
      <c r="B111" s="135" t="s">
        <v>346</v>
      </c>
      <c r="C111" s="140">
        <v>0.2</v>
      </c>
      <c r="D111" s="140"/>
      <c r="E111" s="135" t="s">
        <v>347</v>
      </c>
    </row>
    <row r="112" spans="2:5">
      <c r="B112" t="s">
        <v>231</v>
      </c>
      <c r="C112" s="130" cm="1">
        <f t="array" ref="C112">IF(C108="",_xludf.ISERROR,IF(C108="Yes",C109*(C110+C111),0))</f>
        <v>0</v>
      </c>
      <c r="D112" s="130"/>
    </row>
    <row r="113" spans="2:5">
      <c r="B113" t="s">
        <v>233</v>
      </c>
      <c r="C113" s="138">
        <v>0</v>
      </c>
      <c r="D113" s="367"/>
    </row>
    <row r="114" spans="2:5">
      <c r="B114" s="64" t="s">
        <v>234</v>
      </c>
      <c r="C114" s="131">
        <f>C112*C113</f>
        <v>0</v>
      </c>
      <c r="D114" s="131"/>
      <c r="E114" s="64"/>
    </row>
    <row r="115" spans="2:5">
      <c r="B115" s="126" t="s">
        <v>235</v>
      </c>
      <c r="C115" s="130">
        <f>C114+C112</f>
        <v>0</v>
      </c>
      <c r="D115" s="130"/>
    </row>
  </sheetData>
  <dataValidations count="2">
    <dataValidation type="list" allowBlank="1" showInputMessage="1" showErrorMessage="1" sqref="C108:D108 D52 C37:D37 C86:D87 C18:D18 D27 C72 C98:D98" xr:uid="{4CE3E0D0-11BF-4DC4-B04A-31D7CBCBE354}">
      <formula1>$G$4:$G$5</formula1>
    </dataValidation>
    <dataValidation type="list" allowBlank="1" showInputMessage="1" showErrorMessage="1" sqref="C40:D40" xr:uid="{2EA4569B-864D-4260-8775-3E24C2009D69}">
      <formula1>$G$37:$G$44</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ADB5C-7F2E-47C6-9CD7-A34AB61015F1}">
  <dimension ref="A1:DM170"/>
  <sheetViews>
    <sheetView showGridLines="0" zoomScale="75" zoomScaleNormal="75" workbookViewId="0"/>
  </sheetViews>
  <sheetFormatPr defaultRowHeight="15"/>
  <cols>
    <col min="1" max="1" width="2.140625" customWidth="1"/>
    <col min="3" max="15" width="20.7109375" customWidth="1"/>
    <col min="16" max="16" width="20.7109375" style="6" customWidth="1"/>
    <col min="17" max="17" width="23.140625" style="6" bestFit="1" customWidth="1"/>
    <col min="18" max="24" width="20.7109375" customWidth="1"/>
    <col min="25" max="25" width="20.7109375" style="6" customWidth="1"/>
    <col min="26" max="27" width="23.140625" style="6" bestFit="1" customWidth="1"/>
    <col min="28" max="103" width="20.7109375" customWidth="1"/>
    <col min="104" max="117" width="15.7109375" customWidth="1"/>
  </cols>
  <sheetData>
    <row r="1" spans="2:26" ht="18.75">
      <c r="B1" s="348" t="str">
        <f>IF(Summary!$C$1="","",Summary!$C$1)</f>
        <v/>
      </c>
      <c r="C1" s="349"/>
      <c r="D1" s="349"/>
      <c r="E1" s="349"/>
      <c r="F1" s="349"/>
      <c r="G1" s="349"/>
      <c r="H1" s="349"/>
      <c r="I1" s="349"/>
      <c r="J1" s="349"/>
      <c r="K1" s="349"/>
      <c r="L1" s="349"/>
    </row>
    <row r="2" spans="2:26">
      <c r="B2" s="352" t="s">
        <v>348</v>
      </c>
      <c r="C2" s="353"/>
      <c r="D2" s="353"/>
      <c r="E2" s="353"/>
      <c r="F2" s="353"/>
      <c r="G2" s="353"/>
      <c r="H2" s="353"/>
      <c r="I2" s="353"/>
      <c r="J2" s="354" t="s">
        <v>349</v>
      </c>
      <c r="K2" s="353"/>
      <c r="L2" s="353"/>
    </row>
    <row r="3" spans="2:26">
      <c r="B3" s="150"/>
      <c r="C3" s="75" t="s">
        <v>24</v>
      </c>
      <c r="D3" s="75" t="s">
        <v>350</v>
      </c>
      <c r="E3" s="75" t="s">
        <v>351</v>
      </c>
      <c r="F3" s="75" t="s">
        <v>352</v>
      </c>
      <c r="G3" s="75" t="s">
        <v>353</v>
      </c>
      <c r="H3" s="35" t="s">
        <v>354</v>
      </c>
      <c r="I3" s="35" t="s">
        <v>355</v>
      </c>
      <c r="J3" s="78" t="s">
        <v>73</v>
      </c>
      <c r="K3" s="75" t="s">
        <v>74</v>
      </c>
      <c r="L3" s="35" t="s">
        <v>355</v>
      </c>
      <c r="N3" s="318" t="s">
        <v>356</v>
      </c>
    </row>
    <row r="4" spans="2:26">
      <c r="B4" s="270">
        <v>1</v>
      </c>
      <c r="C4" s="257" t="s">
        <v>357</v>
      </c>
      <c r="D4" s="257">
        <f>D43</f>
        <v>0</v>
      </c>
      <c r="E4" s="308">
        <v>0</v>
      </c>
      <c r="F4" s="258">
        <f>F43</f>
        <v>0</v>
      </c>
      <c r="G4" s="258">
        <f t="shared" ref="G4" si="0">E4+F4</f>
        <v>0</v>
      </c>
      <c r="H4" s="260">
        <f>G43</f>
        <v>0</v>
      </c>
      <c r="I4" s="260">
        <f t="shared" ref="I4" si="1">G4+H4</f>
        <v>0</v>
      </c>
      <c r="J4" s="309">
        <v>0</v>
      </c>
      <c r="K4" s="309">
        <v>0</v>
      </c>
      <c r="L4" s="310">
        <f>SUM(J4:K4)</f>
        <v>0</v>
      </c>
    </row>
    <row r="5" spans="2:26">
      <c r="B5" s="273">
        <v>2</v>
      </c>
      <c r="C5" s="274" t="s">
        <v>358</v>
      </c>
      <c r="D5" s="274">
        <f>D82</f>
        <v>0</v>
      </c>
      <c r="E5" s="25">
        <f>AD82+AE82</f>
        <v>0</v>
      </c>
      <c r="F5" s="25">
        <f>AF82</f>
        <v>0</v>
      </c>
      <c r="G5" s="25">
        <f>E5+F5</f>
        <v>0</v>
      </c>
      <c r="H5" s="86">
        <f>AW82</f>
        <v>0</v>
      </c>
      <c r="I5" s="86">
        <f>G5+H5</f>
        <v>0</v>
      </c>
      <c r="J5" s="25">
        <f>AH82</f>
        <v>0</v>
      </c>
      <c r="K5" s="25">
        <f>AZ82</f>
        <v>0</v>
      </c>
      <c r="L5" s="86">
        <f>SUM(J5:K5)</f>
        <v>0</v>
      </c>
      <c r="Q5" s="4"/>
    </row>
    <row r="6" spans="2:26">
      <c r="B6" s="271">
        <v>3</v>
      </c>
      <c r="C6" s="262" t="s">
        <v>359</v>
      </c>
      <c r="D6" s="262">
        <f>D111</f>
        <v>0</v>
      </c>
      <c r="E6" s="263">
        <f>AL111+AM111</f>
        <v>0</v>
      </c>
      <c r="F6" s="263">
        <f>AN111</f>
        <v>0</v>
      </c>
      <c r="G6" s="263">
        <f t="shared" ref="G6:G11" si="2">E6+F6</f>
        <v>0</v>
      </c>
      <c r="H6" s="265">
        <f>BD111</f>
        <v>0</v>
      </c>
      <c r="I6" s="265">
        <f t="shared" ref="I6:I11" si="3">G6+H6</f>
        <v>0</v>
      </c>
      <c r="J6" s="263">
        <f>AP111</f>
        <v>0</v>
      </c>
      <c r="K6" s="263">
        <f>BE111</f>
        <v>0</v>
      </c>
      <c r="L6" s="86">
        <f>SUM(J6:K6)</f>
        <v>0</v>
      </c>
      <c r="Q6" s="4"/>
    </row>
    <row r="7" spans="2:26">
      <c r="B7" s="271">
        <v>4</v>
      </c>
      <c r="C7" s="262" t="s">
        <v>360</v>
      </c>
      <c r="D7" s="262">
        <f>D140</f>
        <v>0</v>
      </c>
      <c r="E7" s="263">
        <f>Y140+Z140</f>
        <v>0</v>
      </c>
      <c r="F7" s="263">
        <f>AA140</f>
        <v>0</v>
      </c>
      <c r="G7" s="263">
        <f t="shared" si="2"/>
        <v>0</v>
      </c>
      <c r="H7" s="265">
        <f>AL140</f>
        <v>0</v>
      </c>
      <c r="I7" s="265">
        <f t="shared" si="3"/>
        <v>0</v>
      </c>
      <c r="J7" s="311">
        <v>0</v>
      </c>
      <c r="K7" s="311">
        <v>0</v>
      </c>
      <c r="L7" s="312">
        <v>0</v>
      </c>
      <c r="Q7" s="292"/>
      <c r="R7" s="19"/>
    </row>
    <row r="8" spans="2:26">
      <c r="B8" s="271">
        <v>5</v>
      </c>
      <c r="C8" s="262" t="s">
        <v>361</v>
      </c>
      <c r="D8" s="262">
        <f>D169</f>
        <v>0</v>
      </c>
      <c r="E8" s="263">
        <f>AD169+AE169</f>
        <v>0</v>
      </c>
      <c r="F8" s="263">
        <f>AF169</f>
        <v>0</v>
      </c>
      <c r="G8" s="263">
        <f t="shared" ref="G8" si="4">E8+F8</f>
        <v>0</v>
      </c>
      <c r="H8" s="265">
        <f>AS169</f>
        <v>0</v>
      </c>
      <c r="I8" s="265">
        <f t="shared" ref="I8" si="5">G8+H8</f>
        <v>0</v>
      </c>
      <c r="J8" s="311">
        <v>0</v>
      </c>
      <c r="K8" s="311">
        <v>0</v>
      </c>
      <c r="L8" s="312">
        <v>0</v>
      </c>
      <c r="Q8" s="292"/>
      <c r="R8" s="19"/>
    </row>
    <row r="9" spans="2:26">
      <c r="B9" s="271">
        <v>6</v>
      </c>
      <c r="C9" s="266" t="s">
        <v>362</v>
      </c>
      <c r="D9" s="266"/>
      <c r="E9" s="261"/>
      <c r="F9" s="261"/>
      <c r="G9" s="263">
        <f t="shared" si="2"/>
        <v>0</v>
      </c>
      <c r="H9" s="264"/>
      <c r="I9" s="265">
        <f t="shared" si="3"/>
        <v>0</v>
      </c>
      <c r="J9" s="263"/>
      <c r="K9" s="263"/>
      <c r="L9" s="265"/>
      <c r="Q9" s="292"/>
      <c r="R9" s="19"/>
    </row>
    <row r="10" spans="2:26">
      <c r="B10" s="271">
        <v>7</v>
      </c>
      <c r="C10" s="266" t="s">
        <v>363</v>
      </c>
      <c r="D10" s="266"/>
      <c r="E10" s="261"/>
      <c r="F10" s="261"/>
      <c r="G10" s="263">
        <f t="shared" si="2"/>
        <v>0</v>
      </c>
      <c r="H10" s="264"/>
      <c r="I10" s="265">
        <f t="shared" si="3"/>
        <v>0</v>
      </c>
      <c r="J10" s="263"/>
      <c r="K10" s="263"/>
      <c r="L10" s="265"/>
      <c r="Q10" s="292"/>
      <c r="R10" s="19"/>
    </row>
    <row r="11" spans="2:26">
      <c r="B11" s="272">
        <v>8</v>
      </c>
      <c r="C11" s="268" t="s">
        <v>364</v>
      </c>
      <c r="D11" s="268"/>
      <c r="E11" s="267"/>
      <c r="F11" s="267"/>
      <c r="G11" s="50">
        <f t="shared" si="2"/>
        <v>0</v>
      </c>
      <c r="H11" s="269"/>
      <c r="I11" s="87">
        <f t="shared" si="3"/>
        <v>0</v>
      </c>
      <c r="J11" s="50"/>
      <c r="K11" s="50"/>
      <c r="L11" s="87"/>
    </row>
    <row r="12" spans="2:26">
      <c r="B12" s="150"/>
      <c r="C12" s="60"/>
      <c r="D12" s="75">
        <f t="shared" ref="D12:J12" si="6">SUM(D4:D11)</f>
        <v>0</v>
      </c>
      <c r="E12" s="29">
        <f t="shared" si="6"/>
        <v>0</v>
      </c>
      <c r="F12" s="29">
        <f t="shared" si="6"/>
        <v>0</v>
      </c>
      <c r="G12" s="29">
        <f t="shared" si="6"/>
        <v>0</v>
      </c>
      <c r="H12" s="254">
        <f t="shared" si="6"/>
        <v>0</v>
      </c>
      <c r="I12" s="254">
        <f t="shared" si="6"/>
        <v>0</v>
      </c>
      <c r="J12" s="29">
        <f t="shared" si="6"/>
        <v>0</v>
      </c>
      <c r="K12" s="29">
        <f t="shared" ref="K12:L12" si="7">SUM(K4:K11)</f>
        <v>0</v>
      </c>
      <c r="L12" s="254">
        <f t="shared" si="7"/>
        <v>0</v>
      </c>
    </row>
    <row r="13" spans="2:26">
      <c r="C13" s="392" t="s">
        <v>365</v>
      </c>
      <c r="D13" s="162">
        <f>COUNT($D$57:$D$81)+COUNT($D$86:$D$110)+COUNT($D$115:$D$139)+COUNT($D$144:$D$168)</f>
        <v>0</v>
      </c>
      <c r="P13"/>
      <c r="U13" s="6"/>
      <c r="V13" s="6"/>
      <c r="W13" s="6"/>
      <c r="X13" s="5"/>
      <c r="Y13" s="4"/>
      <c r="Z13" s="4"/>
    </row>
    <row r="14" spans="2:26">
      <c r="C14" s="392" t="s">
        <v>366</v>
      </c>
      <c r="D14" s="162">
        <f>COUNT($D$57:$D$81)+COUNT($D$86:$D$110)+COUNT($D$115:$D$139)+COUNT($D$144:$D$168)+COUNT($D$18:$D$42)</f>
        <v>0</v>
      </c>
      <c r="P14"/>
      <c r="U14" s="6"/>
      <c r="V14" s="6"/>
      <c r="W14" s="6"/>
      <c r="X14" s="5"/>
      <c r="Y14" s="4"/>
      <c r="Z14" s="4"/>
    </row>
    <row r="15" spans="2:26">
      <c r="P15"/>
      <c r="U15" s="6"/>
      <c r="V15" s="6"/>
      <c r="W15" s="6"/>
      <c r="X15" s="5"/>
      <c r="Y15" s="4"/>
      <c r="Z15" s="4"/>
    </row>
    <row r="16" spans="2:26">
      <c r="B16" s="222" t="s">
        <v>367</v>
      </c>
      <c r="C16" s="223"/>
      <c r="D16" s="223"/>
      <c r="E16" s="223"/>
      <c r="F16" s="223"/>
      <c r="G16" s="224"/>
      <c r="I16" s="284" t="s">
        <v>14</v>
      </c>
      <c r="J16" s="285"/>
      <c r="K16" s="285"/>
      <c r="L16" s="285"/>
      <c r="M16" s="285"/>
      <c r="N16" s="285"/>
      <c r="O16" s="285"/>
      <c r="P16" s="285"/>
      <c r="Q16" s="284" t="s">
        <v>74</v>
      </c>
      <c r="R16" s="285"/>
      <c r="S16" s="285"/>
      <c r="T16" s="285"/>
      <c r="U16" s="285"/>
      <c r="V16" s="285"/>
      <c r="W16" s="285"/>
      <c r="X16" s="285"/>
      <c r="Y16" s="4"/>
      <c r="Z16" s="305" t="s">
        <v>368</v>
      </c>
    </row>
    <row r="17" spans="2:27" s="19" customFormat="1">
      <c r="B17" s="75" t="s">
        <v>31</v>
      </c>
      <c r="C17" s="75" t="s">
        <v>369</v>
      </c>
      <c r="D17" s="75" t="s">
        <v>370</v>
      </c>
      <c r="E17" s="75" t="s">
        <v>371</v>
      </c>
      <c r="F17" s="75" t="s">
        <v>372</v>
      </c>
      <c r="G17" s="75" t="s">
        <v>373</v>
      </c>
      <c r="I17" s="216" t="s">
        <v>371</v>
      </c>
      <c r="J17" s="75" t="s">
        <v>374</v>
      </c>
      <c r="K17" s="75" t="s">
        <v>359</v>
      </c>
      <c r="L17" s="75" t="s">
        <v>375</v>
      </c>
      <c r="M17" s="75" t="s">
        <v>361</v>
      </c>
      <c r="N17" s="75" t="s">
        <v>376</v>
      </c>
      <c r="O17" s="75" t="s">
        <v>377</v>
      </c>
      <c r="P17" s="162" t="s">
        <v>378</v>
      </c>
      <c r="Q17" s="216" t="s">
        <v>371</v>
      </c>
      <c r="R17" s="75" t="s">
        <v>374</v>
      </c>
      <c r="S17" s="75" t="s">
        <v>359</v>
      </c>
      <c r="T17" s="75" t="s">
        <v>375</v>
      </c>
      <c r="U17" s="75" t="s">
        <v>361</v>
      </c>
      <c r="V17" s="75" t="s">
        <v>376</v>
      </c>
      <c r="W17" s="75" t="s">
        <v>377</v>
      </c>
      <c r="X17" s="162" t="s">
        <v>378</v>
      </c>
      <c r="Y17" s="292"/>
      <c r="Z17" s="303" t="s">
        <v>374</v>
      </c>
      <c r="AA17" s="6"/>
    </row>
    <row r="18" spans="2:27" s="19" customFormat="1">
      <c r="B18" s="227">
        <v>1</v>
      </c>
      <c r="C18" s="228"/>
      <c r="D18" s="229"/>
      <c r="E18" s="229"/>
      <c r="F18" s="306">
        <f>IF($D18="",0,IF($E18="",0,INDEX($J$19:$P$24,MATCH($D18,$I$19:$I$24,1),MATCH($E18,$J$17:$P$17,0))))</f>
        <v>0</v>
      </c>
      <c r="G18" s="306">
        <f>IF($D18="",0,IF($E18="",0,INDEX($R$19:$X$24,MATCH($D18,$I$19:$I$24,1),MATCH($E18,$R$17:$X$17,0))))</f>
        <v>0</v>
      </c>
      <c r="I18" s="78" t="s">
        <v>379</v>
      </c>
      <c r="J18" s="75" t="s">
        <v>312</v>
      </c>
      <c r="K18" s="75" t="s">
        <v>312</v>
      </c>
      <c r="L18" s="75" t="s">
        <v>312</v>
      </c>
      <c r="M18" s="75" t="s">
        <v>312</v>
      </c>
      <c r="N18" s="75" t="s">
        <v>312</v>
      </c>
      <c r="O18" s="75" t="s">
        <v>312</v>
      </c>
      <c r="P18" s="162" t="s">
        <v>312</v>
      </c>
      <c r="Q18" s="78" t="s">
        <v>379</v>
      </c>
      <c r="R18" s="75" t="s">
        <v>312</v>
      </c>
      <c r="S18" s="75" t="s">
        <v>312</v>
      </c>
      <c r="T18" s="75" t="s">
        <v>312</v>
      </c>
      <c r="U18" s="75" t="s">
        <v>312</v>
      </c>
      <c r="V18" s="75" t="s">
        <v>312</v>
      </c>
      <c r="W18" s="75" t="s">
        <v>312</v>
      </c>
      <c r="X18" s="162" t="s">
        <v>312</v>
      </c>
      <c r="Y18" s="292"/>
      <c r="Z18" s="303" t="s">
        <v>359</v>
      </c>
      <c r="AA18" s="6"/>
    </row>
    <row r="19" spans="2:27" s="19" customFormat="1">
      <c r="B19" s="236">
        <f>B18+1</f>
        <v>2</v>
      </c>
      <c r="C19" s="237"/>
      <c r="D19" s="238"/>
      <c r="E19" s="238"/>
      <c r="F19" s="307">
        <f t="shared" ref="F19:F42" si="8">IF($D19="",0,IF($E19="",0,INDEX($J$19:$P$24,MATCH($D19,$I$19:$I$24,1),MATCH($E19,$J$17:$P$17,0))))</f>
        <v>0</v>
      </c>
      <c r="G19" s="307">
        <f t="shared" ref="G19:G42" si="9">IF($D19="",0,IF($E19="",0,INDEX($R$19:$X$24,MATCH($D19,$I$19:$I$24,1),MATCH($E19,$R$17:$X$17,0))))</f>
        <v>0</v>
      </c>
      <c r="I19" s="294">
        <v>0</v>
      </c>
      <c r="J19" s="295">
        <v>150</v>
      </c>
      <c r="K19" s="295">
        <v>150</v>
      </c>
      <c r="L19" s="295">
        <f>K19*0.65</f>
        <v>97.5</v>
      </c>
      <c r="M19" s="295">
        <v>300</v>
      </c>
      <c r="N19" s="295">
        <f>M19*0.65</f>
        <v>195</v>
      </c>
      <c r="O19" s="295">
        <v>650</v>
      </c>
      <c r="P19" s="296">
        <v>300</v>
      </c>
      <c r="Q19" s="294">
        <v>0</v>
      </c>
      <c r="R19" s="295">
        <v>100</v>
      </c>
      <c r="S19" s="295">
        <v>100</v>
      </c>
      <c r="T19" s="295">
        <v>75</v>
      </c>
      <c r="U19" s="295">
        <v>400</v>
      </c>
      <c r="V19" s="295">
        <v>50</v>
      </c>
      <c r="W19" s="295">
        <f>400</f>
        <v>400</v>
      </c>
      <c r="X19" s="296">
        <v>400</v>
      </c>
      <c r="Y19" s="292"/>
      <c r="Z19" s="303" t="s">
        <v>375</v>
      </c>
      <c r="AA19" s="6"/>
    </row>
    <row r="20" spans="2:27" s="19" customFormat="1">
      <c r="B20" s="236">
        <f t="shared" ref="B20:B42" si="10">B19+1</f>
        <v>3</v>
      </c>
      <c r="C20" s="237"/>
      <c r="D20" s="238"/>
      <c r="E20" s="238"/>
      <c r="F20" s="307">
        <f t="shared" si="8"/>
        <v>0</v>
      </c>
      <c r="G20" s="307">
        <f t="shared" si="9"/>
        <v>0</v>
      </c>
      <c r="I20" s="297">
        <v>5</v>
      </c>
      <c r="J20" s="298">
        <v>150</v>
      </c>
      <c r="K20" s="298">
        <v>150</v>
      </c>
      <c r="L20" s="298">
        <f t="shared" ref="L20:L24" si="11">K20*0.65</f>
        <v>97.5</v>
      </c>
      <c r="M20" s="298">
        <v>300</v>
      </c>
      <c r="N20" s="298">
        <f t="shared" ref="N20:N24" si="12">M20*0.65</f>
        <v>195</v>
      </c>
      <c r="O20" s="298">
        <v>650</v>
      </c>
      <c r="P20" s="299">
        <v>300</v>
      </c>
      <c r="Q20" s="297">
        <v>5</v>
      </c>
      <c r="R20" s="298">
        <v>100</v>
      </c>
      <c r="S20" s="298">
        <v>100</v>
      </c>
      <c r="T20" s="298">
        <v>75</v>
      </c>
      <c r="U20" s="298">
        <v>400</v>
      </c>
      <c r="V20" s="298">
        <v>50</v>
      </c>
      <c r="W20" s="298">
        <v>400</v>
      </c>
      <c r="X20" s="299">
        <v>400</v>
      </c>
      <c r="Y20" s="292"/>
      <c r="Z20" s="303" t="s">
        <v>361</v>
      </c>
      <c r="AA20" s="6"/>
    </row>
    <row r="21" spans="2:27" s="19" customFormat="1">
      <c r="B21" s="236">
        <f t="shared" si="10"/>
        <v>4</v>
      </c>
      <c r="C21" s="237"/>
      <c r="D21" s="238"/>
      <c r="E21" s="238"/>
      <c r="F21" s="307">
        <f t="shared" si="8"/>
        <v>0</v>
      </c>
      <c r="G21" s="307">
        <f t="shared" si="9"/>
        <v>0</v>
      </c>
      <c r="I21" s="297">
        <v>10</v>
      </c>
      <c r="J21" s="298">
        <v>175</v>
      </c>
      <c r="K21" s="298">
        <v>175</v>
      </c>
      <c r="L21" s="298">
        <f t="shared" si="11"/>
        <v>113.75</v>
      </c>
      <c r="M21" s="298">
        <v>350</v>
      </c>
      <c r="N21" s="298">
        <f t="shared" si="12"/>
        <v>227.5</v>
      </c>
      <c r="O21" s="298">
        <v>750</v>
      </c>
      <c r="P21" s="299">
        <v>350</v>
      </c>
      <c r="Q21" s="297">
        <v>10</v>
      </c>
      <c r="R21" s="298">
        <v>125</v>
      </c>
      <c r="S21" s="298">
        <v>125</v>
      </c>
      <c r="T21" s="298">
        <v>100</v>
      </c>
      <c r="U21" s="298">
        <v>500</v>
      </c>
      <c r="V21" s="298">
        <v>75</v>
      </c>
      <c r="W21" s="298">
        <v>600</v>
      </c>
      <c r="X21" s="299">
        <v>450</v>
      </c>
      <c r="Y21" s="292"/>
      <c r="Z21" s="303" t="s">
        <v>376</v>
      </c>
      <c r="AA21" s="6"/>
    </row>
    <row r="22" spans="2:27" s="19" customFormat="1">
      <c r="B22" s="236">
        <f t="shared" si="10"/>
        <v>5</v>
      </c>
      <c r="C22" s="237"/>
      <c r="D22" s="238"/>
      <c r="E22" s="238"/>
      <c r="F22" s="307">
        <f t="shared" si="8"/>
        <v>0</v>
      </c>
      <c r="G22" s="307">
        <f t="shared" si="9"/>
        <v>0</v>
      </c>
      <c r="I22" s="297">
        <v>20</v>
      </c>
      <c r="J22" s="298">
        <v>175</v>
      </c>
      <c r="K22" s="298">
        <v>175</v>
      </c>
      <c r="L22" s="298">
        <f t="shared" si="11"/>
        <v>113.75</v>
      </c>
      <c r="M22" s="298">
        <v>400</v>
      </c>
      <c r="N22" s="298">
        <f t="shared" si="12"/>
        <v>260</v>
      </c>
      <c r="O22" s="298">
        <v>1200</v>
      </c>
      <c r="P22" s="299">
        <v>400</v>
      </c>
      <c r="Q22" s="297">
        <v>20</v>
      </c>
      <c r="R22" s="298">
        <v>200</v>
      </c>
      <c r="S22" s="298">
        <v>200</v>
      </c>
      <c r="T22" s="298">
        <v>150</v>
      </c>
      <c r="U22" s="298">
        <v>800</v>
      </c>
      <c r="V22" s="298">
        <v>125</v>
      </c>
      <c r="W22" s="298">
        <v>800</v>
      </c>
      <c r="X22" s="299">
        <v>600</v>
      </c>
      <c r="Y22" s="292"/>
      <c r="Z22" s="303" t="s">
        <v>377</v>
      </c>
      <c r="AA22" s="6"/>
    </row>
    <row r="23" spans="2:27" s="19" customFormat="1">
      <c r="B23" s="236">
        <f t="shared" si="10"/>
        <v>6</v>
      </c>
      <c r="C23" s="237"/>
      <c r="D23" s="238"/>
      <c r="E23" s="238"/>
      <c r="F23" s="307">
        <f t="shared" si="8"/>
        <v>0</v>
      </c>
      <c r="G23" s="307">
        <f t="shared" si="9"/>
        <v>0</v>
      </c>
      <c r="I23" s="297">
        <v>50</v>
      </c>
      <c r="J23" s="298">
        <v>250</v>
      </c>
      <c r="K23" s="298">
        <v>250</v>
      </c>
      <c r="L23" s="298">
        <f t="shared" si="11"/>
        <v>162.5</v>
      </c>
      <c r="M23" s="298">
        <v>800</v>
      </c>
      <c r="N23" s="298">
        <f t="shared" si="12"/>
        <v>520</v>
      </c>
      <c r="O23" s="298">
        <v>1500</v>
      </c>
      <c r="P23" s="299">
        <v>600</v>
      </c>
      <c r="Q23" s="297">
        <v>50</v>
      </c>
      <c r="R23" s="298">
        <v>400</v>
      </c>
      <c r="S23" s="298">
        <v>400</v>
      </c>
      <c r="T23" s="298">
        <v>250</v>
      </c>
      <c r="U23" s="298">
        <v>1000</v>
      </c>
      <c r="V23" s="298">
        <v>200</v>
      </c>
      <c r="W23" s="298">
        <v>1200</v>
      </c>
      <c r="X23" s="299">
        <v>800</v>
      </c>
      <c r="Y23" s="292"/>
      <c r="Z23" s="303" t="s">
        <v>378</v>
      </c>
      <c r="AA23" s="6"/>
    </row>
    <row r="24" spans="2:27" s="19" customFormat="1">
      <c r="B24" s="236">
        <f t="shared" si="10"/>
        <v>7</v>
      </c>
      <c r="C24" s="237"/>
      <c r="D24" s="238"/>
      <c r="E24" s="238"/>
      <c r="F24" s="307">
        <f t="shared" si="8"/>
        <v>0</v>
      </c>
      <c r="G24" s="307">
        <f t="shared" si="9"/>
        <v>0</v>
      </c>
      <c r="I24" s="300">
        <v>75</v>
      </c>
      <c r="J24" s="301">
        <v>350</v>
      </c>
      <c r="K24" s="301">
        <v>350</v>
      </c>
      <c r="L24" s="301">
        <f t="shared" si="11"/>
        <v>227.5</v>
      </c>
      <c r="M24" s="301">
        <v>1500</v>
      </c>
      <c r="N24" s="301">
        <f t="shared" si="12"/>
        <v>975</v>
      </c>
      <c r="O24" s="301">
        <v>2000</v>
      </c>
      <c r="P24" s="302">
        <v>800</v>
      </c>
      <c r="Q24" s="300">
        <v>75</v>
      </c>
      <c r="R24" s="301">
        <v>800</v>
      </c>
      <c r="S24" s="301">
        <v>800</v>
      </c>
      <c r="T24" s="301">
        <v>300</v>
      </c>
      <c r="U24" s="301">
        <v>1500</v>
      </c>
      <c r="V24" s="301">
        <v>300</v>
      </c>
      <c r="W24" s="301">
        <v>1600</v>
      </c>
      <c r="X24" s="302">
        <v>1200</v>
      </c>
      <c r="Y24" s="292"/>
      <c r="Z24" s="303"/>
      <c r="AA24" s="6"/>
    </row>
    <row r="25" spans="2:27" s="19" customFormat="1">
      <c r="B25" s="236">
        <f t="shared" si="10"/>
        <v>8</v>
      </c>
      <c r="C25" s="237"/>
      <c r="D25" s="238"/>
      <c r="E25" s="238"/>
      <c r="F25" s="307">
        <f t="shared" si="8"/>
        <v>0</v>
      </c>
      <c r="G25" s="307">
        <f t="shared" si="9"/>
        <v>0</v>
      </c>
      <c r="I25"/>
      <c r="M25" s="292"/>
      <c r="N25" s="292"/>
      <c r="O25"/>
      <c r="P25" s="292"/>
      <c r="Q25" s="292"/>
      <c r="U25" s="292"/>
      <c r="V25" s="292"/>
      <c r="W25" s="292"/>
      <c r="X25" s="292"/>
      <c r="Y25" s="292"/>
      <c r="Z25" s="304"/>
      <c r="AA25" s="6"/>
    </row>
    <row r="26" spans="2:27" s="19" customFormat="1">
      <c r="B26" s="236">
        <f t="shared" si="10"/>
        <v>9</v>
      </c>
      <c r="C26" s="237"/>
      <c r="D26" s="238"/>
      <c r="E26" s="238"/>
      <c r="F26" s="307">
        <f t="shared" si="8"/>
        <v>0</v>
      </c>
      <c r="G26" s="307">
        <f t="shared" si="9"/>
        <v>0</v>
      </c>
      <c r="I26"/>
      <c r="M26" s="292"/>
      <c r="N26" s="292"/>
      <c r="O26"/>
      <c r="P26" s="292"/>
      <c r="Q26" s="292"/>
      <c r="U26" s="292"/>
      <c r="V26" s="292"/>
      <c r="W26" s="292"/>
      <c r="X26" s="292"/>
      <c r="Y26" s="292"/>
      <c r="Z26" s="292"/>
      <c r="AA26" s="6"/>
    </row>
    <row r="27" spans="2:27" s="19" customFormat="1">
      <c r="B27" s="236">
        <f t="shared" si="10"/>
        <v>10</v>
      </c>
      <c r="C27" s="237"/>
      <c r="D27" s="238"/>
      <c r="E27" s="238"/>
      <c r="F27" s="307">
        <f t="shared" si="8"/>
        <v>0</v>
      </c>
      <c r="G27" s="307">
        <f t="shared" si="9"/>
        <v>0</v>
      </c>
      <c r="M27" s="292"/>
      <c r="N27" s="292"/>
      <c r="O27"/>
      <c r="P27" s="292"/>
      <c r="Q27" s="292"/>
      <c r="U27" s="292"/>
      <c r="V27" s="292"/>
      <c r="W27" s="292"/>
      <c r="X27" s="292"/>
      <c r="Y27" s="292"/>
      <c r="Z27" s="292"/>
      <c r="AA27" s="6"/>
    </row>
    <row r="28" spans="2:27" s="19" customFormat="1">
      <c r="B28" s="236">
        <f t="shared" si="10"/>
        <v>11</v>
      </c>
      <c r="C28" s="237"/>
      <c r="D28" s="238"/>
      <c r="E28" s="238"/>
      <c r="F28" s="307">
        <f t="shared" si="8"/>
        <v>0</v>
      </c>
      <c r="G28" s="307">
        <f t="shared" si="9"/>
        <v>0</v>
      </c>
      <c r="M28" s="292"/>
      <c r="N28" s="292"/>
      <c r="O28"/>
      <c r="P28" s="292"/>
      <c r="Q28" s="292"/>
      <c r="U28" s="292"/>
      <c r="V28" s="292"/>
      <c r="W28" s="292"/>
      <c r="X28" s="292"/>
      <c r="Y28" s="292"/>
      <c r="Z28" s="292"/>
      <c r="AA28" s="6"/>
    </row>
    <row r="29" spans="2:27" s="19" customFormat="1">
      <c r="B29" s="236">
        <f t="shared" si="10"/>
        <v>12</v>
      </c>
      <c r="C29" s="237"/>
      <c r="D29" s="238"/>
      <c r="E29" s="238"/>
      <c r="F29" s="307">
        <f t="shared" si="8"/>
        <v>0</v>
      </c>
      <c r="G29" s="307">
        <f t="shared" si="9"/>
        <v>0</v>
      </c>
      <c r="M29" s="292"/>
      <c r="N29" s="292"/>
      <c r="O29" s="292"/>
      <c r="P29" s="292"/>
      <c r="Q29" s="292"/>
      <c r="U29" s="292"/>
      <c r="V29" s="292"/>
      <c r="W29" s="292"/>
      <c r="X29" s="292"/>
      <c r="Y29" s="292"/>
      <c r="Z29" s="292"/>
      <c r="AA29" s="6"/>
    </row>
    <row r="30" spans="2:27" s="19" customFormat="1">
      <c r="B30" s="236">
        <f t="shared" si="10"/>
        <v>13</v>
      </c>
      <c r="C30" s="237"/>
      <c r="D30" s="238"/>
      <c r="E30" s="238"/>
      <c r="F30" s="307">
        <f t="shared" si="8"/>
        <v>0</v>
      </c>
      <c r="G30" s="307">
        <f t="shared" si="9"/>
        <v>0</v>
      </c>
      <c r="M30" s="292"/>
      <c r="N30" s="292"/>
      <c r="O30" s="292"/>
      <c r="P30" s="292"/>
      <c r="Q30" s="292"/>
      <c r="U30" s="292"/>
      <c r="V30" s="292"/>
      <c r="W30" s="292"/>
      <c r="X30" s="292"/>
      <c r="Y30" s="292"/>
      <c r="Z30" s="292"/>
      <c r="AA30" s="6"/>
    </row>
    <row r="31" spans="2:27" s="19" customFormat="1">
      <c r="B31" s="236">
        <f t="shared" si="10"/>
        <v>14</v>
      </c>
      <c r="C31" s="237"/>
      <c r="D31" s="238"/>
      <c r="E31" s="238"/>
      <c r="F31" s="307">
        <f t="shared" si="8"/>
        <v>0</v>
      </c>
      <c r="G31" s="307">
        <f t="shared" si="9"/>
        <v>0</v>
      </c>
      <c r="M31" s="292"/>
      <c r="N31" s="292"/>
      <c r="O31" s="292"/>
      <c r="P31" s="292"/>
      <c r="Q31" s="292"/>
      <c r="U31" s="292"/>
      <c r="V31" s="292"/>
      <c r="W31" s="292"/>
      <c r="X31" s="292"/>
      <c r="Y31" s="292"/>
      <c r="Z31" s="292"/>
      <c r="AA31" s="6"/>
    </row>
    <row r="32" spans="2:27" s="19" customFormat="1">
      <c r="B32" s="236">
        <f t="shared" si="10"/>
        <v>15</v>
      </c>
      <c r="C32" s="237"/>
      <c r="D32" s="238"/>
      <c r="E32" s="238"/>
      <c r="F32" s="307">
        <f t="shared" si="8"/>
        <v>0</v>
      </c>
      <c r="G32" s="307">
        <f t="shared" si="9"/>
        <v>0</v>
      </c>
      <c r="M32" s="292"/>
      <c r="N32" s="292"/>
      <c r="O32" s="292"/>
      <c r="P32" s="292"/>
      <c r="Q32" s="292"/>
      <c r="U32" s="292"/>
      <c r="V32" s="292"/>
      <c r="W32" s="292"/>
      <c r="X32" s="292"/>
      <c r="Y32" s="292"/>
      <c r="Z32" s="292"/>
      <c r="AA32" s="6"/>
    </row>
    <row r="33" spans="2:27" s="19" customFormat="1">
      <c r="B33" s="236">
        <f t="shared" si="10"/>
        <v>16</v>
      </c>
      <c r="C33" s="237"/>
      <c r="D33" s="238"/>
      <c r="E33" s="238"/>
      <c r="F33" s="307">
        <f t="shared" si="8"/>
        <v>0</v>
      </c>
      <c r="G33" s="307">
        <f t="shared" si="9"/>
        <v>0</v>
      </c>
      <c r="M33" s="292"/>
      <c r="N33" s="292"/>
      <c r="O33" s="292"/>
      <c r="P33" s="292"/>
      <c r="Q33" s="292"/>
      <c r="U33" s="292"/>
      <c r="V33" s="292"/>
      <c r="W33" s="292"/>
      <c r="X33" s="292"/>
      <c r="Y33" s="292"/>
      <c r="Z33" s="292"/>
      <c r="AA33" s="6"/>
    </row>
    <row r="34" spans="2:27" s="19" customFormat="1">
      <c r="B34" s="236">
        <f t="shared" si="10"/>
        <v>17</v>
      </c>
      <c r="C34" s="237"/>
      <c r="D34" s="238"/>
      <c r="E34" s="238"/>
      <c r="F34" s="307">
        <f t="shared" si="8"/>
        <v>0</v>
      </c>
      <c r="G34" s="307">
        <f t="shared" si="9"/>
        <v>0</v>
      </c>
      <c r="M34" s="292"/>
      <c r="N34" s="292"/>
      <c r="O34" s="292"/>
      <c r="P34" s="292"/>
      <c r="Q34" s="292"/>
      <c r="U34" s="292"/>
      <c r="V34" s="292"/>
      <c r="W34" s="292"/>
      <c r="X34" s="292"/>
      <c r="Y34" s="292"/>
      <c r="Z34" s="292"/>
      <c r="AA34" s="6"/>
    </row>
    <row r="35" spans="2:27" s="19" customFormat="1">
      <c r="B35" s="236">
        <f t="shared" si="10"/>
        <v>18</v>
      </c>
      <c r="C35" s="237"/>
      <c r="D35" s="238"/>
      <c r="E35" s="238"/>
      <c r="F35" s="307">
        <f t="shared" si="8"/>
        <v>0</v>
      </c>
      <c r="G35" s="307">
        <f t="shared" si="9"/>
        <v>0</v>
      </c>
      <c r="M35" s="292"/>
      <c r="N35" s="292"/>
      <c r="O35" s="292"/>
      <c r="P35" s="292"/>
      <c r="Q35" s="292"/>
      <c r="U35" s="292"/>
      <c r="V35" s="292"/>
      <c r="W35" s="292"/>
      <c r="X35" s="292"/>
      <c r="Y35" s="292"/>
      <c r="Z35" s="292"/>
      <c r="AA35" s="6"/>
    </row>
    <row r="36" spans="2:27" s="19" customFormat="1">
      <c r="B36" s="236">
        <f t="shared" si="10"/>
        <v>19</v>
      </c>
      <c r="C36" s="237"/>
      <c r="D36" s="238"/>
      <c r="E36" s="238"/>
      <c r="F36" s="307">
        <f t="shared" si="8"/>
        <v>0</v>
      </c>
      <c r="G36" s="307">
        <f t="shared" si="9"/>
        <v>0</v>
      </c>
      <c r="M36" s="292"/>
      <c r="N36" s="292"/>
      <c r="O36" s="292"/>
      <c r="P36" s="292"/>
      <c r="Q36" s="292"/>
      <c r="U36" s="292"/>
      <c r="V36" s="292"/>
      <c r="W36" s="292"/>
      <c r="X36" s="292"/>
      <c r="Y36" s="292"/>
      <c r="Z36" s="292"/>
      <c r="AA36" s="6"/>
    </row>
    <row r="37" spans="2:27" s="19" customFormat="1">
      <c r="B37" s="236">
        <f t="shared" si="10"/>
        <v>20</v>
      </c>
      <c r="C37" s="237"/>
      <c r="D37" s="238"/>
      <c r="E37" s="238"/>
      <c r="F37" s="307">
        <f t="shared" si="8"/>
        <v>0</v>
      </c>
      <c r="G37" s="307">
        <f t="shared" si="9"/>
        <v>0</v>
      </c>
      <c r="M37" s="292"/>
      <c r="N37" s="292"/>
      <c r="O37" s="292"/>
      <c r="P37" s="292"/>
      <c r="Q37" s="292"/>
      <c r="U37" s="292"/>
      <c r="V37" s="292"/>
      <c r="W37" s="292"/>
      <c r="X37" s="292"/>
      <c r="Y37" s="292"/>
      <c r="Z37" s="292"/>
      <c r="AA37" s="6"/>
    </row>
    <row r="38" spans="2:27" s="19" customFormat="1">
      <c r="B38" s="236">
        <f t="shared" si="10"/>
        <v>21</v>
      </c>
      <c r="C38" s="237"/>
      <c r="D38" s="238"/>
      <c r="E38" s="238"/>
      <c r="F38" s="307">
        <f t="shared" si="8"/>
        <v>0</v>
      </c>
      <c r="G38" s="307">
        <f t="shared" si="9"/>
        <v>0</v>
      </c>
      <c r="M38" s="292"/>
      <c r="N38" s="292"/>
      <c r="O38" s="292"/>
      <c r="P38" s="292"/>
      <c r="Q38" s="292"/>
      <c r="U38" s="292"/>
      <c r="V38" s="292"/>
      <c r="W38" s="292"/>
      <c r="X38" s="292"/>
      <c r="Y38" s="292"/>
      <c r="Z38" s="292"/>
      <c r="AA38" s="6"/>
    </row>
    <row r="39" spans="2:27" s="19" customFormat="1">
      <c r="B39" s="236">
        <f t="shared" si="10"/>
        <v>22</v>
      </c>
      <c r="C39" s="237"/>
      <c r="D39" s="238"/>
      <c r="E39" s="238"/>
      <c r="F39" s="307">
        <f t="shared" si="8"/>
        <v>0</v>
      </c>
      <c r="G39" s="307">
        <f t="shared" si="9"/>
        <v>0</v>
      </c>
      <c r="M39" s="292"/>
      <c r="N39" s="292"/>
      <c r="O39" s="292"/>
      <c r="P39" s="292"/>
      <c r="Q39" s="292"/>
      <c r="U39" s="292"/>
      <c r="V39" s="292"/>
      <c r="W39" s="292"/>
      <c r="X39" s="292"/>
      <c r="Y39" s="292"/>
      <c r="Z39" s="292"/>
      <c r="AA39" s="6"/>
    </row>
    <row r="40" spans="2:27" s="19" customFormat="1">
      <c r="B40" s="236">
        <f t="shared" si="10"/>
        <v>23</v>
      </c>
      <c r="C40" s="237"/>
      <c r="D40" s="238"/>
      <c r="E40" s="238"/>
      <c r="F40" s="307">
        <f t="shared" si="8"/>
        <v>0</v>
      </c>
      <c r="G40" s="307">
        <f t="shared" si="9"/>
        <v>0</v>
      </c>
      <c r="M40" s="292"/>
      <c r="N40" s="292"/>
      <c r="O40" s="292"/>
      <c r="P40" s="292"/>
      <c r="Q40" s="292"/>
      <c r="U40" s="292"/>
      <c r="V40" s="292"/>
      <c r="W40" s="292"/>
      <c r="X40" s="292"/>
      <c r="Y40" s="292"/>
      <c r="Z40" s="292"/>
      <c r="AA40" s="6"/>
    </row>
    <row r="41" spans="2:27" s="19" customFormat="1">
      <c r="B41" s="236">
        <f t="shared" si="10"/>
        <v>24</v>
      </c>
      <c r="C41" s="237"/>
      <c r="D41" s="238"/>
      <c r="E41" s="238"/>
      <c r="F41" s="307">
        <f t="shared" si="8"/>
        <v>0</v>
      </c>
      <c r="G41" s="307">
        <f t="shared" si="9"/>
        <v>0</v>
      </c>
      <c r="M41" s="292"/>
      <c r="N41" s="292"/>
      <c r="O41" s="292"/>
      <c r="P41" s="292"/>
      <c r="Q41" s="292"/>
      <c r="U41" s="292"/>
      <c r="V41" s="292"/>
      <c r="W41" s="292"/>
      <c r="X41" s="292"/>
      <c r="Y41" s="292"/>
      <c r="Z41" s="292"/>
      <c r="AA41" s="6"/>
    </row>
    <row r="42" spans="2:27" s="19" customFormat="1">
      <c r="B42" s="236">
        <f t="shared" si="10"/>
        <v>25</v>
      </c>
      <c r="C42" s="237"/>
      <c r="D42" s="238"/>
      <c r="E42" s="238"/>
      <c r="F42" s="307">
        <f t="shared" si="8"/>
        <v>0</v>
      </c>
      <c r="G42" s="307">
        <f t="shared" si="9"/>
        <v>0</v>
      </c>
      <c r="M42" s="292"/>
      <c r="N42" s="292"/>
      <c r="O42" s="292"/>
      <c r="P42" s="292"/>
      <c r="Q42" s="292"/>
      <c r="U42" s="292"/>
      <c r="V42" s="292"/>
      <c r="W42" s="292"/>
      <c r="X42" s="292"/>
      <c r="Y42" s="292"/>
      <c r="Z42" s="292"/>
      <c r="AA42" s="6"/>
    </row>
    <row r="43" spans="2:27" s="19" customFormat="1">
      <c r="B43" s="75" t="s">
        <v>225</v>
      </c>
      <c r="C43" s="60"/>
      <c r="D43" s="75">
        <f>SUM(D18:D42)</f>
        <v>0</v>
      </c>
      <c r="E43" s="75"/>
      <c r="F43" s="29">
        <f>SUM(F18:F42)</f>
        <v>0</v>
      </c>
      <c r="G43" s="29">
        <f>SUM(G18:G42)</f>
        <v>0</v>
      </c>
      <c r="I43" s="293"/>
      <c r="K43" s="292"/>
      <c r="M43" s="292"/>
      <c r="N43" s="292"/>
      <c r="O43" s="292"/>
      <c r="P43" s="292"/>
      <c r="Q43" s="292"/>
      <c r="U43" s="292"/>
      <c r="V43" s="292"/>
      <c r="W43" s="292"/>
      <c r="X43" s="292"/>
      <c r="Y43" s="292"/>
      <c r="Z43" s="292"/>
      <c r="AA43" s="6"/>
    </row>
    <row r="44" spans="2:27" s="19" customFormat="1">
      <c r="B44" s="1"/>
      <c r="C44"/>
      <c r="D44" s="1"/>
      <c r="E44" s="1"/>
      <c r="F44" s="27"/>
      <c r="G44" s="27"/>
      <c r="I44" s="293"/>
      <c r="K44" s="292"/>
      <c r="M44" s="292"/>
      <c r="N44" s="292"/>
      <c r="O44" s="292"/>
      <c r="P44" s="292"/>
      <c r="Q44" s="292"/>
      <c r="U44" s="292"/>
      <c r="V44" s="292"/>
      <c r="W44" s="292"/>
      <c r="X44" s="292"/>
      <c r="Y44" s="292"/>
      <c r="Z44" s="292"/>
      <c r="AA44" s="6"/>
    </row>
    <row r="45" spans="2:27" s="19" customFormat="1">
      <c r="B45" s="1"/>
      <c r="C45"/>
      <c r="D45" s="1"/>
      <c r="E45" s="1"/>
      <c r="F45" s="27"/>
      <c r="G45" s="27"/>
      <c r="I45" s="293"/>
      <c r="K45" s="292"/>
      <c r="M45" s="292"/>
      <c r="N45" s="292"/>
      <c r="O45" s="292"/>
      <c r="P45" s="292"/>
      <c r="Q45" s="292"/>
      <c r="U45" s="292"/>
      <c r="V45" s="292"/>
      <c r="W45" s="292"/>
      <c r="X45" s="292"/>
      <c r="Y45" s="292"/>
      <c r="Z45" s="292"/>
      <c r="AA45" s="6"/>
    </row>
    <row r="46" spans="2:27" s="19" customFormat="1">
      <c r="B46" s="1"/>
      <c r="C46"/>
      <c r="D46" s="1"/>
      <c r="E46" s="1"/>
      <c r="F46" s="27"/>
      <c r="G46" s="27"/>
      <c r="I46" s="293"/>
      <c r="K46" s="292"/>
      <c r="M46" s="292"/>
      <c r="N46" s="292"/>
      <c r="O46" s="292"/>
      <c r="P46" s="292"/>
      <c r="Q46" s="292"/>
      <c r="U46" s="292"/>
      <c r="V46" s="292"/>
      <c r="W46" s="292"/>
      <c r="X46" s="292"/>
      <c r="Y46" s="292"/>
      <c r="Z46" s="292"/>
      <c r="AA46" s="6"/>
    </row>
    <row r="47" spans="2:27" s="19" customFormat="1">
      <c r="B47" s="1"/>
      <c r="C47"/>
      <c r="D47" s="1"/>
      <c r="E47" s="1"/>
      <c r="F47" s="27"/>
      <c r="G47" s="27"/>
      <c r="I47" s="293"/>
      <c r="K47" s="292"/>
      <c r="M47" s="292"/>
      <c r="N47" s="292"/>
      <c r="O47" s="292"/>
      <c r="P47" s="292"/>
      <c r="Q47" s="292"/>
      <c r="U47" s="292"/>
      <c r="V47" s="292"/>
      <c r="W47" s="292"/>
      <c r="X47" s="292"/>
      <c r="Y47" s="292"/>
      <c r="Z47" s="292"/>
      <c r="AA47" s="6"/>
    </row>
    <row r="48" spans="2:27" s="19" customFormat="1">
      <c r="B48" s="1"/>
      <c r="C48"/>
      <c r="D48" s="1"/>
      <c r="E48" s="1"/>
      <c r="F48" s="27"/>
      <c r="G48" s="27"/>
      <c r="I48" s="293"/>
      <c r="K48" s="292"/>
      <c r="M48" s="292"/>
      <c r="N48" s="292"/>
      <c r="O48" s="292"/>
      <c r="P48" s="292"/>
      <c r="Q48" s="292"/>
      <c r="U48" s="292"/>
      <c r="V48" s="292"/>
      <c r="W48" s="292"/>
      <c r="X48" s="292"/>
      <c r="Y48" s="292"/>
      <c r="Z48" s="292"/>
      <c r="AA48" s="6"/>
    </row>
    <row r="49" spans="1:98" s="19" customFormat="1">
      <c r="B49" s="1"/>
      <c r="C49"/>
      <c r="D49" s="1"/>
      <c r="E49" s="1"/>
      <c r="F49" s="27"/>
      <c r="G49" s="27"/>
      <c r="I49" s="293"/>
      <c r="K49" s="292"/>
      <c r="M49" s="292"/>
      <c r="N49" s="292"/>
      <c r="O49" s="292"/>
      <c r="P49" s="292"/>
      <c r="Q49" s="292"/>
      <c r="U49" s="292"/>
      <c r="V49" s="292"/>
      <c r="W49" s="292"/>
      <c r="X49" s="292"/>
      <c r="Y49" s="292"/>
      <c r="Z49" s="292"/>
      <c r="AA49" s="6"/>
    </row>
    <row r="50" spans="1:98" s="19" customFormat="1">
      <c r="B50" s="1"/>
      <c r="C50"/>
      <c r="D50" s="1"/>
      <c r="E50" s="1"/>
      <c r="F50" s="27"/>
      <c r="G50" s="27"/>
      <c r="I50" s="293"/>
      <c r="K50" s="292"/>
      <c r="M50" s="292"/>
      <c r="N50" s="292"/>
      <c r="O50" s="292"/>
      <c r="P50" s="292"/>
      <c r="Q50" s="292"/>
      <c r="U50" s="292"/>
      <c r="V50" s="292"/>
      <c r="W50" s="292"/>
      <c r="X50" s="292"/>
      <c r="Y50" s="292"/>
      <c r="Z50" s="292"/>
      <c r="AA50" s="6"/>
    </row>
    <row r="51" spans="1:98" s="19" customFormat="1">
      <c r="B51" s="1"/>
      <c r="C51"/>
      <c r="D51" s="1"/>
      <c r="E51" s="1"/>
      <c r="F51" s="27"/>
      <c r="G51" s="27"/>
      <c r="I51" s="293"/>
      <c r="K51" s="292"/>
      <c r="M51" s="292"/>
      <c r="N51" s="292"/>
      <c r="O51" s="292"/>
      <c r="P51" s="292"/>
      <c r="Q51" s="292"/>
      <c r="U51" s="292"/>
      <c r="V51" s="292"/>
      <c r="W51" s="292"/>
      <c r="X51" s="292"/>
      <c r="Y51" s="292"/>
      <c r="Z51" s="292"/>
      <c r="AA51" s="6"/>
    </row>
    <row r="52" spans="1:98" s="19" customFormat="1">
      <c r="B52" s="1"/>
      <c r="C52"/>
      <c r="D52" s="1"/>
      <c r="E52" s="1"/>
      <c r="F52" s="27"/>
      <c r="G52" s="27"/>
      <c r="I52" s="293"/>
      <c r="K52" s="292"/>
      <c r="M52" s="292"/>
      <c r="N52" s="292"/>
      <c r="O52" s="292"/>
      <c r="P52" s="292"/>
      <c r="Q52" s="292"/>
      <c r="U52" s="292"/>
      <c r="V52" s="292"/>
      <c r="W52" s="292"/>
      <c r="X52" s="292"/>
      <c r="Y52" s="292"/>
      <c r="Z52" s="292"/>
      <c r="AA52" s="6"/>
    </row>
    <row r="53" spans="1:98" s="19" customFormat="1">
      <c r="B53" s="1"/>
      <c r="C53"/>
      <c r="D53" s="1"/>
      <c r="E53" s="1"/>
      <c r="F53" s="27"/>
      <c r="G53" s="27"/>
      <c r="I53" s="293"/>
      <c r="K53" s="292"/>
      <c r="M53" s="292"/>
      <c r="N53" s="292"/>
      <c r="O53" s="292"/>
      <c r="P53" s="292"/>
      <c r="Q53" s="292"/>
      <c r="U53" s="292"/>
      <c r="V53" s="292"/>
      <c r="W53" s="292"/>
      <c r="X53" s="292"/>
      <c r="Y53" s="292"/>
      <c r="Z53" s="292"/>
      <c r="AA53" s="6"/>
    </row>
    <row r="54" spans="1:98" s="19" customFormat="1">
      <c r="E54" s="293" t="s">
        <v>380</v>
      </c>
      <c r="I54" s="293" t="s">
        <v>381</v>
      </c>
      <c r="K54" s="292"/>
      <c r="M54" s="292"/>
      <c r="N54" s="292"/>
      <c r="O54" s="292"/>
      <c r="P54" s="292"/>
      <c r="Q54" s="292"/>
      <c r="U54" s="292"/>
      <c r="V54" s="292"/>
      <c r="W54" s="292"/>
      <c r="X54" s="292"/>
      <c r="Y54" s="292"/>
      <c r="Z54" s="292"/>
      <c r="AA54" s="6"/>
    </row>
    <row r="55" spans="1:98">
      <c r="B55" s="222" t="s">
        <v>382</v>
      </c>
      <c r="C55" s="223"/>
      <c r="D55" s="223"/>
      <c r="E55" s="223"/>
      <c r="F55" s="222" t="s">
        <v>383</v>
      </c>
      <c r="G55" s="223"/>
      <c r="H55" s="222" t="s">
        <v>384</v>
      </c>
      <c r="I55" s="223"/>
      <c r="J55" s="223"/>
      <c r="K55" s="224"/>
      <c r="L55" s="223"/>
      <c r="M55" s="224"/>
      <c r="N55" s="224"/>
      <c r="O55" s="225"/>
      <c r="P55" s="226"/>
      <c r="Q55" s="226"/>
      <c r="R55" s="226" t="s">
        <v>385</v>
      </c>
      <c r="S55" s="226" t="s">
        <v>385</v>
      </c>
      <c r="T55" s="280" t="s">
        <v>386</v>
      </c>
      <c r="U55" s="223"/>
      <c r="V55" s="223"/>
      <c r="W55" s="224"/>
      <c r="X55" s="224"/>
      <c r="Y55" s="224"/>
      <c r="Z55" s="225"/>
      <c r="AA55" s="226"/>
      <c r="AB55" s="226"/>
      <c r="AC55" s="226"/>
      <c r="AD55" s="226"/>
      <c r="AE55" s="220" t="s">
        <v>387</v>
      </c>
      <c r="AF55" s="221">
        <v>2.5000000000000001E-2</v>
      </c>
      <c r="AG55" s="275"/>
      <c r="AH55" s="378" t="s">
        <v>388</v>
      </c>
      <c r="AI55" s="275"/>
      <c r="AJ55" s="275"/>
      <c r="AK55" s="280" t="s">
        <v>389</v>
      </c>
      <c r="AL55" s="223"/>
      <c r="AM55" s="223"/>
      <c r="AN55" s="223"/>
      <c r="AO55" s="223"/>
      <c r="AP55" s="223"/>
      <c r="AQ55" s="223"/>
      <c r="AR55" s="223"/>
      <c r="AS55" s="223"/>
      <c r="AT55" s="223"/>
      <c r="AU55" s="223"/>
      <c r="AV55" s="223"/>
      <c r="AW55" s="283"/>
      <c r="AX55" s="223" t="s">
        <v>390</v>
      </c>
      <c r="AY55" s="223"/>
      <c r="AZ55" s="283"/>
      <c r="BA55" s="283"/>
      <c r="BC55" s="284" t="s">
        <v>14</v>
      </c>
      <c r="BD55" s="285"/>
      <c r="BE55" s="285"/>
      <c r="BF55" s="285"/>
      <c r="BG55" s="285"/>
      <c r="BH55" s="285"/>
      <c r="BI55" s="285"/>
      <c r="BJ55" s="285"/>
      <c r="BK55" s="285"/>
      <c r="BL55" s="285"/>
      <c r="BM55" s="285"/>
      <c r="BN55" s="285"/>
      <c r="BO55" s="285"/>
      <c r="BP55" s="285"/>
      <c r="BQ55" s="285"/>
      <c r="BR55" s="284" t="s">
        <v>391</v>
      </c>
      <c r="BS55" s="285"/>
      <c r="BT55" s="285"/>
      <c r="BU55" s="285"/>
      <c r="BV55" s="285"/>
      <c r="BW55" s="285"/>
      <c r="BX55" s="285"/>
      <c r="BY55" s="285"/>
      <c r="BZ55" s="285"/>
      <c r="CA55" s="285"/>
      <c r="CB55" s="285"/>
      <c r="CC55" s="285"/>
      <c r="CD55" s="285"/>
      <c r="CE55" s="285"/>
      <c r="CF55" s="285"/>
      <c r="CG55" s="285"/>
      <c r="CH55" s="285"/>
      <c r="CI55" s="285"/>
      <c r="CJ55" s="285"/>
      <c r="CK55" s="285"/>
      <c r="CL55" s="285"/>
      <c r="CM55" s="285"/>
      <c r="CN55" s="285"/>
      <c r="CO55" s="285"/>
      <c r="CP55" s="286"/>
      <c r="CQ55" s="379" t="s">
        <v>392</v>
      </c>
      <c r="CR55" s="285"/>
      <c r="CS55" s="285"/>
      <c r="CT55" s="285"/>
    </row>
    <row r="56" spans="1:98" s="1" customFormat="1">
      <c r="A56"/>
      <c r="B56" s="75" t="s">
        <v>31</v>
      </c>
      <c r="C56" s="75" t="s">
        <v>369</v>
      </c>
      <c r="D56" s="75" t="s">
        <v>370</v>
      </c>
      <c r="E56" s="75" t="s">
        <v>393</v>
      </c>
      <c r="F56" s="75" t="s">
        <v>394</v>
      </c>
      <c r="G56" s="75" t="s">
        <v>395</v>
      </c>
      <c r="H56" s="75" t="s">
        <v>396</v>
      </c>
      <c r="I56" s="75" t="s">
        <v>397</v>
      </c>
      <c r="J56" s="75" t="s">
        <v>398</v>
      </c>
      <c r="K56" s="28" t="s">
        <v>399</v>
      </c>
      <c r="L56" s="75" t="s">
        <v>400</v>
      </c>
      <c r="M56" s="28" t="s">
        <v>401</v>
      </c>
      <c r="N56" s="28" t="s">
        <v>402</v>
      </c>
      <c r="O56" s="28" t="s">
        <v>403</v>
      </c>
      <c r="P56" s="28" t="s">
        <v>404</v>
      </c>
      <c r="Q56" s="28" t="s">
        <v>405</v>
      </c>
      <c r="R56" s="28" t="s">
        <v>406</v>
      </c>
      <c r="S56" s="28" t="s">
        <v>407</v>
      </c>
      <c r="T56" s="75" t="s">
        <v>408</v>
      </c>
      <c r="U56" s="75" t="s">
        <v>409</v>
      </c>
      <c r="V56" s="75" t="s">
        <v>410</v>
      </c>
      <c r="W56" s="28" t="s">
        <v>411</v>
      </c>
      <c r="X56" s="28" t="s">
        <v>412</v>
      </c>
      <c r="Y56" s="28" t="s">
        <v>413</v>
      </c>
      <c r="Z56" s="28" t="s">
        <v>414</v>
      </c>
      <c r="AA56" s="28" t="s">
        <v>415</v>
      </c>
      <c r="AB56" s="28" t="s">
        <v>416</v>
      </c>
      <c r="AC56" s="28" t="s">
        <v>417</v>
      </c>
      <c r="AD56" s="28" t="s">
        <v>418</v>
      </c>
      <c r="AE56" s="28" t="s">
        <v>419</v>
      </c>
      <c r="AF56" s="28" t="s">
        <v>420</v>
      </c>
      <c r="AG56" s="276" t="s">
        <v>421</v>
      </c>
      <c r="AH56" s="207" t="s">
        <v>422</v>
      </c>
      <c r="AI56" s="276" t="s">
        <v>423</v>
      </c>
      <c r="AJ56" s="276" t="s">
        <v>353</v>
      </c>
      <c r="AK56" s="75" t="s">
        <v>424</v>
      </c>
      <c r="AL56" s="75" t="s">
        <v>409</v>
      </c>
      <c r="AM56" s="75" t="s">
        <v>410</v>
      </c>
      <c r="AN56" s="28" t="s">
        <v>411</v>
      </c>
      <c r="AO56" s="75" t="s">
        <v>408</v>
      </c>
      <c r="AP56" s="28" t="s">
        <v>412</v>
      </c>
      <c r="AQ56" s="28" t="s">
        <v>413</v>
      </c>
      <c r="AR56" s="28" t="s">
        <v>414</v>
      </c>
      <c r="AS56" s="28" t="s">
        <v>415</v>
      </c>
      <c r="AT56" s="28" t="s">
        <v>416</v>
      </c>
      <c r="AU56" s="28" t="s">
        <v>417</v>
      </c>
      <c r="AV56" s="28" t="s">
        <v>425</v>
      </c>
      <c r="AW56" s="276" t="s">
        <v>426</v>
      </c>
      <c r="AX56" s="28" t="s">
        <v>422</v>
      </c>
      <c r="AY56" s="276" t="s">
        <v>423</v>
      </c>
      <c r="AZ56" s="276" t="s">
        <v>426</v>
      </c>
      <c r="BA56" s="276" t="s">
        <v>39</v>
      </c>
      <c r="BB56"/>
      <c r="BC56"/>
      <c r="BD56" s="216" t="s">
        <v>427</v>
      </c>
      <c r="BE56" s="255"/>
      <c r="BF56" s="216" t="s">
        <v>428</v>
      </c>
      <c r="BG56" s="255"/>
      <c r="BH56" s="216" t="s">
        <v>429</v>
      </c>
      <c r="BI56" s="255"/>
      <c r="BJ56" s="216" t="s">
        <v>430</v>
      </c>
      <c r="BK56" s="255"/>
      <c r="BL56"/>
      <c r="BM56"/>
      <c r="BN56" s="216" t="s">
        <v>431</v>
      </c>
      <c r="BO56" s="255"/>
      <c r="BP56" s="216" t="s">
        <v>432</v>
      </c>
      <c r="BQ56" s="255"/>
      <c r="BR56"/>
      <c r="BS56" s="216" t="s">
        <v>433</v>
      </c>
      <c r="BT56" s="255"/>
      <c r="BU56" s="216" t="s">
        <v>428</v>
      </c>
      <c r="BV56" s="255"/>
      <c r="BW56" s="216" t="s">
        <v>434</v>
      </c>
      <c r="BX56" s="255"/>
      <c r="BY56" s="216" t="s">
        <v>430</v>
      </c>
      <c r="BZ56" s="255"/>
      <c r="CA56" s="216" t="s">
        <v>427</v>
      </c>
      <c r="CB56" s="255"/>
      <c r="CC56" s="216" t="s">
        <v>435</v>
      </c>
      <c r="CD56" s="255"/>
      <c r="CE56" s="216" t="s">
        <v>436</v>
      </c>
      <c r="CF56" s="255"/>
      <c r="CG56" s="216" t="s">
        <v>437</v>
      </c>
      <c r="CH56" s="255"/>
      <c r="CI56" s="216" t="s">
        <v>438</v>
      </c>
      <c r="CJ56" s="255"/>
      <c r="CK56" s="216" t="s">
        <v>439</v>
      </c>
      <c r="CL56" s="255"/>
      <c r="CM56" s="216" t="s">
        <v>440</v>
      </c>
      <c r="CN56" s="255"/>
      <c r="CO56" s="216" t="s">
        <v>441</v>
      </c>
      <c r="CP56" s="255"/>
      <c r="CQ56" s="216" t="s">
        <v>431</v>
      </c>
      <c r="CR56" s="255"/>
      <c r="CS56" s="289" t="s">
        <v>442</v>
      </c>
      <c r="CT56" s="255"/>
    </row>
    <row r="57" spans="1:98">
      <c r="B57" s="227">
        <v>1</v>
      </c>
      <c r="C57" s="228"/>
      <c r="D57" s="229"/>
      <c r="E57" s="229"/>
      <c r="F57" s="230"/>
      <c r="G57" s="231">
        <f t="shared" ref="G57:G81" si="13">F57*D57</f>
        <v>0</v>
      </c>
      <c r="H57" s="230"/>
      <c r="I57" s="229"/>
      <c r="J57" s="229"/>
      <c r="K57" s="232"/>
      <c r="L57" s="229"/>
      <c r="M57" s="232"/>
      <c r="N57" s="232"/>
      <c r="O57" s="233"/>
      <c r="P57" s="233"/>
      <c r="Q57" s="234"/>
      <c r="R57" s="233"/>
      <c r="S57" s="233"/>
      <c r="T57" s="235">
        <f t="shared" ref="T57:T81" si="14">IF($L57="x",IF($D57="",0,INDEX($BE$58:$BE$63,MATCH($D57,$BD$58:$BD$63,1))),0)</f>
        <v>0</v>
      </c>
      <c r="U57" s="235">
        <f t="shared" ref="U57:U81" si="15">IF($I57="x",IF($D57="",0,INDEX($BG$58:$BG$63,MATCH($D57,$BF$58:$BF$63,1))),0)</f>
        <v>0</v>
      </c>
      <c r="V57" s="235">
        <f t="shared" ref="V57:V81" si="16">IF($J57="x",IF($D57="",0,INDEX($BI$58:$BI$63,MATCH($D57,$BH$58:$BH$63,1))),0)</f>
        <v>0</v>
      </c>
      <c r="W57" s="235">
        <f t="shared" ref="W57:W81" si="17">IF($K57="x",IF($D57="",0,INDEX($BK$58:$BK$63,MATCH($D57,$BJ$58:$BJ$63,1))),0)</f>
        <v>0</v>
      </c>
      <c r="X57" s="235">
        <f t="shared" ref="X57:X81" si="18">IF($D57="",0,IF(M57="x",$BM$60,0))</f>
        <v>0</v>
      </c>
      <c r="Y57" s="235">
        <f t="shared" ref="Y57:Y81" si="19">IF($D57="",0,IF(N57="x",$BM$62,0))</f>
        <v>0</v>
      </c>
      <c r="Z57" s="235">
        <f t="shared" ref="Z57:Z81" si="20">IF($O57="x",IF($D57="",0,$BL$58),0)</f>
        <v>0</v>
      </c>
      <c r="AA57" s="235">
        <f t="shared" ref="AA57:AA81" si="21">IF($P57="x",IF($D57="",0,IF($D57&gt;4,$BL$60,0)),0)</f>
        <v>0</v>
      </c>
      <c r="AB57" s="235">
        <f t="shared" ref="AB57:AB81" si="22">IF($D57="",0,$Q57*$BL$62)</f>
        <v>0</v>
      </c>
      <c r="AC57" s="235">
        <f t="shared" ref="AC57:AC81" si="23">IF($D57="",0,(Q57+IF(OR(O57="x",44="xx"),1,0))*$BM$58)</f>
        <v>0</v>
      </c>
      <c r="AD57" s="235">
        <f t="shared" ref="AD57:AD81" si="24">G57+H57</f>
        <v>0</v>
      </c>
      <c r="AE57" s="235">
        <f>SUM(T57:AC57)</f>
        <v>0</v>
      </c>
      <c r="AF57" s="235">
        <f>IF($E57="xx",(1600*$D57+$AE57),SUM(AD57:AE57))*$AF$55</f>
        <v>0</v>
      </c>
      <c r="AG57" s="277">
        <f>SUM(AD57:AF57)</f>
        <v>0</v>
      </c>
      <c r="AH57" s="375">
        <f t="shared" ref="AH57:AH81" si="25">IF($R57="x",IF($D57="",0,INDEX($BO$58:$BO$63,MATCH($D57,$BN$58:$BN$63,1))),0)</f>
        <v>0</v>
      </c>
      <c r="AI57" s="372">
        <f t="shared" ref="AI57:AI81" si="26">IF($S57="x",IF($D57="",0,INDEX($BQ$58:$BQ$63,MATCH($D57,$BP$58:$BP$63,1))),0)</f>
        <v>0</v>
      </c>
      <c r="AJ57" s="372">
        <f>SUM(AH57:AI57)</f>
        <v>0</v>
      </c>
      <c r="AK57" s="235">
        <f t="shared" ref="AK57:AK81" si="27">IF($D57="",0,INDEX($BT$58:$BT$63,MATCH($D57,$BS$58:$BS$63))*$BR$58)</f>
        <v>0</v>
      </c>
      <c r="AL57" s="235">
        <f t="shared" ref="AL57:AL81" si="28">IF($D57="",0,IF(OR($I57="x",$I57="xx"),INDEX($BV$58:$BV$63,MATCH($D57,$BU$58:$BU$63))*$BR$58,0))</f>
        <v>0</v>
      </c>
      <c r="AM57" s="235">
        <f t="shared" ref="AM57:AM81" si="29">IF($D57="",0,IF(OR($J57="x",$J57="xx"),INDEX($BX$58:$BX$63,MATCH($D57,$BW$58:$BW$63))*$BR$58,0))</f>
        <v>0</v>
      </c>
      <c r="AN57" s="235">
        <f t="shared" ref="AN57:AN81" si="30">IF($D57="",0,IF(OR($K57="x",$K57="xx"),INDEX($BZ$58:$BZ$63,MATCH($D57,$BY$58:$BY$63))*$BR$58,0))</f>
        <v>0</v>
      </c>
      <c r="AO57" s="235">
        <f t="shared" ref="AO57:AO81" si="31">IF($D57="",0,IF(OR($L57="x",$L57="xx"),INDEX($CB$58:$CB$63,MATCH($D57,$CA$58:$CA$63))*$BR$58,0))</f>
        <v>0</v>
      </c>
      <c r="AP57" s="235">
        <f t="shared" ref="AP57:AP81" si="32">IF($D57="",0,IF(OR($M57="x",$M57="xx"),INDEX($CD$58:$CD$63,MATCH($D57,$CC$58:$CC$63))*$BR$58,0))</f>
        <v>0</v>
      </c>
      <c r="AQ57" s="235">
        <f t="shared" ref="AQ57:AQ81" si="33">IF($D57="",0,IF(OR($N57="x",$N57="xx"),INDEX($CF$58:$CF$63,MATCH($D57,$CE$58:$CE$63))*$BR$58,0))</f>
        <v>0</v>
      </c>
      <c r="AR57" s="235">
        <f t="shared" ref="AR57:AR81" si="34">IF($D57="",0,IF(OR($O57="x",$O57="xx"),INDEX($CH$58:$CH$63,MATCH($D57,$CG$58:$CG$63))*$BR$58,0))</f>
        <v>0</v>
      </c>
      <c r="AS57" s="235">
        <f t="shared" ref="AS57:AS81" si="35">IF($D57="",0,IF(OR($P57="x",$P57="xx"),IF($D57&gt;4,INDEX($CJ$58:$CJ$63,MATCH($D57,$CI$58:$CI$63))*$BR$58,0),0))</f>
        <v>0</v>
      </c>
      <c r="AT57" s="235">
        <f t="shared" ref="AT57:AT81" si="36">IF($D57="",0,($Q57*INDEX($CL$58:$CL$63,MATCH($D57,$CK$58:$CK$63))*$BR$58))</f>
        <v>0</v>
      </c>
      <c r="AU57" s="235">
        <f t="shared" ref="AU57:AU81" si="37">IF($D57="",0,(($Q57+IF(OR($O57="x",$O57="xx"),1,0))*INDEX($CN$58:$CN$63,MATCH($D57,$CM$58:$CM$63))*$BR$58))</f>
        <v>0</v>
      </c>
      <c r="AV57" s="235">
        <f t="shared" ref="AV57:AV81" si="38">IF($D57="",0,INDEX($CP$58:$CP$63,MATCH($D57,$CO$58:$CO$63))*$BR$58)</f>
        <v>0</v>
      </c>
      <c r="AW57" s="277">
        <f t="shared" ref="AW57:AW81" si="39">SUM(AK57:AV57)</f>
        <v>0</v>
      </c>
      <c r="AX57" s="235">
        <f>IF($D57="",0,((IF(OR($R57="x",$R57="xx"),1,0))*INDEX($CR$58:$CR$63,MATCH($D57,$CQ$58:$CQ$63))*$BR$58))</f>
        <v>0</v>
      </c>
      <c r="AY57" s="277">
        <f>IF($D57="",0,((IF(OR($S57="x",$S57="xx"),1,0))*INDEX($CT$58:$CT$63,MATCH($D57,$CS$58:$CS$63))*$BR$58))</f>
        <v>0</v>
      </c>
      <c r="AZ57" s="372">
        <f>SUM(AX57:AY57)</f>
        <v>0</v>
      </c>
      <c r="BA57" s="259"/>
      <c r="BC57" s="150" t="s">
        <v>443</v>
      </c>
      <c r="BD57" s="78" t="s">
        <v>379</v>
      </c>
      <c r="BE57" s="162" t="s">
        <v>312</v>
      </c>
      <c r="BF57" s="78" t="s">
        <v>379</v>
      </c>
      <c r="BG57" s="162" t="s">
        <v>312</v>
      </c>
      <c r="BH57" s="78" t="s">
        <v>379</v>
      </c>
      <c r="BI57" s="162" t="s">
        <v>312</v>
      </c>
      <c r="BJ57" s="78" t="s">
        <v>379</v>
      </c>
      <c r="BK57" s="162" t="s">
        <v>312</v>
      </c>
      <c r="BL57" s="35" t="s">
        <v>444</v>
      </c>
      <c r="BM57" s="35" t="s">
        <v>445</v>
      </c>
      <c r="BN57" s="78" t="s">
        <v>379</v>
      </c>
      <c r="BO57" s="162" t="s">
        <v>312</v>
      </c>
      <c r="BP57" s="78" t="s">
        <v>379</v>
      </c>
      <c r="BQ57" s="162" t="s">
        <v>312</v>
      </c>
      <c r="BR57" s="78" t="s">
        <v>446</v>
      </c>
      <c r="BS57" s="78" t="s">
        <v>379</v>
      </c>
      <c r="BT57" s="162" t="s">
        <v>447</v>
      </c>
      <c r="BU57" s="78" t="s">
        <v>379</v>
      </c>
      <c r="BV57" s="162" t="s">
        <v>447</v>
      </c>
      <c r="BW57" s="78" t="s">
        <v>379</v>
      </c>
      <c r="BX57" s="162" t="s">
        <v>447</v>
      </c>
      <c r="BY57" s="78" t="s">
        <v>379</v>
      </c>
      <c r="BZ57" s="162" t="s">
        <v>447</v>
      </c>
      <c r="CA57" s="78" t="s">
        <v>379</v>
      </c>
      <c r="CB57" s="162" t="s">
        <v>447</v>
      </c>
      <c r="CC57" s="78" t="s">
        <v>379</v>
      </c>
      <c r="CD57" s="162" t="s">
        <v>447</v>
      </c>
      <c r="CE57" s="78" t="s">
        <v>379</v>
      </c>
      <c r="CF57" s="162" t="s">
        <v>447</v>
      </c>
      <c r="CG57" s="78" t="s">
        <v>379</v>
      </c>
      <c r="CH57" s="162" t="s">
        <v>447</v>
      </c>
      <c r="CI57" s="78" t="s">
        <v>379</v>
      </c>
      <c r="CJ57" s="162" t="s">
        <v>447</v>
      </c>
      <c r="CK57" s="78" t="s">
        <v>379</v>
      </c>
      <c r="CL57" s="162" t="s">
        <v>447</v>
      </c>
      <c r="CM57" s="78" t="s">
        <v>379</v>
      </c>
      <c r="CN57" s="162" t="s">
        <v>447</v>
      </c>
      <c r="CO57" s="78" t="s">
        <v>379</v>
      </c>
      <c r="CP57" s="162" t="s">
        <v>447</v>
      </c>
      <c r="CQ57" s="78" t="s">
        <v>379</v>
      </c>
      <c r="CR57" s="162" t="s">
        <v>447</v>
      </c>
      <c r="CS57" s="78" t="s">
        <v>379</v>
      </c>
      <c r="CT57" s="162" t="s">
        <v>312</v>
      </c>
    </row>
    <row r="58" spans="1:98">
      <c r="B58" s="236">
        <f>B57+1</f>
        <v>2</v>
      </c>
      <c r="C58" s="237"/>
      <c r="D58" s="238"/>
      <c r="E58" s="238"/>
      <c r="F58" s="239"/>
      <c r="G58" s="240">
        <f t="shared" si="13"/>
        <v>0</v>
      </c>
      <c r="H58" s="239"/>
      <c r="I58" s="238"/>
      <c r="J58" s="238"/>
      <c r="K58" s="241"/>
      <c r="L58" s="238"/>
      <c r="M58" s="241"/>
      <c r="N58" s="241"/>
      <c r="O58" s="242"/>
      <c r="P58" s="242"/>
      <c r="Q58" s="243"/>
      <c r="R58" s="242"/>
      <c r="S58" s="242"/>
      <c r="T58" s="244">
        <f t="shared" si="14"/>
        <v>0</v>
      </c>
      <c r="U58" s="244">
        <f t="shared" si="15"/>
        <v>0</v>
      </c>
      <c r="V58" s="244">
        <f t="shared" si="16"/>
        <v>0</v>
      </c>
      <c r="W58" s="244">
        <f t="shared" si="17"/>
        <v>0</v>
      </c>
      <c r="X58" s="244">
        <f t="shared" si="18"/>
        <v>0</v>
      </c>
      <c r="Y58" s="244">
        <f t="shared" si="19"/>
        <v>0</v>
      </c>
      <c r="Z58" s="244">
        <f t="shared" si="20"/>
        <v>0</v>
      </c>
      <c r="AA58" s="244">
        <f t="shared" si="21"/>
        <v>0</v>
      </c>
      <c r="AB58" s="244">
        <f t="shared" si="22"/>
        <v>0</v>
      </c>
      <c r="AC58" s="244">
        <f t="shared" si="23"/>
        <v>0</v>
      </c>
      <c r="AD58" s="244">
        <f t="shared" si="24"/>
        <v>0</v>
      </c>
      <c r="AE58" s="244">
        <f t="shared" ref="AE58:AE81" si="40">SUM(T58:AC58)</f>
        <v>0</v>
      </c>
      <c r="AF58" s="244">
        <f t="shared" ref="AF58:AF81" si="41">IF($E58="xx",(1600*$D58+$AE58),SUM(AD58:AE58))*$AF$55</f>
        <v>0</v>
      </c>
      <c r="AG58" s="278">
        <f t="shared" ref="AG58:AG81" si="42">SUM(AD58:AF58)</f>
        <v>0</v>
      </c>
      <c r="AH58" s="376">
        <f t="shared" si="25"/>
        <v>0</v>
      </c>
      <c r="AI58" s="373">
        <f t="shared" si="26"/>
        <v>0</v>
      </c>
      <c r="AJ58" s="373">
        <f t="shared" ref="AJ58:AJ81" si="43">SUM(AH58:AI58)</f>
        <v>0</v>
      </c>
      <c r="AK58" s="244">
        <f t="shared" si="27"/>
        <v>0</v>
      </c>
      <c r="AL58" s="244">
        <f t="shared" si="28"/>
        <v>0</v>
      </c>
      <c r="AM58" s="244">
        <f t="shared" si="29"/>
        <v>0</v>
      </c>
      <c r="AN58" s="244">
        <f t="shared" si="30"/>
        <v>0</v>
      </c>
      <c r="AO58" s="244">
        <f t="shared" si="31"/>
        <v>0</v>
      </c>
      <c r="AP58" s="244">
        <f t="shared" si="32"/>
        <v>0</v>
      </c>
      <c r="AQ58" s="244">
        <f t="shared" si="33"/>
        <v>0</v>
      </c>
      <c r="AR58" s="244">
        <f t="shared" si="34"/>
        <v>0</v>
      </c>
      <c r="AS58" s="244">
        <f t="shared" si="35"/>
        <v>0</v>
      </c>
      <c r="AT58" s="244">
        <f t="shared" si="36"/>
        <v>0</v>
      </c>
      <c r="AU58" s="244">
        <f t="shared" si="37"/>
        <v>0</v>
      </c>
      <c r="AV58" s="244">
        <f t="shared" si="38"/>
        <v>0</v>
      </c>
      <c r="AW58" s="278">
        <f t="shared" si="39"/>
        <v>0</v>
      </c>
      <c r="AX58" s="244">
        <f t="shared" ref="AX58:AX81" si="44">IF($D58="",0,((IF(OR($R58="x",$R58="xx"),1,0))*INDEX($CR$58:$CR$63,MATCH($D58,$CQ$58:$CQ$63))*$BR$58))</f>
        <v>0</v>
      </c>
      <c r="AY58" s="278">
        <f t="shared" ref="AY58:AY81" si="45">IF($D58="",0,((IF(OR($S58="x",$S58="xx"),1,0))*INDEX($CT$58:$CT$63,MATCH($D58,$CS$58:$CS$63))*$BR$58))</f>
        <v>0</v>
      </c>
      <c r="AZ58" s="373">
        <f t="shared" ref="AZ58:AZ81" si="46">SUM(AX58:AY58)</f>
        <v>0</v>
      </c>
      <c r="BA58" s="264"/>
      <c r="BC58" s="214" t="s">
        <v>448</v>
      </c>
      <c r="BD58" s="215">
        <v>0</v>
      </c>
      <c r="BE58" s="217">
        <v>1200</v>
      </c>
      <c r="BF58" s="215">
        <v>0</v>
      </c>
      <c r="BG58" s="217">
        <v>450</v>
      </c>
      <c r="BH58" s="215">
        <v>0</v>
      </c>
      <c r="BI58" s="217">
        <v>3500</v>
      </c>
      <c r="BJ58" s="215">
        <v>0</v>
      </c>
      <c r="BK58" s="217">
        <v>1300</v>
      </c>
      <c r="BL58" s="219">
        <v>160</v>
      </c>
      <c r="BM58" s="219">
        <f>90/2</f>
        <v>45</v>
      </c>
      <c r="BN58" s="215">
        <v>0</v>
      </c>
      <c r="BO58" s="217">
        <v>400</v>
      </c>
      <c r="BP58" s="215">
        <v>0</v>
      </c>
      <c r="BQ58" s="217">
        <v>2400</v>
      </c>
      <c r="BR58" s="35">
        <v>25</v>
      </c>
      <c r="BS58" s="215">
        <v>0</v>
      </c>
      <c r="BT58" s="281">
        <v>4</v>
      </c>
      <c r="BU58" s="215">
        <v>0</v>
      </c>
      <c r="BV58" s="281">
        <v>8</v>
      </c>
      <c r="BW58" s="215">
        <v>0</v>
      </c>
      <c r="BX58" s="281">
        <v>11</v>
      </c>
      <c r="BY58" s="215">
        <v>0</v>
      </c>
      <c r="BZ58" s="281">
        <v>3</v>
      </c>
      <c r="CA58" s="215">
        <v>0</v>
      </c>
      <c r="CB58" s="281">
        <v>5</v>
      </c>
      <c r="CC58" s="215">
        <v>0</v>
      </c>
      <c r="CD58" s="281">
        <v>4</v>
      </c>
      <c r="CE58" s="215">
        <v>0</v>
      </c>
      <c r="CF58" s="281">
        <v>12</v>
      </c>
      <c r="CG58" s="215">
        <v>0</v>
      </c>
      <c r="CH58" s="281">
        <v>1</v>
      </c>
      <c r="CI58" s="215">
        <v>0</v>
      </c>
      <c r="CJ58" s="281">
        <v>2</v>
      </c>
      <c r="CK58" s="215">
        <v>0</v>
      </c>
      <c r="CL58" s="281">
        <v>2</v>
      </c>
      <c r="CM58" s="215">
        <v>0</v>
      </c>
      <c r="CN58" s="281">
        <v>3</v>
      </c>
      <c r="CO58" s="215">
        <v>0</v>
      </c>
      <c r="CP58" s="281">
        <v>4</v>
      </c>
      <c r="CQ58" s="215">
        <v>0</v>
      </c>
      <c r="CR58" s="281">
        <v>16</v>
      </c>
      <c r="CS58" s="215">
        <v>0</v>
      </c>
      <c r="CT58" s="281">
        <v>16</v>
      </c>
    </row>
    <row r="59" spans="1:98">
      <c r="B59" s="236">
        <f t="shared" ref="B59:B81" si="47">B58+1</f>
        <v>3</v>
      </c>
      <c r="C59" s="237"/>
      <c r="D59" s="238"/>
      <c r="E59" s="238"/>
      <c r="F59" s="239"/>
      <c r="G59" s="240">
        <f t="shared" si="13"/>
        <v>0</v>
      </c>
      <c r="H59" s="239"/>
      <c r="I59" s="238"/>
      <c r="J59" s="238"/>
      <c r="K59" s="241"/>
      <c r="L59" s="238"/>
      <c r="M59" s="241"/>
      <c r="N59" s="241"/>
      <c r="O59" s="242"/>
      <c r="P59" s="242"/>
      <c r="Q59" s="243"/>
      <c r="R59" s="242"/>
      <c r="S59" s="242"/>
      <c r="T59" s="244">
        <f t="shared" si="14"/>
        <v>0</v>
      </c>
      <c r="U59" s="244">
        <f t="shared" si="15"/>
        <v>0</v>
      </c>
      <c r="V59" s="244">
        <f t="shared" si="16"/>
        <v>0</v>
      </c>
      <c r="W59" s="244">
        <f t="shared" si="17"/>
        <v>0</v>
      </c>
      <c r="X59" s="244">
        <f t="shared" si="18"/>
        <v>0</v>
      </c>
      <c r="Y59" s="244">
        <f t="shared" si="19"/>
        <v>0</v>
      </c>
      <c r="Z59" s="244">
        <f t="shared" si="20"/>
        <v>0</v>
      </c>
      <c r="AA59" s="244">
        <f t="shared" si="21"/>
        <v>0</v>
      </c>
      <c r="AB59" s="244">
        <f t="shared" si="22"/>
        <v>0</v>
      </c>
      <c r="AC59" s="244">
        <f t="shared" si="23"/>
        <v>0</v>
      </c>
      <c r="AD59" s="244">
        <f t="shared" si="24"/>
        <v>0</v>
      </c>
      <c r="AE59" s="244">
        <f t="shared" si="40"/>
        <v>0</v>
      </c>
      <c r="AF59" s="244">
        <f t="shared" si="41"/>
        <v>0</v>
      </c>
      <c r="AG59" s="278">
        <f t="shared" si="42"/>
        <v>0</v>
      </c>
      <c r="AH59" s="376">
        <f t="shared" si="25"/>
        <v>0</v>
      </c>
      <c r="AI59" s="373">
        <f t="shared" si="26"/>
        <v>0</v>
      </c>
      <c r="AJ59" s="373">
        <f t="shared" si="43"/>
        <v>0</v>
      </c>
      <c r="AK59" s="244">
        <f t="shared" si="27"/>
        <v>0</v>
      </c>
      <c r="AL59" s="244">
        <f t="shared" si="28"/>
        <v>0</v>
      </c>
      <c r="AM59" s="244">
        <f t="shared" si="29"/>
        <v>0</v>
      </c>
      <c r="AN59" s="244">
        <f t="shared" si="30"/>
        <v>0</v>
      </c>
      <c r="AO59" s="244">
        <f t="shared" si="31"/>
        <v>0</v>
      </c>
      <c r="AP59" s="244">
        <f t="shared" si="32"/>
        <v>0</v>
      </c>
      <c r="AQ59" s="244">
        <f t="shared" si="33"/>
        <v>0</v>
      </c>
      <c r="AR59" s="244">
        <f t="shared" si="34"/>
        <v>0</v>
      </c>
      <c r="AS59" s="244">
        <f t="shared" si="35"/>
        <v>0</v>
      </c>
      <c r="AT59" s="244">
        <f t="shared" si="36"/>
        <v>0</v>
      </c>
      <c r="AU59" s="244">
        <f t="shared" si="37"/>
        <v>0</v>
      </c>
      <c r="AV59" s="244">
        <f t="shared" si="38"/>
        <v>0</v>
      </c>
      <c r="AW59" s="278">
        <f t="shared" si="39"/>
        <v>0</v>
      </c>
      <c r="AX59" s="244">
        <f t="shared" si="44"/>
        <v>0</v>
      </c>
      <c r="AY59" s="278">
        <f t="shared" si="45"/>
        <v>0</v>
      </c>
      <c r="AZ59" s="373">
        <f t="shared" si="46"/>
        <v>0</v>
      </c>
      <c r="BA59" s="264"/>
      <c r="BC59" s="214" t="s">
        <v>449</v>
      </c>
      <c r="BD59" s="214">
        <v>5</v>
      </c>
      <c r="BE59" s="217">
        <v>1300</v>
      </c>
      <c r="BF59" s="214">
        <v>5</v>
      </c>
      <c r="BG59" s="217">
        <v>500</v>
      </c>
      <c r="BH59" s="214">
        <v>5</v>
      </c>
      <c r="BI59" s="217">
        <v>4000</v>
      </c>
      <c r="BJ59" s="214">
        <v>5</v>
      </c>
      <c r="BK59" s="217">
        <v>1600</v>
      </c>
      <c r="BL59" s="35" t="s">
        <v>450</v>
      </c>
      <c r="BM59" s="35" t="s">
        <v>435</v>
      </c>
      <c r="BN59" s="214">
        <v>5</v>
      </c>
      <c r="BO59" s="217">
        <v>450</v>
      </c>
      <c r="BP59" s="214">
        <v>5</v>
      </c>
      <c r="BQ59" s="217">
        <v>2400</v>
      </c>
      <c r="BS59" s="214">
        <v>5</v>
      </c>
      <c r="BT59" s="281">
        <v>5</v>
      </c>
      <c r="BU59" s="214">
        <v>5</v>
      </c>
      <c r="BV59" s="281">
        <v>8</v>
      </c>
      <c r="BW59" s="214">
        <v>5</v>
      </c>
      <c r="BX59" s="281">
        <v>11</v>
      </c>
      <c r="BY59" s="214">
        <v>5</v>
      </c>
      <c r="BZ59" s="281">
        <v>3</v>
      </c>
      <c r="CA59" s="214">
        <v>5</v>
      </c>
      <c r="CB59" s="281">
        <v>5</v>
      </c>
      <c r="CC59" s="214">
        <v>5</v>
      </c>
      <c r="CD59" s="281">
        <v>4</v>
      </c>
      <c r="CE59" s="214">
        <v>5</v>
      </c>
      <c r="CF59" s="281">
        <v>12</v>
      </c>
      <c r="CG59" s="214">
        <v>5</v>
      </c>
      <c r="CH59" s="281">
        <v>1</v>
      </c>
      <c r="CI59" s="214">
        <v>5</v>
      </c>
      <c r="CJ59" s="281">
        <v>2</v>
      </c>
      <c r="CK59" s="214">
        <v>5</v>
      </c>
      <c r="CL59" s="281">
        <v>2</v>
      </c>
      <c r="CM59" s="214">
        <v>5</v>
      </c>
      <c r="CN59" s="281">
        <v>3</v>
      </c>
      <c r="CO59" s="214">
        <v>5</v>
      </c>
      <c r="CP59" s="281">
        <v>4</v>
      </c>
      <c r="CQ59" s="214">
        <v>5</v>
      </c>
      <c r="CR59" s="281">
        <v>16</v>
      </c>
      <c r="CS59" s="214">
        <v>5</v>
      </c>
      <c r="CT59" s="281">
        <v>16</v>
      </c>
    </row>
    <row r="60" spans="1:98">
      <c r="B60" s="236">
        <f t="shared" si="47"/>
        <v>4</v>
      </c>
      <c r="C60" s="237"/>
      <c r="D60" s="238"/>
      <c r="E60" s="238"/>
      <c r="F60" s="239"/>
      <c r="G60" s="240">
        <f t="shared" si="13"/>
        <v>0</v>
      </c>
      <c r="H60" s="239"/>
      <c r="I60" s="238"/>
      <c r="J60" s="238"/>
      <c r="K60" s="241"/>
      <c r="L60" s="238"/>
      <c r="M60" s="241"/>
      <c r="N60" s="241"/>
      <c r="O60" s="242"/>
      <c r="P60" s="242"/>
      <c r="Q60" s="243"/>
      <c r="R60" s="242"/>
      <c r="S60" s="242"/>
      <c r="T60" s="244">
        <f t="shared" si="14"/>
        <v>0</v>
      </c>
      <c r="U60" s="244">
        <f t="shared" si="15"/>
        <v>0</v>
      </c>
      <c r="V60" s="244">
        <f t="shared" si="16"/>
        <v>0</v>
      </c>
      <c r="W60" s="244">
        <f t="shared" si="17"/>
        <v>0</v>
      </c>
      <c r="X60" s="244">
        <f t="shared" si="18"/>
        <v>0</v>
      </c>
      <c r="Y60" s="244">
        <f t="shared" si="19"/>
        <v>0</v>
      </c>
      <c r="Z60" s="244">
        <f t="shared" si="20"/>
        <v>0</v>
      </c>
      <c r="AA60" s="244">
        <f t="shared" si="21"/>
        <v>0</v>
      </c>
      <c r="AB60" s="244">
        <f t="shared" si="22"/>
        <v>0</v>
      </c>
      <c r="AC60" s="244">
        <f t="shared" si="23"/>
        <v>0</v>
      </c>
      <c r="AD60" s="244">
        <f t="shared" si="24"/>
        <v>0</v>
      </c>
      <c r="AE60" s="244">
        <f t="shared" si="40"/>
        <v>0</v>
      </c>
      <c r="AF60" s="244">
        <f t="shared" si="41"/>
        <v>0</v>
      </c>
      <c r="AG60" s="278">
        <f t="shared" si="42"/>
        <v>0</v>
      </c>
      <c r="AH60" s="376">
        <f t="shared" si="25"/>
        <v>0</v>
      </c>
      <c r="AI60" s="373">
        <f t="shared" si="26"/>
        <v>0</v>
      </c>
      <c r="AJ60" s="373">
        <f t="shared" si="43"/>
        <v>0</v>
      </c>
      <c r="AK60" s="244">
        <f t="shared" si="27"/>
        <v>0</v>
      </c>
      <c r="AL60" s="244">
        <f t="shared" si="28"/>
        <v>0</v>
      </c>
      <c r="AM60" s="244">
        <f t="shared" si="29"/>
        <v>0</v>
      </c>
      <c r="AN60" s="244">
        <f t="shared" si="30"/>
        <v>0</v>
      </c>
      <c r="AO60" s="244">
        <f t="shared" si="31"/>
        <v>0</v>
      </c>
      <c r="AP60" s="244">
        <f t="shared" si="32"/>
        <v>0</v>
      </c>
      <c r="AQ60" s="244">
        <f t="shared" si="33"/>
        <v>0</v>
      </c>
      <c r="AR60" s="244">
        <f t="shared" si="34"/>
        <v>0</v>
      </c>
      <c r="AS60" s="244">
        <f t="shared" si="35"/>
        <v>0</v>
      </c>
      <c r="AT60" s="244">
        <f t="shared" si="36"/>
        <v>0</v>
      </c>
      <c r="AU60" s="244">
        <f t="shared" si="37"/>
        <v>0</v>
      </c>
      <c r="AV60" s="244">
        <f t="shared" si="38"/>
        <v>0</v>
      </c>
      <c r="AW60" s="278">
        <f t="shared" si="39"/>
        <v>0</v>
      </c>
      <c r="AX60" s="244">
        <f t="shared" si="44"/>
        <v>0</v>
      </c>
      <c r="AY60" s="278">
        <f t="shared" si="45"/>
        <v>0</v>
      </c>
      <c r="AZ60" s="373">
        <f t="shared" si="46"/>
        <v>0</v>
      </c>
      <c r="BA60" s="264"/>
      <c r="BC60" s="123"/>
      <c r="BD60" s="214">
        <v>10</v>
      </c>
      <c r="BE60" s="217">
        <v>1800</v>
      </c>
      <c r="BF60" s="214">
        <v>10</v>
      </c>
      <c r="BG60" s="217">
        <v>600</v>
      </c>
      <c r="BH60" s="214">
        <v>10</v>
      </c>
      <c r="BI60" s="217">
        <v>4800</v>
      </c>
      <c r="BJ60" s="214">
        <v>10</v>
      </c>
      <c r="BK60" s="217">
        <v>1900</v>
      </c>
      <c r="BL60" s="219">
        <v>170</v>
      </c>
      <c r="BM60" s="219">
        <f>30+6+50</f>
        <v>86</v>
      </c>
      <c r="BN60" s="214">
        <v>10</v>
      </c>
      <c r="BO60" s="217">
        <v>500</v>
      </c>
      <c r="BP60" s="214">
        <v>10</v>
      </c>
      <c r="BQ60" s="217">
        <v>2600</v>
      </c>
      <c r="BS60" s="214">
        <v>10</v>
      </c>
      <c r="BT60" s="281">
        <v>6</v>
      </c>
      <c r="BU60" s="214">
        <v>10</v>
      </c>
      <c r="BV60" s="281">
        <v>9</v>
      </c>
      <c r="BW60" s="214">
        <v>10</v>
      </c>
      <c r="BX60" s="281">
        <v>12</v>
      </c>
      <c r="BY60" s="214">
        <v>10</v>
      </c>
      <c r="BZ60" s="281">
        <v>3</v>
      </c>
      <c r="CA60" s="214">
        <v>10</v>
      </c>
      <c r="CB60" s="281">
        <v>5</v>
      </c>
      <c r="CC60" s="214">
        <v>10</v>
      </c>
      <c r="CD60" s="281">
        <v>4</v>
      </c>
      <c r="CE60" s="214">
        <v>10</v>
      </c>
      <c r="CF60" s="281">
        <v>12</v>
      </c>
      <c r="CG60" s="214">
        <v>10</v>
      </c>
      <c r="CH60" s="281">
        <v>1</v>
      </c>
      <c r="CI60" s="214">
        <v>10</v>
      </c>
      <c r="CJ60" s="281">
        <v>2</v>
      </c>
      <c r="CK60" s="214">
        <v>10</v>
      </c>
      <c r="CL60" s="281">
        <v>2</v>
      </c>
      <c r="CM60" s="214">
        <v>10</v>
      </c>
      <c r="CN60" s="281">
        <v>3</v>
      </c>
      <c r="CO60" s="214">
        <v>10</v>
      </c>
      <c r="CP60" s="281">
        <v>4</v>
      </c>
      <c r="CQ60" s="214">
        <v>10</v>
      </c>
      <c r="CR60" s="281">
        <v>24</v>
      </c>
      <c r="CS60" s="214">
        <v>10</v>
      </c>
      <c r="CT60" s="281">
        <v>20</v>
      </c>
    </row>
    <row r="61" spans="1:98">
      <c r="B61" s="236">
        <f t="shared" si="47"/>
        <v>5</v>
      </c>
      <c r="C61" s="237"/>
      <c r="D61" s="238"/>
      <c r="E61" s="238"/>
      <c r="F61" s="239"/>
      <c r="G61" s="240">
        <f t="shared" si="13"/>
        <v>0</v>
      </c>
      <c r="H61" s="239"/>
      <c r="I61" s="238"/>
      <c r="J61" s="238"/>
      <c r="K61" s="241"/>
      <c r="L61" s="238"/>
      <c r="M61" s="241"/>
      <c r="N61" s="241"/>
      <c r="O61" s="242"/>
      <c r="P61" s="242"/>
      <c r="Q61" s="243"/>
      <c r="R61" s="242"/>
      <c r="S61" s="242"/>
      <c r="T61" s="244">
        <f t="shared" si="14"/>
        <v>0</v>
      </c>
      <c r="U61" s="244">
        <f t="shared" si="15"/>
        <v>0</v>
      </c>
      <c r="V61" s="244">
        <f t="shared" si="16"/>
        <v>0</v>
      </c>
      <c r="W61" s="244">
        <f t="shared" si="17"/>
        <v>0</v>
      </c>
      <c r="X61" s="244">
        <f t="shared" si="18"/>
        <v>0</v>
      </c>
      <c r="Y61" s="244">
        <f t="shared" si="19"/>
        <v>0</v>
      </c>
      <c r="Z61" s="244">
        <f t="shared" si="20"/>
        <v>0</v>
      </c>
      <c r="AA61" s="244">
        <f t="shared" si="21"/>
        <v>0</v>
      </c>
      <c r="AB61" s="244">
        <f t="shared" si="22"/>
        <v>0</v>
      </c>
      <c r="AC61" s="244">
        <f t="shared" si="23"/>
        <v>0</v>
      </c>
      <c r="AD61" s="244">
        <f t="shared" si="24"/>
        <v>0</v>
      </c>
      <c r="AE61" s="244">
        <f t="shared" si="40"/>
        <v>0</v>
      </c>
      <c r="AF61" s="244">
        <f t="shared" si="41"/>
        <v>0</v>
      </c>
      <c r="AG61" s="278">
        <f t="shared" si="42"/>
        <v>0</v>
      </c>
      <c r="AH61" s="376">
        <f t="shared" si="25"/>
        <v>0</v>
      </c>
      <c r="AI61" s="373">
        <f t="shared" si="26"/>
        <v>0</v>
      </c>
      <c r="AJ61" s="373">
        <f t="shared" si="43"/>
        <v>0</v>
      </c>
      <c r="AK61" s="244">
        <f t="shared" si="27"/>
        <v>0</v>
      </c>
      <c r="AL61" s="244">
        <f t="shared" si="28"/>
        <v>0</v>
      </c>
      <c r="AM61" s="244">
        <f t="shared" si="29"/>
        <v>0</v>
      </c>
      <c r="AN61" s="244">
        <f t="shared" si="30"/>
        <v>0</v>
      </c>
      <c r="AO61" s="244">
        <f t="shared" si="31"/>
        <v>0</v>
      </c>
      <c r="AP61" s="244">
        <f t="shared" si="32"/>
        <v>0</v>
      </c>
      <c r="AQ61" s="244">
        <f t="shared" si="33"/>
        <v>0</v>
      </c>
      <c r="AR61" s="244">
        <f t="shared" si="34"/>
        <v>0</v>
      </c>
      <c r="AS61" s="244">
        <f t="shared" si="35"/>
        <v>0</v>
      </c>
      <c r="AT61" s="244">
        <f t="shared" si="36"/>
        <v>0</v>
      </c>
      <c r="AU61" s="244">
        <f t="shared" si="37"/>
        <v>0</v>
      </c>
      <c r="AV61" s="244">
        <f t="shared" si="38"/>
        <v>0</v>
      </c>
      <c r="AW61" s="278">
        <f t="shared" si="39"/>
        <v>0</v>
      </c>
      <c r="AX61" s="244">
        <f t="shared" si="44"/>
        <v>0</v>
      </c>
      <c r="AY61" s="278">
        <f t="shared" si="45"/>
        <v>0</v>
      </c>
      <c r="AZ61" s="373">
        <f t="shared" si="46"/>
        <v>0</v>
      </c>
      <c r="BA61" s="264"/>
      <c r="BC61" s="393" t="s">
        <v>451</v>
      </c>
      <c r="BD61" s="214">
        <v>20</v>
      </c>
      <c r="BE61" s="217">
        <v>2500</v>
      </c>
      <c r="BF61" s="214">
        <v>20</v>
      </c>
      <c r="BG61" s="217">
        <v>1000</v>
      </c>
      <c r="BH61" s="214">
        <v>20</v>
      </c>
      <c r="BI61" s="217">
        <v>5500</v>
      </c>
      <c r="BJ61" s="214">
        <v>20</v>
      </c>
      <c r="BK61" s="217">
        <v>3500</v>
      </c>
      <c r="BL61" s="35" t="s">
        <v>439</v>
      </c>
      <c r="BM61" s="35" t="s">
        <v>436</v>
      </c>
      <c r="BN61" s="214">
        <v>20</v>
      </c>
      <c r="BO61" s="217">
        <v>750</v>
      </c>
      <c r="BP61" s="214">
        <v>20</v>
      </c>
      <c r="BQ61" s="217">
        <v>3100</v>
      </c>
      <c r="BS61" s="214">
        <v>20</v>
      </c>
      <c r="BT61" s="281">
        <v>7</v>
      </c>
      <c r="BU61" s="214">
        <v>20</v>
      </c>
      <c r="BV61" s="281">
        <v>10</v>
      </c>
      <c r="BW61" s="214">
        <v>20</v>
      </c>
      <c r="BX61" s="281">
        <v>14</v>
      </c>
      <c r="BY61" s="214">
        <v>20</v>
      </c>
      <c r="BZ61" s="281">
        <v>4</v>
      </c>
      <c r="CA61" s="214">
        <v>20</v>
      </c>
      <c r="CB61" s="281">
        <v>6</v>
      </c>
      <c r="CC61" s="214">
        <v>20</v>
      </c>
      <c r="CD61" s="281">
        <v>5</v>
      </c>
      <c r="CE61" s="214">
        <v>20</v>
      </c>
      <c r="CF61" s="281">
        <v>14</v>
      </c>
      <c r="CG61" s="214">
        <v>20</v>
      </c>
      <c r="CH61" s="281">
        <v>1</v>
      </c>
      <c r="CI61" s="214">
        <v>20</v>
      </c>
      <c r="CJ61" s="281">
        <v>2</v>
      </c>
      <c r="CK61" s="214">
        <v>20</v>
      </c>
      <c r="CL61" s="281">
        <v>2</v>
      </c>
      <c r="CM61" s="214">
        <v>20</v>
      </c>
      <c r="CN61" s="281">
        <v>3</v>
      </c>
      <c r="CO61" s="214">
        <v>20</v>
      </c>
      <c r="CP61" s="281">
        <v>5</v>
      </c>
      <c r="CQ61" s="214">
        <v>20</v>
      </c>
      <c r="CR61" s="281">
        <v>32</v>
      </c>
      <c r="CS61" s="214">
        <v>20</v>
      </c>
      <c r="CT61" s="281">
        <v>24</v>
      </c>
    </row>
    <row r="62" spans="1:98">
      <c r="B62" s="236">
        <f t="shared" si="47"/>
        <v>6</v>
      </c>
      <c r="C62" s="237"/>
      <c r="D62" s="238"/>
      <c r="E62" s="238"/>
      <c r="F62" s="239"/>
      <c r="G62" s="240">
        <f t="shared" si="13"/>
        <v>0</v>
      </c>
      <c r="H62" s="239"/>
      <c r="I62" s="238"/>
      <c r="J62" s="238"/>
      <c r="K62" s="241"/>
      <c r="L62" s="238"/>
      <c r="M62" s="241"/>
      <c r="N62" s="241"/>
      <c r="O62" s="242"/>
      <c r="P62" s="242"/>
      <c r="Q62" s="243"/>
      <c r="R62" s="242"/>
      <c r="S62" s="242"/>
      <c r="T62" s="244">
        <f t="shared" si="14"/>
        <v>0</v>
      </c>
      <c r="U62" s="244">
        <f t="shared" si="15"/>
        <v>0</v>
      </c>
      <c r="V62" s="244">
        <f t="shared" si="16"/>
        <v>0</v>
      </c>
      <c r="W62" s="244">
        <f t="shared" si="17"/>
        <v>0</v>
      </c>
      <c r="X62" s="244">
        <f t="shared" si="18"/>
        <v>0</v>
      </c>
      <c r="Y62" s="244">
        <f t="shared" si="19"/>
        <v>0</v>
      </c>
      <c r="Z62" s="244">
        <f t="shared" si="20"/>
        <v>0</v>
      </c>
      <c r="AA62" s="244">
        <f t="shared" si="21"/>
        <v>0</v>
      </c>
      <c r="AB62" s="244">
        <f t="shared" si="22"/>
        <v>0</v>
      </c>
      <c r="AC62" s="244">
        <f t="shared" si="23"/>
        <v>0</v>
      </c>
      <c r="AD62" s="244">
        <f t="shared" si="24"/>
        <v>0</v>
      </c>
      <c r="AE62" s="244">
        <f t="shared" si="40"/>
        <v>0</v>
      </c>
      <c r="AF62" s="244">
        <f t="shared" si="41"/>
        <v>0</v>
      </c>
      <c r="AG62" s="278">
        <f t="shared" si="42"/>
        <v>0</v>
      </c>
      <c r="AH62" s="376">
        <f t="shared" si="25"/>
        <v>0</v>
      </c>
      <c r="AI62" s="373">
        <f t="shared" si="26"/>
        <v>0</v>
      </c>
      <c r="AJ62" s="373">
        <f t="shared" si="43"/>
        <v>0</v>
      </c>
      <c r="AK62" s="244">
        <f t="shared" si="27"/>
        <v>0</v>
      </c>
      <c r="AL62" s="244">
        <f t="shared" si="28"/>
        <v>0</v>
      </c>
      <c r="AM62" s="244">
        <f t="shared" si="29"/>
        <v>0</v>
      </c>
      <c r="AN62" s="244">
        <f t="shared" si="30"/>
        <v>0</v>
      </c>
      <c r="AO62" s="244">
        <f t="shared" si="31"/>
        <v>0</v>
      </c>
      <c r="AP62" s="244">
        <f t="shared" si="32"/>
        <v>0</v>
      </c>
      <c r="AQ62" s="244">
        <f t="shared" si="33"/>
        <v>0</v>
      </c>
      <c r="AR62" s="244">
        <f t="shared" si="34"/>
        <v>0</v>
      </c>
      <c r="AS62" s="244">
        <f t="shared" si="35"/>
        <v>0</v>
      </c>
      <c r="AT62" s="244">
        <f t="shared" si="36"/>
        <v>0</v>
      </c>
      <c r="AU62" s="244">
        <f t="shared" si="37"/>
        <v>0</v>
      </c>
      <c r="AV62" s="244">
        <f t="shared" si="38"/>
        <v>0</v>
      </c>
      <c r="AW62" s="278">
        <f t="shared" si="39"/>
        <v>0</v>
      </c>
      <c r="AX62" s="244">
        <f t="shared" si="44"/>
        <v>0</v>
      </c>
      <c r="AY62" s="278">
        <f t="shared" si="45"/>
        <v>0</v>
      </c>
      <c r="AZ62" s="373">
        <f t="shared" si="46"/>
        <v>0</v>
      </c>
      <c r="BA62" s="264"/>
      <c r="BC62" s="195" t="s">
        <v>449</v>
      </c>
      <c r="BD62" s="214">
        <v>50</v>
      </c>
      <c r="BE62" s="217">
        <v>6000</v>
      </c>
      <c r="BF62" s="214">
        <v>50</v>
      </c>
      <c r="BG62" s="217">
        <v>6000</v>
      </c>
      <c r="BH62" s="214">
        <v>50</v>
      </c>
      <c r="BI62" s="217">
        <v>10000</v>
      </c>
      <c r="BJ62" s="214">
        <v>50</v>
      </c>
      <c r="BK62" s="217">
        <v>8000</v>
      </c>
      <c r="BL62" s="219">
        <v>125</v>
      </c>
      <c r="BM62" s="219">
        <f>50*4+15+50</f>
        <v>265</v>
      </c>
      <c r="BN62" s="214">
        <v>50</v>
      </c>
      <c r="BO62" s="217">
        <v>1000</v>
      </c>
      <c r="BP62" s="214">
        <v>50</v>
      </c>
      <c r="BQ62" s="217">
        <v>6000</v>
      </c>
      <c r="BS62" s="214">
        <v>50</v>
      </c>
      <c r="BT62" s="281">
        <v>14</v>
      </c>
      <c r="BU62" s="214">
        <v>50</v>
      </c>
      <c r="BV62" s="281">
        <v>15</v>
      </c>
      <c r="BW62" s="214">
        <v>50</v>
      </c>
      <c r="BX62" s="281">
        <v>20</v>
      </c>
      <c r="BY62" s="214">
        <v>50</v>
      </c>
      <c r="BZ62" s="281">
        <v>8</v>
      </c>
      <c r="CA62" s="214">
        <v>50</v>
      </c>
      <c r="CB62" s="281">
        <v>8</v>
      </c>
      <c r="CC62" s="214">
        <v>50</v>
      </c>
      <c r="CD62" s="281">
        <v>6</v>
      </c>
      <c r="CE62" s="214">
        <v>50</v>
      </c>
      <c r="CF62" s="281">
        <v>18</v>
      </c>
      <c r="CG62" s="214">
        <v>50</v>
      </c>
      <c r="CH62" s="281">
        <v>2</v>
      </c>
      <c r="CI62" s="214">
        <v>50</v>
      </c>
      <c r="CJ62" s="281">
        <v>3</v>
      </c>
      <c r="CK62" s="214">
        <v>50</v>
      </c>
      <c r="CL62" s="281">
        <v>2</v>
      </c>
      <c r="CM62" s="214">
        <v>50</v>
      </c>
      <c r="CN62" s="281">
        <v>3</v>
      </c>
      <c r="CO62" s="214">
        <v>50</v>
      </c>
      <c r="CP62" s="281">
        <v>7</v>
      </c>
      <c r="CQ62" s="214">
        <v>50</v>
      </c>
      <c r="CR62" s="281">
        <v>48</v>
      </c>
      <c r="CS62" s="214">
        <v>50</v>
      </c>
      <c r="CT62" s="281">
        <v>32</v>
      </c>
    </row>
    <row r="63" spans="1:98">
      <c r="B63" s="236">
        <f t="shared" si="47"/>
        <v>7</v>
      </c>
      <c r="C63" s="237"/>
      <c r="D63" s="238"/>
      <c r="E63" s="238"/>
      <c r="F63" s="239"/>
      <c r="G63" s="240">
        <f t="shared" si="13"/>
        <v>0</v>
      </c>
      <c r="H63" s="239"/>
      <c r="I63" s="238"/>
      <c r="J63" s="238"/>
      <c r="K63" s="241"/>
      <c r="L63" s="238"/>
      <c r="M63" s="241"/>
      <c r="N63" s="241"/>
      <c r="O63" s="242"/>
      <c r="P63" s="242"/>
      <c r="Q63" s="243"/>
      <c r="R63" s="242"/>
      <c r="S63" s="242"/>
      <c r="T63" s="244">
        <f t="shared" si="14"/>
        <v>0</v>
      </c>
      <c r="U63" s="244">
        <f t="shared" si="15"/>
        <v>0</v>
      </c>
      <c r="V63" s="244">
        <f t="shared" si="16"/>
        <v>0</v>
      </c>
      <c r="W63" s="244">
        <f t="shared" si="17"/>
        <v>0</v>
      </c>
      <c r="X63" s="244">
        <f t="shared" si="18"/>
        <v>0</v>
      </c>
      <c r="Y63" s="244">
        <f t="shared" si="19"/>
        <v>0</v>
      </c>
      <c r="Z63" s="244">
        <f t="shared" si="20"/>
        <v>0</v>
      </c>
      <c r="AA63" s="244">
        <f t="shared" si="21"/>
        <v>0</v>
      </c>
      <c r="AB63" s="244">
        <f t="shared" si="22"/>
        <v>0</v>
      </c>
      <c r="AC63" s="244">
        <f t="shared" si="23"/>
        <v>0</v>
      </c>
      <c r="AD63" s="244">
        <f t="shared" si="24"/>
        <v>0</v>
      </c>
      <c r="AE63" s="244">
        <f t="shared" si="40"/>
        <v>0</v>
      </c>
      <c r="AF63" s="244">
        <f t="shared" si="41"/>
        <v>0</v>
      </c>
      <c r="AG63" s="278">
        <f t="shared" si="42"/>
        <v>0</v>
      </c>
      <c r="AH63" s="376">
        <f t="shared" si="25"/>
        <v>0</v>
      </c>
      <c r="AI63" s="373">
        <f t="shared" si="26"/>
        <v>0</v>
      </c>
      <c r="AJ63" s="373">
        <f t="shared" si="43"/>
        <v>0</v>
      </c>
      <c r="AK63" s="244">
        <f t="shared" si="27"/>
        <v>0</v>
      </c>
      <c r="AL63" s="244">
        <f t="shared" si="28"/>
        <v>0</v>
      </c>
      <c r="AM63" s="244">
        <f t="shared" si="29"/>
        <v>0</v>
      </c>
      <c r="AN63" s="244">
        <f t="shared" si="30"/>
        <v>0</v>
      </c>
      <c r="AO63" s="244">
        <f t="shared" si="31"/>
        <v>0</v>
      </c>
      <c r="AP63" s="244">
        <f t="shared" si="32"/>
        <v>0</v>
      </c>
      <c r="AQ63" s="244">
        <f t="shared" si="33"/>
        <v>0</v>
      </c>
      <c r="AR63" s="244">
        <f t="shared" si="34"/>
        <v>0</v>
      </c>
      <c r="AS63" s="244">
        <f t="shared" si="35"/>
        <v>0</v>
      </c>
      <c r="AT63" s="244">
        <f t="shared" si="36"/>
        <v>0</v>
      </c>
      <c r="AU63" s="244">
        <f t="shared" si="37"/>
        <v>0</v>
      </c>
      <c r="AV63" s="244">
        <f t="shared" si="38"/>
        <v>0</v>
      </c>
      <c r="AW63" s="278">
        <f t="shared" si="39"/>
        <v>0</v>
      </c>
      <c r="AX63" s="244">
        <f t="shared" si="44"/>
        <v>0</v>
      </c>
      <c r="AY63" s="278">
        <f t="shared" si="45"/>
        <v>0</v>
      </c>
      <c r="AZ63" s="373">
        <f t="shared" si="46"/>
        <v>0</v>
      </c>
      <c r="BA63" s="264"/>
      <c r="BC63" s="115"/>
      <c r="BD63" s="216">
        <v>75</v>
      </c>
      <c r="BE63" s="218">
        <v>15000</v>
      </c>
      <c r="BF63" s="216">
        <v>75</v>
      </c>
      <c r="BG63" s="218">
        <v>15000</v>
      </c>
      <c r="BH63" s="216">
        <v>75</v>
      </c>
      <c r="BI63" s="218">
        <v>15000</v>
      </c>
      <c r="BJ63" s="216">
        <v>75</v>
      </c>
      <c r="BK63" s="218">
        <v>13000</v>
      </c>
      <c r="BN63" s="216">
        <v>75</v>
      </c>
      <c r="BO63" s="218">
        <v>1500</v>
      </c>
      <c r="BP63" s="216">
        <v>75</v>
      </c>
      <c r="BQ63" s="218">
        <v>9000</v>
      </c>
      <c r="BS63" s="216">
        <v>75</v>
      </c>
      <c r="BT63" s="282">
        <v>28</v>
      </c>
      <c r="BU63" s="216">
        <v>75</v>
      </c>
      <c r="BV63" s="282">
        <v>30</v>
      </c>
      <c r="BW63" s="216">
        <v>75</v>
      </c>
      <c r="BX63" s="282">
        <v>40</v>
      </c>
      <c r="BY63" s="216">
        <v>75</v>
      </c>
      <c r="BZ63" s="282">
        <v>16</v>
      </c>
      <c r="CA63" s="216">
        <v>75</v>
      </c>
      <c r="CB63" s="282">
        <v>12</v>
      </c>
      <c r="CC63" s="216">
        <v>75</v>
      </c>
      <c r="CD63" s="282">
        <v>8</v>
      </c>
      <c r="CE63" s="216">
        <v>75</v>
      </c>
      <c r="CF63" s="282">
        <v>22</v>
      </c>
      <c r="CG63" s="216">
        <v>75</v>
      </c>
      <c r="CH63" s="282">
        <v>3</v>
      </c>
      <c r="CI63" s="216">
        <v>75</v>
      </c>
      <c r="CJ63" s="282">
        <v>3</v>
      </c>
      <c r="CK63" s="216">
        <v>75</v>
      </c>
      <c r="CL63" s="282">
        <v>2</v>
      </c>
      <c r="CM63" s="216">
        <v>75</v>
      </c>
      <c r="CN63" s="282">
        <v>3</v>
      </c>
      <c r="CO63" s="216">
        <v>75</v>
      </c>
      <c r="CP63" s="282">
        <v>12</v>
      </c>
      <c r="CQ63" s="216">
        <v>75</v>
      </c>
      <c r="CR63" s="282">
        <v>56</v>
      </c>
      <c r="CS63" s="216">
        <v>75</v>
      </c>
      <c r="CT63" s="282">
        <v>40</v>
      </c>
    </row>
    <row r="64" spans="1:98">
      <c r="B64" s="236">
        <f t="shared" si="47"/>
        <v>8</v>
      </c>
      <c r="C64" s="237"/>
      <c r="D64" s="238"/>
      <c r="E64" s="238"/>
      <c r="F64" s="239"/>
      <c r="G64" s="240">
        <f t="shared" si="13"/>
        <v>0</v>
      </c>
      <c r="H64" s="239"/>
      <c r="I64" s="238"/>
      <c r="J64" s="238"/>
      <c r="K64" s="241"/>
      <c r="L64" s="238"/>
      <c r="M64" s="241"/>
      <c r="N64" s="241"/>
      <c r="O64" s="242"/>
      <c r="P64" s="243"/>
      <c r="Q64" s="243"/>
      <c r="R64" s="243"/>
      <c r="S64" s="243"/>
      <c r="T64" s="244">
        <f t="shared" si="14"/>
        <v>0</v>
      </c>
      <c r="U64" s="244">
        <f t="shared" si="15"/>
        <v>0</v>
      </c>
      <c r="V64" s="244">
        <f t="shared" si="16"/>
        <v>0</v>
      </c>
      <c r="W64" s="244">
        <f t="shared" si="17"/>
        <v>0</v>
      </c>
      <c r="X64" s="244">
        <f t="shared" si="18"/>
        <v>0</v>
      </c>
      <c r="Y64" s="244">
        <f t="shared" si="19"/>
        <v>0</v>
      </c>
      <c r="Z64" s="244">
        <f t="shared" si="20"/>
        <v>0</v>
      </c>
      <c r="AA64" s="244">
        <f t="shared" si="21"/>
        <v>0</v>
      </c>
      <c r="AB64" s="244">
        <f t="shared" si="22"/>
        <v>0</v>
      </c>
      <c r="AC64" s="244">
        <f t="shared" si="23"/>
        <v>0</v>
      </c>
      <c r="AD64" s="244">
        <f t="shared" si="24"/>
        <v>0</v>
      </c>
      <c r="AE64" s="244">
        <f t="shared" si="40"/>
        <v>0</v>
      </c>
      <c r="AF64" s="244">
        <f t="shared" si="41"/>
        <v>0</v>
      </c>
      <c r="AG64" s="278">
        <f t="shared" si="42"/>
        <v>0</v>
      </c>
      <c r="AH64" s="376">
        <f t="shared" si="25"/>
        <v>0</v>
      </c>
      <c r="AI64" s="373">
        <f t="shared" si="26"/>
        <v>0</v>
      </c>
      <c r="AJ64" s="373">
        <f t="shared" si="43"/>
        <v>0</v>
      </c>
      <c r="AK64" s="244">
        <f t="shared" si="27"/>
        <v>0</v>
      </c>
      <c r="AL64" s="244">
        <f t="shared" si="28"/>
        <v>0</v>
      </c>
      <c r="AM64" s="244">
        <f t="shared" si="29"/>
        <v>0</v>
      </c>
      <c r="AN64" s="244">
        <f t="shared" si="30"/>
        <v>0</v>
      </c>
      <c r="AO64" s="244">
        <f t="shared" si="31"/>
        <v>0</v>
      </c>
      <c r="AP64" s="244">
        <f t="shared" si="32"/>
        <v>0</v>
      </c>
      <c r="AQ64" s="244">
        <f t="shared" si="33"/>
        <v>0</v>
      </c>
      <c r="AR64" s="244">
        <f t="shared" si="34"/>
        <v>0</v>
      </c>
      <c r="AS64" s="244">
        <f t="shared" si="35"/>
        <v>0</v>
      </c>
      <c r="AT64" s="244">
        <f t="shared" si="36"/>
        <v>0</v>
      </c>
      <c r="AU64" s="244">
        <f t="shared" si="37"/>
        <v>0</v>
      </c>
      <c r="AV64" s="244">
        <f t="shared" si="38"/>
        <v>0</v>
      </c>
      <c r="AW64" s="278">
        <f t="shared" si="39"/>
        <v>0</v>
      </c>
      <c r="AX64" s="244">
        <f t="shared" si="44"/>
        <v>0</v>
      </c>
      <c r="AY64" s="278">
        <f t="shared" si="45"/>
        <v>0</v>
      </c>
      <c r="AZ64" s="373">
        <f t="shared" si="46"/>
        <v>0</v>
      </c>
      <c r="BA64" s="264"/>
    </row>
    <row r="65" spans="2:98">
      <c r="B65" s="236">
        <f t="shared" si="47"/>
        <v>9</v>
      </c>
      <c r="C65" s="237"/>
      <c r="D65" s="238"/>
      <c r="E65" s="238"/>
      <c r="F65" s="239"/>
      <c r="G65" s="240">
        <f t="shared" si="13"/>
        <v>0</v>
      </c>
      <c r="H65" s="239"/>
      <c r="I65" s="238"/>
      <c r="J65" s="238"/>
      <c r="K65" s="241"/>
      <c r="L65" s="238"/>
      <c r="M65" s="241"/>
      <c r="N65" s="241"/>
      <c r="O65" s="242"/>
      <c r="P65" s="243"/>
      <c r="Q65" s="243"/>
      <c r="R65" s="243"/>
      <c r="S65" s="243"/>
      <c r="T65" s="244">
        <f t="shared" si="14"/>
        <v>0</v>
      </c>
      <c r="U65" s="244">
        <f t="shared" si="15"/>
        <v>0</v>
      </c>
      <c r="V65" s="244">
        <f t="shared" si="16"/>
        <v>0</v>
      </c>
      <c r="W65" s="244">
        <f t="shared" si="17"/>
        <v>0</v>
      </c>
      <c r="X65" s="244">
        <f t="shared" si="18"/>
        <v>0</v>
      </c>
      <c r="Y65" s="244">
        <f t="shared" si="19"/>
        <v>0</v>
      </c>
      <c r="Z65" s="244">
        <f t="shared" si="20"/>
        <v>0</v>
      </c>
      <c r="AA65" s="244">
        <f t="shared" si="21"/>
        <v>0</v>
      </c>
      <c r="AB65" s="244">
        <f t="shared" si="22"/>
        <v>0</v>
      </c>
      <c r="AC65" s="244">
        <f t="shared" si="23"/>
        <v>0</v>
      </c>
      <c r="AD65" s="244">
        <f t="shared" si="24"/>
        <v>0</v>
      </c>
      <c r="AE65" s="244">
        <f t="shared" si="40"/>
        <v>0</v>
      </c>
      <c r="AF65" s="244">
        <f t="shared" si="41"/>
        <v>0</v>
      </c>
      <c r="AG65" s="278">
        <f t="shared" si="42"/>
        <v>0</v>
      </c>
      <c r="AH65" s="376">
        <f t="shared" si="25"/>
        <v>0</v>
      </c>
      <c r="AI65" s="373">
        <f t="shared" si="26"/>
        <v>0</v>
      </c>
      <c r="AJ65" s="373">
        <f t="shared" si="43"/>
        <v>0</v>
      </c>
      <c r="AK65" s="244">
        <f t="shared" si="27"/>
        <v>0</v>
      </c>
      <c r="AL65" s="244">
        <f t="shared" si="28"/>
        <v>0</v>
      </c>
      <c r="AM65" s="244">
        <f t="shared" si="29"/>
        <v>0</v>
      </c>
      <c r="AN65" s="244">
        <f t="shared" si="30"/>
        <v>0</v>
      </c>
      <c r="AO65" s="244">
        <f t="shared" si="31"/>
        <v>0</v>
      </c>
      <c r="AP65" s="244">
        <f t="shared" si="32"/>
        <v>0</v>
      </c>
      <c r="AQ65" s="244">
        <f t="shared" si="33"/>
        <v>0</v>
      </c>
      <c r="AR65" s="244">
        <f t="shared" si="34"/>
        <v>0</v>
      </c>
      <c r="AS65" s="244">
        <f t="shared" si="35"/>
        <v>0</v>
      </c>
      <c r="AT65" s="244">
        <f t="shared" si="36"/>
        <v>0</v>
      </c>
      <c r="AU65" s="244">
        <f t="shared" si="37"/>
        <v>0</v>
      </c>
      <c r="AV65" s="244">
        <f t="shared" si="38"/>
        <v>0</v>
      </c>
      <c r="AW65" s="278">
        <f t="shared" si="39"/>
        <v>0</v>
      </c>
      <c r="AX65" s="244">
        <f t="shared" si="44"/>
        <v>0</v>
      </c>
      <c r="AY65" s="278">
        <f t="shared" si="45"/>
        <v>0</v>
      </c>
      <c r="AZ65" s="373">
        <f t="shared" si="46"/>
        <v>0</v>
      </c>
      <c r="BA65" s="264"/>
    </row>
    <row r="66" spans="2:98">
      <c r="B66" s="236">
        <f t="shared" si="47"/>
        <v>10</v>
      </c>
      <c r="C66" s="237"/>
      <c r="D66" s="238"/>
      <c r="E66" s="238"/>
      <c r="F66" s="239"/>
      <c r="G66" s="240">
        <f t="shared" si="13"/>
        <v>0</v>
      </c>
      <c r="H66" s="239"/>
      <c r="I66" s="238"/>
      <c r="J66" s="238"/>
      <c r="K66" s="241"/>
      <c r="L66" s="238"/>
      <c r="M66" s="241"/>
      <c r="N66" s="241"/>
      <c r="O66" s="242"/>
      <c r="P66" s="243"/>
      <c r="Q66" s="243"/>
      <c r="R66" s="243"/>
      <c r="S66" s="243"/>
      <c r="T66" s="244">
        <f t="shared" si="14"/>
        <v>0</v>
      </c>
      <c r="U66" s="244">
        <f t="shared" si="15"/>
        <v>0</v>
      </c>
      <c r="V66" s="244">
        <f t="shared" si="16"/>
        <v>0</v>
      </c>
      <c r="W66" s="244">
        <f t="shared" si="17"/>
        <v>0</v>
      </c>
      <c r="X66" s="244">
        <f t="shared" si="18"/>
        <v>0</v>
      </c>
      <c r="Y66" s="244">
        <f t="shared" si="19"/>
        <v>0</v>
      </c>
      <c r="Z66" s="244">
        <f t="shared" si="20"/>
        <v>0</v>
      </c>
      <c r="AA66" s="244">
        <f t="shared" si="21"/>
        <v>0</v>
      </c>
      <c r="AB66" s="244">
        <f t="shared" si="22"/>
        <v>0</v>
      </c>
      <c r="AC66" s="244">
        <f t="shared" si="23"/>
        <v>0</v>
      </c>
      <c r="AD66" s="244">
        <f t="shared" si="24"/>
        <v>0</v>
      </c>
      <c r="AE66" s="244">
        <f t="shared" si="40"/>
        <v>0</v>
      </c>
      <c r="AF66" s="244">
        <f t="shared" si="41"/>
        <v>0</v>
      </c>
      <c r="AG66" s="278">
        <f t="shared" si="42"/>
        <v>0</v>
      </c>
      <c r="AH66" s="376">
        <f t="shared" si="25"/>
        <v>0</v>
      </c>
      <c r="AI66" s="373">
        <f t="shared" si="26"/>
        <v>0</v>
      </c>
      <c r="AJ66" s="373">
        <f t="shared" si="43"/>
        <v>0</v>
      </c>
      <c r="AK66" s="244">
        <f t="shared" si="27"/>
        <v>0</v>
      </c>
      <c r="AL66" s="244">
        <f t="shared" si="28"/>
        <v>0</v>
      </c>
      <c r="AM66" s="244">
        <f t="shared" si="29"/>
        <v>0</v>
      </c>
      <c r="AN66" s="244">
        <f t="shared" si="30"/>
        <v>0</v>
      </c>
      <c r="AO66" s="244">
        <f t="shared" si="31"/>
        <v>0</v>
      </c>
      <c r="AP66" s="244">
        <f t="shared" si="32"/>
        <v>0</v>
      </c>
      <c r="AQ66" s="244">
        <f t="shared" si="33"/>
        <v>0</v>
      </c>
      <c r="AR66" s="244">
        <f t="shared" si="34"/>
        <v>0</v>
      </c>
      <c r="AS66" s="244">
        <f t="shared" si="35"/>
        <v>0</v>
      </c>
      <c r="AT66" s="244">
        <f t="shared" si="36"/>
        <v>0</v>
      </c>
      <c r="AU66" s="244">
        <f t="shared" si="37"/>
        <v>0</v>
      </c>
      <c r="AV66" s="244">
        <f t="shared" si="38"/>
        <v>0</v>
      </c>
      <c r="AW66" s="278">
        <f t="shared" si="39"/>
        <v>0</v>
      </c>
      <c r="AX66" s="244">
        <f t="shared" si="44"/>
        <v>0</v>
      </c>
      <c r="AY66" s="278">
        <f t="shared" si="45"/>
        <v>0</v>
      </c>
      <c r="AZ66" s="373">
        <f t="shared" si="46"/>
        <v>0</v>
      </c>
      <c r="BA66" s="264"/>
      <c r="CR66" s="27"/>
      <c r="CT66" s="27"/>
    </row>
    <row r="67" spans="2:98">
      <c r="B67" s="236">
        <f t="shared" si="47"/>
        <v>11</v>
      </c>
      <c r="C67" s="237"/>
      <c r="D67" s="238"/>
      <c r="E67" s="238"/>
      <c r="F67" s="239"/>
      <c r="G67" s="240">
        <f t="shared" si="13"/>
        <v>0</v>
      </c>
      <c r="H67" s="239"/>
      <c r="I67" s="238"/>
      <c r="J67" s="238"/>
      <c r="K67" s="241"/>
      <c r="L67" s="238"/>
      <c r="M67" s="241"/>
      <c r="N67" s="241"/>
      <c r="O67" s="242"/>
      <c r="P67" s="243"/>
      <c r="Q67" s="243"/>
      <c r="R67" s="243"/>
      <c r="S67" s="243"/>
      <c r="T67" s="244">
        <f t="shared" si="14"/>
        <v>0</v>
      </c>
      <c r="U67" s="244">
        <f t="shared" si="15"/>
        <v>0</v>
      </c>
      <c r="V67" s="244">
        <f t="shared" si="16"/>
        <v>0</v>
      </c>
      <c r="W67" s="244">
        <f t="shared" si="17"/>
        <v>0</v>
      </c>
      <c r="X67" s="244">
        <f t="shared" si="18"/>
        <v>0</v>
      </c>
      <c r="Y67" s="244">
        <f t="shared" si="19"/>
        <v>0</v>
      </c>
      <c r="Z67" s="244">
        <f t="shared" si="20"/>
        <v>0</v>
      </c>
      <c r="AA67" s="244">
        <f t="shared" si="21"/>
        <v>0</v>
      </c>
      <c r="AB67" s="244">
        <f t="shared" si="22"/>
        <v>0</v>
      </c>
      <c r="AC67" s="244">
        <f t="shared" si="23"/>
        <v>0</v>
      </c>
      <c r="AD67" s="244">
        <f t="shared" si="24"/>
        <v>0</v>
      </c>
      <c r="AE67" s="244">
        <f t="shared" si="40"/>
        <v>0</v>
      </c>
      <c r="AF67" s="244">
        <f t="shared" si="41"/>
        <v>0</v>
      </c>
      <c r="AG67" s="278">
        <f t="shared" si="42"/>
        <v>0</v>
      </c>
      <c r="AH67" s="376">
        <f t="shared" si="25"/>
        <v>0</v>
      </c>
      <c r="AI67" s="373">
        <f t="shared" si="26"/>
        <v>0</v>
      </c>
      <c r="AJ67" s="373">
        <f t="shared" si="43"/>
        <v>0</v>
      </c>
      <c r="AK67" s="244">
        <f t="shared" si="27"/>
        <v>0</v>
      </c>
      <c r="AL67" s="244">
        <f t="shared" si="28"/>
        <v>0</v>
      </c>
      <c r="AM67" s="244">
        <f t="shared" si="29"/>
        <v>0</v>
      </c>
      <c r="AN67" s="244">
        <f t="shared" si="30"/>
        <v>0</v>
      </c>
      <c r="AO67" s="244">
        <f t="shared" si="31"/>
        <v>0</v>
      </c>
      <c r="AP67" s="244">
        <f t="shared" si="32"/>
        <v>0</v>
      </c>
      <c r="AQ67" s="244">
        <f t="shared" si="33"/>
        <v>0</v>
      </c>
      <c r="AR67" s="244">
        <f t="shared" si="34"/>
        <v>0</v>
      </c>
      <c r="AS67" s="244">
        <f t="shared" si="35"/>
        <v>0</v>
      </c>
      <c r="AT67" s="244">
        <f t="shared" si="36"/>
        <v>0</v>
      </c>
      <c r="AU67" s="244">
        <f t="shared" si="37"/>
        <v>0</v>
      </c>
      <c r="AV67" s="244">
        <f t="shared" si="38"/>
        <v>0</v>
      </c>
      <c r="AW67" s="278">
        <f t="shared" si="39"/>
        <v>0</v>
      </c>
      <c r="AX67" s="244">
        <f t="shared" si="44"/>
        <v>0</v>
      </c>
      <c r="AY67" s="278">
        <f t="shared" si="45"/>
        <v>0</v>
      </c>
      <c r="AZ67" s="373">
        <f t="shared" si="46"/>
        <v>0</v>
      </c>
      <c r="BA67" s="264"/>
      <c r="CR67" s="27"/>
      <c r="CT67" s="27"/>
    </row>
    <row r="68" spans="2:98">
      <c r="B68" s="236">
        <f t="shared" si="47"/>
        <v>12</v>
      </c>
      <c r="C68" s="237"/>
      <c r="D68" s="238"/>
      <c r="E68" s="238"/>
      <c r="F68" s="239"/>
      <c r="G68" s="240">
        <f t="shared" si="13"/>
        <v>0</v>
      </c>
      <c r="H68" s="239"/>
      <c r="I68" s="238"/>
      <c r="J68" s="238"/>
      <c r="K68" s="241"/>
      <c r="L68" s="238"/>
      <c r="M68" s="241"/>
      <c r="N68" s="241"/>
      <c r="O68" s="242"/>
      <c r="P68" s="243"/>
      <c r="Q68" s="243"/>
      <c r="R68" s="243"/>
      <c r="S68" s="243"/>
      <c r="T68" s="244">
        <f t="shared" si="14"/>
        <v>0</v>
      </c>
      <c r="U68" s="244">
        <f t="shared" si="15"/>
        <v>0</v>
      </c>
      <c r="V68" s="244">
        <f t="shared" si="16"/>
        <v>0</v>
      </c>
      <c r="W68" s="244">
        <f t="shared" si="17"/>
        <v>0</v>
      </c>
      <c r="X68" s="244">
        <f t="shared" si="18"/>
        <v>0</v>
      </c>
      <c r="Y68" s="244">
        <f t="shared" si="19"/>
        <v>0</v>
      </c>
      <c r="Z68" s="244">
        <f t="shared" si="20"/>
        <v>0</v>
      </c>
      <c r="AA68" s="244">
        <f t="shared" si="21"/>
        <v>0</v>
      </c>
      <c r="AB68" s="244">
        <f t="shared" si="22"/>
        <v>0</v>
      </c>
      <c r="AC68" s="244">
        <f t="shared" si="23"/>
        <v>0</v>
      </c>
      <c r="AD68" s="244">
        <f t="shared" si="24"/>
        <v>0</v>
      </c>
      <c r="AE68" s="244">
        <f t="shared" si="40"/>
        <v>0</v>
      </c>
      <c r="AF68" s="244">
        <f t="shared" si="41"/>
        <v>0</v>
      </c>
      <c r="AG68" s="278">
        <f t="shared" si="42"/>
        <v>0</v>
      </c>
      <c r="AH68" s="376">
        <f t="shared" si="25"/>
        <v>0</v>
      </c>
      <c r="AI68" s="373">
        <f t="shared" si="26"/>
        <v>0</v>
      </c>
      <c r="AJ68" s="373">
        <f t="shared" si="43"/>
        <v>0</v>
      </c>
      <c r="AK68" s="244">
        <f t="shared" si="27"/>
        <v>0</v>
      </c>
      <c r="AL68" s="244">
        <f t="shared" si="28"/>
        <v>0</v>
      </c>
      <c r="AM68" s="244">
        <f t="shared" si="29"/>
        <v>0</v>
      </c>
      <c r="AN68" s="244">
        <f t="shared" si="30"/>
        <v>0</v>
      </c>
      <c r="AO68" s="244">
        <f t="shared" si="31"/>
        <v>0</v>
      </c>
      <c r="AP68" s="244">
        <f t="shared" si="32"/>
        <v>0</v>
      </c>
      <c r="AQ68" s="244">
        <f t="shared" si="33"/>
        <v>0</v>
      </c>
      <c r="AR68" s="244">
        <f t="shared" si="34"/>
        <v>0</v>
      </c>
      <c r="AS68" s="244">
        <f t="shared" si="35"/>
        <v>0</v>
      </c>
      <c r="AT68" s="244">
        <f t="shared" si="36"/>
        <v>0</v>
      </c>
      <c r="AU68" s="244">
        <f t="shared" si="37"/>
        <v>0</v>
      </c>
      <c r="AV68" s="244">
        <f t="shared" si="38"/>
        <v>0</v>
      </c>
      <c r="AW68" s="278">
        <f t="shared" si="39"/>
        <v>0</v>
      </c>
      <c r="AX68" s="244">
        <f t="shared" si="44"/>
        <v>0</v>
      </c>
      <c r="AY68" s="278">
        <f t="shared" si="45"/>
        <v>0</v>
      </c>
      <c r="AZ68" s="373">
        <f t="shared" si="46"/>
        <v>0</v>
      </c>
      <c r="BA68" s="264"/>
      <c r="CR68" s="27"/>
      <c r="CT68" s="27"/>
    </row>
    <row r="69" spans="2:98">
      <c r="B69" s="236">
        <f t="shared" si="47"/>
        <v>13</v>
      </c>
      <c r="C69" s="237"/>
      <c r="D69" s="238"/>
      <c r="E69" s="238"/>
      <c r="F69" s="239"/>
      <c r="G69" s="240">
        <f t="shared" si="13"/>
        <v>0</v>
      </c>
      <c r="H69" s="239"/>
      <c r="I69" s="238"/>
      <c r="J69" s="238"/>
      <c r="K69" s="241"/>
      <c r="L69" s="238"/>
      <c r="M69" s="241"/>
      <c r="N69" s="241"/>
      <c r="O69" s="242"/>
      <c r="P69" s="243"/>
      <c r="Q69" s="243"/>
      <c r="R69" s="243"/>
      <c r="S69" s="243"/>
      <c r="T69" s="244">
        <f t="shared" si="14"/>
        <v>0</v>
      </c>
      <c r="U69" s="244">
        <f t="shared" si="15"/>
        <v>0</v>
      </c>
      <c r="V69" s="244">
        <f t="shared" si="16"/>
        <v>0</v>
      </c>
      <c r="W69" s="244">
        <f t="shared" si="17"/>
        <v>0</v>
      </c>
      <c r="X69" s="244">
        <f t="shared" si="18"/>
        <v>0</v>
      </c>
      <c r="Y69" s="244">
        <f t="shared" si="19"/>
        <v>0</v>
      </c>
      <c r="Z69" s="244">
        <f t="shared" si="20"/>
        <v>0</v>
      </c>
      <c r="AA69" s="244">
        <f t="shared" si="21"/>
        <v>0</v>
      </c>
      <c r="AB69" s="244">
        <f t="shared" si="22"/>
        <v>0</v>
      </c>
      <c r="AC69" s="244">
        <f t="shared" si="23"/>
        <v>0</v>
      </c>
      <c r="AD69" s="244">
        <f t="shared" si="24"/>
        <v>0</v>
      </c>
      <c r="AE69" s="244">
        <f t="shared" si="40"/>
        <v>0</v>
      </c>
      <c r="AF69" s="244">
        <f t="shared" si="41"/>
        <v>0</v>
      </c>
      <c r="AG69" s="278">
        <f t="shared" si="42"/>
        <v>0</v>
      </c>
      <c r="AH69" s="376">
        <f t="shared" si="25"/>
        <v>0</v>
      </c>
      <c r="AI69" s="373">
        <f t="shared" si="26"/>
        <v>0</v>
      </c>
      <c r="AJ69" s="373">
        <f t="shared" si="43"/>
        <v>0</v>
      </c>
      <c r="AK69" s="244">
        <f t="shared" si="27"/>
        <v>0</v>
      </c>
      <c r="AL69" s="244">
        <f t="shared" si="28"/>
        <v>0</v>
      </c>
      <c r="AM69" s="244">
        <f t="shared" si="29"/>
        <v>0</v>
      </c>
      <c r="AN69" s="244">
        <f t="shared" si="30"/>
        <v>0</v>
      </c>
      <c r="AO69" s="244">
        <f t="shared" si="31"/>
        <v>0</v>
      </c>
      <c r="AP69" s="244">
        <f t="shared" si="32"/>
        <v>0</v>
      </c>
      <c r="AQ69" s="244">
        <f t="shared" si="33"/>
        <v>0</v>
      </c>
      <c r="AR69" s="244">
        <f t="shared" si="34"/>
        <v>0</v>
      </c>
      <c r="AS69" s="244">
        <f t="shared" si="35"/>
        <v>0</v>
      </c>
      <c r="AT69" s="244">
        <f t="shared" si="36"/>
        <v>0</v>
      </c>
      <c r="AU69" s="244">
        <f t="shared" si="37"/>
        <v>0</v>
      </c>
      <c r="AV69" s="244">
        <f t="shared" si="38"/>
        <v>0</v>
      </c>
      <c r="AW69" s="278">
        <f t="shared" si="39"/>
        <v>0</v>
      </c>
      <c r="AX69" s="244">
        <f t="shared" si="44"/>
        <v>0</v>
      </c>
      <c r="AY69" s="278">
        <f t="shared" si="45"/>
        <v>0</v>
      </c>
      <c r="AZ69" s="373">
        <f t="shared" si="46"/>
        <v>0</v>
      </c>
      <c r="BA69" s="264"/>
      <c r="CR69" s="27"/>
      <c r="CT69" s="27"/>
    </row>
    <row r="70" spans="2:98">
      <c r="B70" s="236">
        <f t="shared" si="47"/>
        <v>14</v>
      </c>
      <c r="C70" s="237"/>
      <c r="D70" s="238"/>
      <c r="E70" s="238"/>
      <c r="F70" s="239"/>
      <c r="G70" s="240">
        <f t="shared" si="13"/>
        <v>0</v>
      </c>
      <c r="H70" s="239"/>
      <c r="I70" s="238"/>
      <c r="J70" s="238"/>
      <c r="K70" s="241"/>
      <c r="L70" s="238"/>
      <c r="M70" s="241"/>
      <c r="N70" s="241"/>
      <c r="O70" s="242"/>
      <c r="P70" s="243"/>
      <c r="Q70" s="243"/>
      <c r="R70" s="243"/>
      <c r="S70" s="243"/>
      <c r="T70" s="244">
        <f t="shared" si="14"/>
        <v>0</v>
      </c>
      <c r="U70" s="244">
        <f t="shared" si="15"/>
        <v>0</v>
      </c>
      <c r="V70" s="244">
        <f t="shared" si="16"/>
        <v>0</v>
      </c>
      <c r="W70" s="244">
        <f t="shared" si="17"/>
        <v>0</v>
      </c>
      <c r="X70" s="244">
        <f t="shared" si="18"/>
        <v>0</v>
      </c>
      <c r="Y70" s="244">
        <f t="shared" si="19"/>
        <v>0</v>
      </c>
      <c r="Z70" s="244">
        <f t="shared" si="20"/>
        <v>0</v>
      </c>
      <c r="AA70" s="244">
        <f t="shared" si="21"/>
        <v>0</v>
      </c>
      <c r="AB70" s="244">
        <f t="shared" si="22"/>
        <v>0</v>
      </c>
      <c r="AC70" s="244">
        <f t="shared" si="23"/>
        <v>0</v>
      </c>
      <c r="AD70" s="244">
        <f t="shared" si="24"/>
        <v>0</v>
      </c>
      <c r="AE70" s="244">
        <f t="shared" si="40"/>
        <v>0</v>
      </c>
      <c r="AF70" s="244">
        <f t="shared" si="41"/>
        <v>0</v>
      </c>
      <c r="AG70" s="278">
        <f t="shared" si="42"/>
        <v>0</v>
      </c>
      <c r="AH70" s="376">
        <f t="shared" si="25"/>
        <v>0</v>
      </c>
      <c r="AI70" s="373">
        <f t="shared" si="26"/>
        <v>0</v>
      </c>
      <c r="AJ70" s="373">
        <f t="shared" si="43"/>
        <v>0</v>
      </c>
      <c r="AK70" s="244">
        <f t="shared" si="27"/>
        <v>0</v>
      </c>
      <c r="AL70" s="244">
        <f t="shared" si="28"/>
        <v>0</v>
      </c>
      <c r="AM70" s="244">
        <f t="shared" si="29"/>
        <v>0</v>
      </c>
      <c r="AN70" s="244">
        <f t="shared" si="30"/>
        <v>0</v>
      </c>
      <c r="AO70" s="244">
        <f t="shared" si="31"/>
        <v>0</v>
      </c>
      <c r="AP70" s="244">
        <f t="shared" si="32"/>
        <v>0</v>
      </c>
      <c r="AQ70" s="244">
        <f t="shared" si="33"/>
        <v>0</v>
      </c>
      <c r="AR70" s="244">
        <f t="shared" si="34"/>
        <v>0</v>
      </c>
      <c r="AS70" s="244">
        <f t="shared" si="35"/>
        <v>0</v>
      </c>
      <c r="AT70" s="244">
        <f t="shared" si="36"/>
        <v>0</v>
      </c>
      <c r="AU70" s="244">
        <f t="shared" si="37"/>
        <v>0</v>
      </c>
      <c r="AV70" s="244">
        <f t="shared" si="38"/>
        <v>0</v>
      </c>
      <c r="AW70" s="278">
        <f t="shared" si="39"/>
        <v>0</v>
      </c>
      <c r="AX70" s="244">
        <f t="shared" si="44"/>
        <v>0</v>
      </c>
      <c r="AY70" s="278">
        <f t="shared" si="45"/>
        <v>0</v>
      </c>
      <c r="AZ70" s="373">
        <f t="shared" si="46"/>
        <v>0</v>
      </c>
      <c r="BA70" s="264"/>
      <c r="CR70" s="27"/>
      <c r="CT70" s="27"/>
    </row>
    <row r="71" spans="2:98">
      <c r="B71" s="236">
        <f t="shared" si="47"/>
        <v>15</v>
      </c>
      <c r="C71" s="237"/>
      <c r="D71" s="238"/>
      <c r="E71" s="238"/>
      <c r="F71" s="239"/>
      <c r="G71" s="240">
        <f t="shared" si="13"/>
        <v>0</v>
      </c>
      <c r="H71" s="239"/>
      <c r="I71" s="238"/>
      <c r="J71" s="238"/>
      <c r="K71" s="241"/>
      <c r="L71" s="238"/>
      <c r="M71" s="241"/>
      <c r="N71" s="241"/>
      <c r="O71" s="242"/>
      <c r="P71" s="243"/>
      <c r="Q71" s="243"/>
      <c r="R71" s="243"/>
      <c r="S71" s="243"/>
      <c r="T71" s="244">
        <f t="shared" si="14"/>
        <v>0</v>
      </c>
      <c r="U71" s="244">
        <f t="shared" si="15"/>
        <v>0</v>
      </c>
      <c r="V71" s="244">
        <f t="shared" si="16"/>
        <v>0</v>
      </c>
      <c r="W71" s="244">
        <f t="shared" si="17"/>
        <v>0</v>
      </c>
      <c r="X71" s="244">
        <f t="shared" si="18"/>
        <v>0</v>
      </c>
      <c r="Y71" s="244">
        <f t="shared" si="19"/>
        <v>0</v>
      </c>
      <c r="Z71" s="244">
        <f t="shared" si="20"/>
        <v>0</v>
      </c>
      <c r="AA71" s="244">
        <f t="shared" si="21"/>
        <v>0</v>
      </c>
      <c r="AB71" s="244">
        <f t="shared" si="22"/>
        <v>0</v>
      </c>
      <c r="AC71" s="244">
        <f t="shared" si="23"/>
        <v>0</v>
      </c>
      <c r="AD71" s="244">
        <f t="shared" si="24"/>
        <v>0</v>
      </c>
      <c r="AE71" s="244">
        <f t="shared" si="40"/>
        <v>0</v>
      </c>
      <c r="AF71" s="244">
        <f t="shared" si="41"/>
        <v>0</v>
      </c>
      <c r="AG71" s="278">
        <f t="shared" si="42"/>
        <v>0</v>
      </c>
      <c r="AH71" s="376">
        <f t="shared" si="25"/>
        <v>0</v>
      </c>
      <c r="AI71" s="373">
        <f t="shared" si="26"/>
        <v>0</v>
      </c>
      <c r="AJ71" s="373">
        <f t="shared" si="43"/>
        <v>0</v>
      </c>
      <c r="AK71" s="244">
        <f t="shared" si="27"/>
        <v>0</v>
      </c>
      <c r="AL71" s="244">
        <f t="shared" si="28"/>
        <v>0</v>
      </c>
      <c r="AM71" s="244">
        <f t="shared" si="29"/>
        <v>0</v>
      </c>
      <c r="AN71" s="244">
        <f t="shared" si="30"/>
        <v>0</v>
      </c>
      <c r="AO71" s="244">
        <f t="shared" si="31"/>
        <v>0</v>
      </c>
      <c r="AP71" s="244">
        <f t="shared" si="32"/>
        <v>0</v>
      </c>
      <c r="AQ71" s="244">
        <f t="shared" si="33"/>
        <v>0</v>
      </c>
      <c r="AR71" s="244">
        <f t="shared" si="34"/>
        <v>0</v>
      </c>
      <c r="AS71" s="244">
        <f t="shared" si="35"/>
        <v>0</v>
      </c>
      <c r="AT71" s="244">
        <f t="shared" si="36"/>
        <v>0</v>
      </c>
      <c r="AU71" s="244">
        <f t="shared" si="37"/>
        <v>0</v>
      </c>
      <c r="AV71" s="244">
        <f t="shared" si="38"/>
        <v>0</v>
      </c>
      <c r="AW71" s="278">
        <f t="shared" si="39"/>
        <v>0</v>
      </c>
      <c r="AX71" s="244">
        <f t="shared" si="44"/>
        <v>0</v>
      </c>
      <c r="AY71" s="278">
        <f t="shared" si="45"/>
        <v>0</v>
      </c>
      <c r="AZ71" s="373">
        <f t="shared" si="46"/>
        <v>0</v>
      </c>
      <c r="BA71" s="264"/>
      <c r="CR71" s="27"/>
      <c r="CT71" s="27"/>
    </row>
    <row r="72" spans="2:98">
      <c r="B72" s="236">
        <f t="shared" si="47"/>
        <v>16</v>
      </c>
      <c r="C72" s="237"/>
      <c r="D72" s="238"/>
      <c r="E72" s="238"/>
      <c r="F72" s="239"/>
      <c r="G72" s="240">
        <f t="shared" si="13"/>
        <v>0</v>
      </c>
      <c r="H72" s="239"/>
      <c r="I72" s="238"/>
      <c r="J72" s="238"/>
      <c r="K72" s="241"/>
      <c r="L72" s="238"/>
      <c r="M72" s="241"/>
      <c r="N72" s="241"/>
      <c r="O72" s="242"/>
      <c r="P72" s="243"/>
      <c r="Q72" s="243"/>
      <c r="R72" s="243"/>
      <c r="S72" s="243"/>
      <c r="T72" s="244">
        <f t="shared" si="14"/>
        <v>0</v>
      </c>
      <c r="U72" s="244">
        <f t="shared" si="15"/>
        <v>0</v>
      </c>
      <c r="V72" s="244">
        <f t="shared" si="16"/>
        <v>0</v>
      </c>
      <c r="W72" s="244">
        <f t="shared" si="17"/>
        <v>0</v>
      </c>
      <c r="X72" s="244">
        <f t="shared" si="18"/>
        <v>0</v>
      </c>
      <c r="Y72" s="244">
        <f t="shared" si="19"/>
        <v>0</v>
      </c>
      <c r="Z72" s="244">
        <f t="shared" si="20"/>
        <v>0</v>
      </c>
      <c r="AA72" s="244">
        <f t="shared" si="21"/>
        <v>0</v>
      </c>
      <c r="AB72" s="244">
        <f t="shared" si="22"/>
        <v>0</v>
      </c>
      <c r="AC72" s="244">
        <f t="shared" si="23"/>
        <v>0</v>
      </c>
      <c r="AD72" s="244">
        <f t="shared" si="24"/>
        <v>0</v>
      </c>
      <c r="AE72" s="244">
        <f t="shared" si="40"/>
        <v>0</v>
      </c>
      <c r="AF72" s="244">
        <f t="shared" si="41"/>
        <v>0</v>
      </c>
      <c r="AG72" s="278">
        <f t="shared" si="42"/>
        <v>0</v>
      </c>
      <c r="AH72" s="376">
        <f t="shared" si="25"/>
        <v>0</v>
      </c>
      <c r="AI72" s="373">
        <f t="shared" si="26"/>
        <v>0</v>
      </c>
      <c r="AJ72" s="373">
        <f t="shared" si="43"/>
        <v>0</v>
      </c>
      <c r="AK72" s="244">
        <f t="shared" si="27"/>
        <v>0</v>
      </c>
      <c r="AL72" s="244">
        <f t="shared" si="28"/>
        <v>0</v>
      </c>
      <c r="AM72" s="244">
        <f t="shared" si="29"/>
        <v>0</v>
      </c>
      <c r="AN72" s="244">
        <f t="shared" si="30"/>
        <v>0</v>
      </c>
      <c r="AO72" s="244">
        <f t="shared" si="31"/>
        <v>0</v>
      </c>
      <c r="AP72" s="244">
        <f t="shared" si="32"/>
        <v>0</v>
      </c>
      <c r="AQ72" s="244">
        <f t="shared" si="33"/>
        <v>0</v>
      </c>
      <c r="AR72" s="244">
        <f t="shared" si="34"/>
        <v>0</v>
      </c>
      <c r="AS72" s="244">
        <f t="shared" si="35"/>
        <v>0</v>
      </c>
      <c r="AT72" s="244">
        <f t="shared" si="36"/>
        <v>0</v>
      </c>
      <c r="AU72" s="244">
        <f t="shared" si="37"/>
        <v>0</v>
      </c>
      <c r="AV72" s="244">
        <f t="shared" si="38"/>
        <v>0</v>
      </c>
      <c r="AW72" s="278">
        <f t="shared" si="39"/>
        <v>0</v>
      </c>
      <c r="AX72" s="244">
        <f t="shared" si="44"/>
        <v>0</v>
      </c>
      <c r="AY72" s="278">
        <f t="shared" si="45"/>
        <v>0</v>
      </c>
      <c r="AZ72" s="373">
        <f t="shared" si="46"/>
        <v>0</v>
      </c>
      <c r="BA72" s="264"/>
      <c r="CR72" s="27"/>
      <c r="CT72" s="27"/>
    </row>
    <row r="73" spans="2:98">
      <c r="B73" s="236">
        <f t="shared" si="47"/>
        <v>17</v>
      </c>
      <c r="C73" s="237"/>
      <c r="D73" s="238"/>
      <c r="E73" s="238"/>
      <c r="F73" s="239"/>
      <c r="G73" s="240">
        <f t="shared" si="13"/>
        <v>0</v>
      </c>
      <c r="H73" s="239"/>
      <c r="I73" s="238"/>
      <c r="J73" s="238"/>
      <c r="K73" s="241"/>
      <c r="L73" s="238"/>
      <c r="M73" s="241"/>
      <c r="N73" s="241"/>
      <c r="O73" s="242"/>
      <c r="P73" s="243"/>
      <c r="Q73" s="243"/>
      <c r="R73" s="243"/>
      <c r="S73" s="243"/>
      <c r="T73" s="244">
        <f t="shared" si="14"/>
        <v>0</v>
      </c>
      <c r="U73" s="244">
        <f t="shared" si="15"/>
        <v>0</v>
      </c>
      <c r="V73" s="244">
        <f t="shared" si="16"/>
        <v>0</v>
      </c>
      <c r="W73" s="244">
        <f t="shared" si="17"/>
        <v>0</v>
      </c>
      <c r="X73" s="244">
        <f t="shared" si="18"/>
        <v>0</v>
      </c>
      <c r="Y73" s="244">
        <f t="shared" si="19"/>
        <v>0</v>
      </c>
      <c r="Z73" s="244">
        <f t="shared" si="20"/>
        <v>0</v>
      </c>
      <c r="AA73" s="244">
        <f t="shared" si="21"/>
        <v>0</v>
      </c>
      <c r="AB73" s="244">
        <f t="shared" si="22"/>
        <v>0</v>
      </c>
      <c r="AC73" s="244">
        <f t="shared" si="23"/>
        <v>0</v>
      </c>
      <c r="AD73" s="244">
        <f t="shared" si="24"/>
        <v>0</v>
      </c>
      <c r="AE73" s="244">
        <f t="shared" si="40"/>
        <v>0</v>
      </c>
      <c r="AF73" s="244">
        <f t="shared" si="41"/>
        <v>0</v>
      </c>
      <c r="AG73" s="278">
        <f t="shared" si="42"/>
        <v>0</v>
      </c>
      <c r="AH73" s="376">
        <f t="shared" si="25"/>
        <v>0</v>
      </c>
      <c r="AI73" s="373">
        <f t="shared" si="26"/>
        <v>0</v>
      </c>
      <c r="AJ73" s="373">
        <f t="shared" si="43"/>
        <v>0</v>
      </c>
      <c r="AK73" s="244">
        <f t="shared" si="27"/>
        <v>0</v>
      </c>
      <c r="AL73" s="244">
        <f t="shared" si="28"/>
        <v>0</v>
      </c>
      <c r="AM73" s="244">
        <f t="shared" si="29"/>
        <v>0</v>
      </c>
      <c r="AN73" s="244">
        <f t="shared" si="30"/>
        <v>0</v>
      </c>
      <c r="AO73" s="244">
        <f t="shared" si="31"/>
        <v>0</v>
      </c>
      <c r="AP73" s="244">
        <f t="shared" si="32"/>
        <v>0</v>
      </c>
      <c r="AQ73" s="244">
        <f t="shared" si="33"/>
        <v>0</v>
      </c>
      <c r="AR73" s="244">
        <f t="shared" si="34"/>
        <v>0</v>
      </c>
      <c r="AS73" s="244">
        <f t="shared" si="35"/>
        <v>0</v>
      </c>
      <c r="AT73" s="244">
        <f t="shared" si="36"/>
        <v>0</v>
      </c>
      <c r="AU73" s="244">
        <f t="shared" si="37"/>
        <v>0</v>
      </c>
      <c r="AV73" s="244">
        <f t="shared" si="38"/>
        <v>0</v>
      </c>
      <c r="AW73" s="278">
        <f t="shared" si="39"/>
        <v>0</v>
      </c>
      <c r="AX73" s="244">
        <f t="shared" si="44"/>
        <v>0</v>
      </c>
      <c r="AY73" s="278">
        <f t="shared" si="45"/>
        <v>0</v>
      </c>
      <c r="AZ73" s="373">
        <f t="shared" si="46"/>
        <v>0</v>
      </c>
      <c r="BA73" s="264"/>
      <c r="CR73" s="27"/>
      <c r="CT73" s="27"/>
    </row>
    <row r="74" spans="2:98">
      <c r="B74" s="236">
        <f t="shared" si="47"/>
        <v>18</v>
      </c>
      <c r="C74" s="237"/>
      <c r="D74" s="238"/>
      <c r="E74" s="238"/>
      <c r="F74" s="239"/>
      <c r="G74" s="240">
        <f t="shared" si="13"/>
        <v>0</v>
      </c>
      <c r="H74" s="239"/>
      <c r="I74" s="238"/>
      <c r="J74" s="238"/>
      <c r="K74" s="241"/>
      <c r="L74" s="238"/>
      <c r="M74" s="241"/>
      <c r="N74" s="241"/>
      <c r="O74" s="242"/>
      <c r="P74" s="243"/>
      <c r="Q74" s="243"/>
      <c r="R74" s="243"/>
      <c r="S74" s="243"/>
      <c r="T74" s="244">
        <f t="shared" si="14"/>
        <v>0</v>
      </c>
      <c r="U74" s="244">
        <f t="shared" si="15"/>
        <v>0</v>
      </c>
      <c r="V74" s="244">
        <f t="shared" si="16"/>
        <v>0</v>
      </c>
      <c r="W74" s="244">
        <f t="shared" si="17"/>
        <v>0</v>
      </c>
      <c r="X74" s="244">
        <f t="shared" si="18"/>
        <v>0</v>
      </c>
      <c r="Y74" s="244">
        <f t="shared" si="19"/>
        <v>0</v>
      </c>
      <c r="Z74" s="244">
        <f t="shared" si="20"/>
        <v>0</v>
      </c>
      <c r="AA74" s="244">
        <f t="shared" si="21"/>
        <v>0</v>
      </c>
      <c r="AB74" s="244">
        <f t="shared" si="22"/>
        <v>0</v>
      </c>
      <c r="AC74" s="244">
        <f t="shared" si="23"/>
        <v>0</v>
      </c>
      <c r="AD74" s="244">
        <f t="shared" si="24"/>
        <v>0</v>
      </c>
      <c r="AE74" s="244">
        <f t="shared" si="40"/>
        <v>0</v>
      </c>
      <c r="AF74" s="244">
        <f t="shared" si="41"/>
        <v>0</v>
      </c>
      <c r="AG74" s="278">
        <f t="shared" si="42"/>
        <v>0</v>
      </c>
      <c r="AH74" s="376">
        <f t="shared" si="25"/>
        <v>0</v>
      </c>
      <c r="AI74" s="373">
        <f t="shared" si="26"/>
        <v>0</v>
      </c>
      <c r="AJ74" s="373">
        <f t="shared" si="43"/>
        <v>0</v>
      </c>
      <c r="AK74" s="244">
        <f t="shared" si="27"/>
        <v>0</v>
      </c>
      <c r="AL74" s="244">
        <f t="shared" si="28"/>
        <v>0</v>
      </c>
      <c r="AM74" s="244">
        <f t="shared" si="29"/>
        <v>0</v>
      </c>
      <c r="AN74" s="244">
        <f t="shared" si="30"/>
        <v>0</v>
      </c>
      <c r="AO74" s="244">
        <f t="shared" si="31"/>
        <v>0</v>
      </c>
      <c r="AP74" s="244">
        <f t="shared" si="32"/>
        <v>0</v>
      </c>
      <c r="AQ74" s="244">
        <f t="shared" si="33"/>
        <v>0</v>
      </c>
      <c r="AR74" s="244">
        <f t="shared" si="34"/>
        <v>0</v>
      </c>
      <c r="AS74" s="244">
        <f t="shared" si="35"/>
        <v>0</v>
      </c>
      <c r="AT74" s="244">
        <f t="shared" si="36"/>
        <v>0</v>
      </c>
      <c r="AU74" s="244">
        <f t="shared" si="37"/>
        <v>0</v>
      </c>
      <c r="AV74" s="244">
        <f t="shared" si="38"/>
        <v>0</v>
      </c>
      <c r="AW74" s="278">
        <f t="shared" si="39"/>
        <v>0</v>
      </c>
      <c r="AX74" s="244">
        <f t="shared" si="44"/>
        <v>0</v>
      </c>
      <c r="AY74" s="278">
        <f t="shared" si="45"/>
        <v>0</v>
      </c>
      <c r="AZ74" s="373">
        <f t="shared" si="46"/>
        <v>0</v>
      </c>
      <c r="BA74" s="264"/>
    </row>
    <row r="75" spans="2:98">
      <c r="B75" s="236">
        <f t="shared" si="47"/>
        <v>19</v>
      </c>
      <c r="C75" s="237"/>
      <c r="D75" s="238"/>
      <c r="E75" s="238"/>
      <c r="F75" s="239"/>
      <c r="G75" s="240">
        <f t="shared" si="13"/>
        <v>0</v>
      </c>
      <c r="H75" s="239"/>
      <c r="I75" s="238"/>
      <c r="J75" s="238"/>
      <c r="K75" s="241"/>
      <c r="L75" s="238"/>
      <c r="M75" s="241"/>
      <c r="N75" s="241"/>
      <c r="O75" s="242"/>
      <c r="P75" s="243"/>
      <c r="Q75" s="243"/>
      <c r="R75" s="243"/>
      <c r="S75" s="243"/>
      <c r="T75" s="244">
        <f t="shared" si="14"/>
        <v>0</v>
      </c>
      <c r="U75" s="244">
        <f t="shared" si="15"/>
        <v>0</v>
      </c>
      <c r="V75" s="244">
        <f t="shared" si="16"/>
        <v>0</v>
      </c>
      <c r="W75" s="244">
        <f t="shared" si="17"/>
        <v>0</v>
      </c>
      <c r="X75" s="244">
        <f t="shared" si="18"/>
        <v>0</v>
      </c>
      <c r="Y75" s="244">
        <f t="shared" si="19"/>
        <v>0</v>
      </c>
      <c r="Z75" s="244">
        <f t="shared" si="20"/>
        <v>0</v>
      </c>
      <c r="AA75" s="244">
        <f t="shared" si="21"/>
        <v>0</v>
      </c>
      <c r="AB75" s="244">
        <f t="shared" si="22"/>
        <v>0</v>
      </c>
      <c r="AC75" s="244">
        <f t="shared" si="23"/>
        <v>0</v>
      </c>
      <c r="AD75" s="244">
        <f t="shared" si="24"/>
        <v>0</v>
      </c>
      <c r="AE75" s="244">
        <f t="shared" si="40"/>
        <v>0</v>
      </c>
      <c r="AF75" s="244">
        <f t="shared" si="41"/>
        <v>0</v>
      </c>
      <c r="AG75" s="278">
        <f t="shared" si="42"/>
        <v>0</v>
      </c>
      <c r="AH75" s="376">
        <f t="shared" si="25"/>
        <v>0</v>
      </c>
      <c r="AI75" s="373">
        <f t="shared" si="26"/>
        <v>0</v>
      </c>
      <c r="AJ75" s="373">
        <f t="shared" si="43"/>
        <v>0</v>
      </c>
      <c r="AK75" s="244">
        <f t="shared" si="27"/>
        <v>0</v>
      </c>
      <c r="AL75" s="244">
        <f t="shared" si="28"/>
        <v>0</v>
      </c>
      <c r="AM75" s="244">
        <f t="shared" si="29"/>
        <v>0</v>
      </c>
      <c r="AN75" s="244">
        <f t="shared" si="30"/>
        <v>0</v>
      </c>
      <c r="AO75" s="244">
        <f t="shared" si="31"/>
        <v>0</v>
      </c>
      <c r="AP75" s="244">
        <f t="shared" si="32"/>
        <v>0</v>
      </c>
      <c r="AQ75" s="244">
        <f t="shared" si="33"/>
        <v>0</v>
      </c>
      <c r="AR75" s="244">
        <f t="shared" si="34"/>
        <v>0</v>
      </c>
      <c r="AS75" s="244">
        <f t="shared" si="35"/>
        <v>0</v>
      </c>
      <c r="AT75" s="244">
        <f t="shared" si="36"/>
        <v>0</v>
      </c>
      <c r="AU75" s="244">
        <f t="shared" si="37"/>
        <v>0</v>
      </c>
      <c r="AV75" s="244">
        <f t="shared" si="38"/>
        <v>0</v>
      </c>
      <c r="AW75" s="278">
        <f t="shared" si="39"/>
        <v>0</v>
      </c>
      <c r="AX75" s="244">
        <f t="shared" si="44"/>
        <v>0</v>
      </c>
      <c r="AY75" s="278">
        <f t="shared" si="45"/>
        <v>0</v>
      </c>
      <c r="AZ75" s="373">
        <f t="shared" si="46"/>
        <v>0</v>
      </c>
      <c r="BA75" s="264"/>
    </row>
    <row r="76" spans="2:98">
      <c r="B76" s="236">
        <f t="shared" si="47"/>
        <v>20</v>
      </c>
      <c r="C76" s="237"/>
      <c r="D76" s="238"/>
      <c r="E76" s="238"/>
      <c r="F76" s="239"/>
      <c r="G76" s="240">
        <f t="shared" si="13"/>
        <v>0</v>
      </c>
      <c r="H76" s="239"/>
      <c r="I76" s="238"/>
      <c r="J76" s="238"/>
      <c r="K76" s="241"/>
      <c r="L76" s="238"/>
      <c r="M76" s="241"/>
      <c r="N76" s="241"/>
      <c r="O76" s="242"/>
      <c r="P76" s="243"/>
      <c r="Q76" s="243"/>
      <c r="R76" s="243"/>
      <c r="S76" s="243"/>
      <c r="T76" s="244">
        <f t="shared" si="14"/>
        <v>0</v>
      </c>
      <c r="U76" s="244">
        <f t="shared" si="15"/>
        <v>0</v>
      </c>
      <c r="V76" s="244">
        <f t="shared" si="16"/>
        <v>0</v>
      </c>
      <c r="W76" s="244">
        <f t="shared" si="17"/>
        <v>0</v>
      </c>
      <c r="X76" s="244">
        <f t="shared" si="18"/>
        <v>0</v>
      </c>
      <c r="Y76" s="244">
        <f t="shared" si="19"/>
        <v>0</v>
      </c>
      <c r="Z76" s="244">
        <f t="shared" si="20"/>
        <v>0</v>
      </c>
      <c r="AA76" s="244">
        <f t="shared" si="21"/>
        <v>0</v>
      </c>
      <c r="AB76" s="244">
        <f t="shared" si="22"/>
        <v>0</v>
      </c>
      <c r="AC76" s="244">
        <f t="shared" si="23"/>
        <v>0</v>
      </c>
      <c r="AD76" s="244">
        <f t="shared" si="24"/>
        <v>0</v>
      </c>
      <c r="AE76" s="244">
        <f t="shared" si="40"/>
        <v>0</v>
      </c>
      <c r="AF76" s="244">
        <f t="shared" si="41"/>
        <v>0</v>
      </c>
      <c r="AG76" s="278">
        <f t="shared" si="42"/>
        <v>0</v>
      </c>
      <c r="AH76" s="376">
        <f t="shared" si="25"/>
        <v>0</v>
      </c>
      <c r="AI76" s="373">
        <f t="shared" si="26"/>
        <v>0</v>
      </c>
      <c r="AJ76" s="373">
        <f t="shared" si="43"/>
        <v>0</v>
      </c>
      <c r="AK76" s="244">
        <f t="shared" si="27"/>
        <v>0</v>
      </c>
      <c r="AL76" s="244">
        <f t="shared" si="28"/>
        <v>0</v>
      </c>
      <c r="AM76" s="244">
        <f t="shared" si="29"/>
        <v>0</v>
      </c>
      <c r="AN76" s="244">
        <f t="shared" si="30"/>
        <v>0</v>
      </c>
      <c r="AO76" s="244">
        <f t="shared" si="31"/>
        <v>0</v>
      </c>
      <c r="AP76" s="244">
        <f t="shared" si="32"/>
        <v>0</v>
      </c>
      <c r="AQ76" s="244">
        <f t="shared" si="33"/>
        <v>0</v>
      </c>
      <c r="AR76" s="244">
        <f t="shared" si="34"/>
        <v>0</v>
      </c>
      <c r="AS76" s="244">
        <f t="shared" si="35"/>
        <v>0</v>
      </c>
      <c r="AT76" s="244">
        <f t="shared" si="36"/>
        <v>0</v>
      </c>
      <c r="AU76" s="244">
        <f t="shared" si="37"/>
        <v>0</v>
      </c>
      <c r="AV76" s="244">
        <f t="shared" si="38"/>
        <v>0</v>
      </c>
      <c r="AW76" s="278">
        <f t="shared" si="39"/>
        <v>0</v>
      </c>
      <c r="AX76" s="244">
        <f t="shared" si="44"/>
        <v>0</v>
      </c>
      <c r="AY76" s="278">
        <f t="shared" si="45"/>
        <v>0</v>
      </c>
      <c r="AZ76" s="373">
        <f t="shared" si="46"/>
        <v>0</v>
      </c>
      <c r="BA76" s="264"/>
    </row>
    <row r="77" spans="2:98">
      <c r="B77" s="236">
        <f t="shared" si="47"/>
        <v>21</v>
      </c>
      <c r="C77" s="237"/>
      <c r="D77" s="238"/>
      <c r="E77" s="238"/>
      <c r="F77" s="239"/>
      <c r="G77" s="240">
        <f t="shared" si="13"/>
        <v>0</v>
      </c>
      <c r="H77" s="239"/>
      <c r="I77" s="238"/>
      <c r="J77" s="238"/>
      <c r="K77" s="241"/>
      <c r="L77" s="238"/>
      <c r="M77" s="241"/>
      <c r="N77" s="241"/>
      <c r="O77" s="242"/>
      <c r="P77" s="243"/>
      <c r="Q77" s="243"/>
      <c r="R77" s="243"/>
      <c r="S77" s="243"/>
      <c r="T77" s="244">
        <f t="shared" si="14"/>
        <v>0</v>
      </c>
      <c r="U77" s="244">
        <f t="shared" si="15"/>
        <v>0</v>
      </c>
      <c r="V77" s="244">
        <f t="shared" si="16"/>
        <v>0</v>
      </c>
      <c r="W77" s="244">
        <f t="shared" si="17"/>
        <v>0</v>
      </c>
      <c r="X77" s="244">
        <f t="shared" si="18"/>
        <v>0</v>
      </c>
      <c r="Y77" s="244">
        <f t="shared" si="19"/>
        <v>0</v>
      </c>
      <c r="Z77" s="244">
        <f t="shared" si="20"/>
        <v>0</v>
      </c>
      <c r="AA77" s="244">
        <f t="shared" si="21"/>
        <v>0</v>
      </c>
      <c r="AB77" s="244">
        <f t="shared" si="22"/>
        <v>0</v>
      </c>
      <c r="AC77" s="244">
        <f t="shared" si="23"/>
        <v>0</v>
      </c>
      <c r="AD77" s="244">
        <f t="shared" si="24"/>
        <v>0</v>
      </c>
      <c r="AE77" s="244">
        <f t="shared" si="40"/>
        <v>0</v>
      </c>
      <c r="AF77" s="244">
        <f t="shared" si="41"/>
        <v>0</v>
      </c>
      <c r="AG77" s="278">
        <f t="shared" si="42"/>
        <v>0</v>
      </c>
      <c r="AH77" s="376">
        <f t="shared" si="25"/>
        <v>0</v>
      </c>
      <c r="AI77" s="373">
        <f t="shared" si="26"/>
        <v>0</v>
      </c>
      <c r="AJ77" s="373">
        <f t="shared" si="43"/>
        <v>0</v>
      </c>
      <c r="AK77" s="244">
        <f t="shared" si="27"/>
        <v>0</v>
      </c>
      <c r="AL77" s="244">
        <f t="shared" si="28"/>
        <v>0</v>
      </c>
      <c r="AM77" s="244">
        <f t="shared" si="29"/>
        <v>0</v>
      </c>
      <c r="AN77" s="244">
        <f t="shared" si="30"/>
        <v>0</v>
      </c>
      <c r="AO77" s="244">
        <f t="shared" si="31"/>
        <v>0</v>
      </c>
      <c r="AP77" s="244">
        <f t="shared" si="32"/>
        <v>0</v>
      </c>
      <c r="AQ77" s="244">
        <f t="shared" si="33"/>
        <v>0</v>
      </c>
      <c r="AR77" s="244">
        <f t="shared" si="34"/>
        <v>0</v>
      </c>
      <c r="AS77" s="244">
        <f t="shared" si="35"/>
        <v>0</v>
      </c>
      <c r="AT77" s="244">
        <f t="shared" si="36"/>
        <v>0</v>
      </c>
      <c r="AU77" s="244">
        <f t="shared" si="37"/>
        <v>0</v>
      </c>
      <c r="AV77" s="244">
        <f t="shared" si="38"/>
        <v>0</v>
      </c>
      <c r="AW77" s="278">
        <f t="shared" si="39"/>
        <v>0</v>
      </c>
      <c r="AX77" s="244">
        <f t="shared" si="44"/>
        <v>0</v>
      </c>
      <c r="AY77" s="278">
        <f t="shared" si="45"/>
        <v>0</v>
      </c>
      <c r="AZ77" s="373">
        <f t="shared" si="46"/>
        <v>0</v>
      </c>
      <c r="BA77" s="264"/>
    </row>
    <row r="78" spans="2:98">
      <c r="B78" s="236">
        <f t="shared" si="47"/>
        <v>22</v>
      </c>
      <c r="C78" s="237"/>
      <c r="D78" s="238"/>
      <c r="E78" s="238"/>
      <c r="F78" s="239"/>
      <c r="G78" s="240">
        <f t="shared" si="13"/>
        <v>0</v>
      </c>
      <c r="H78" s="239"/>
      <c r="I78" s="238"/>
      <c r="J78" s="238"/>
      <c r="K78" s="241"/>
      <c r="L78" s="238"/>
      <c r="M78" s="241"/>
      <c r="N78" s="241"/>
      <c r="O78" s="242"/>
      <c r="P78" s="243"/>
      <c r="Q78" s="243"/>
      <c r="R78" s="243"/>
      <c r="S78" s="243"/>
      <c r="T78" s="244">
        <f t="shared" si="14"/>
        <v>0</v>
      </c>
      <c r="U78" s="244">
        <f t="shared" si="15"/>
        <v>0</v>
      </c>
      <c r="V78" s="244">
        <f t="shared" si="16"/>
        <v>0</v>
      </c>
      <c r="W78" s="244">
        <f t="shared" si="17"/>
        <v>0</v>
      </c>
      <c r="X78" s="244">
        <f t="shared" si="18"/>
        <v>0</v>
      </c>
      <c r="Y78" s="244">
        <f t="shared" si="19"/>
        <v>0</v>
      </c>
      <c r="Z78" s="244">
        <f t="shared" si="20"/>
        <v>0</v>
      </c>
      <c r="AA78" s="244">
        <f t="shared" si="21"/>
        <v>0</v>
      </c>
      <c r="AB78" s="244">
        <f t="shared" si="22"/>
        <v>0</v>
      </c>
      <c r="AC78" s="244">
        <f t="shared" si="23"/>
        <v>0</v>
      </c>
      <c r="AD78" s="244">
        <f t="shared" si="24"/>
        <v>0</v>
      </c>
      <c r="AE78" s="244">
        <f t="shared" si="40"/>
        <v>0</v>
      </c>
      <c r="AF78" s="244">
        <f t="shared" si="41"/>
        <v>0</v>
      </c>
      <c r="AG78" s="278">
        <f t="shared" si="42"/>
        <v>0</v>
      </c>
      <c r="AH78" s="376">
        <f t="shared" si="25"/>
        <v>0</v>
      </c>
      <c r="AI78" s="373">
        <f t="shared" si="26"/>
        <v>0</v>
      </c>
      <c r="AJ78" s="373">
        <f t="shared" si="43"/>
        <v>0</v>
      </c>
      <c r="AK78" s="244">
        <f t="shared" si="27"/>
        <v>0</v>
      </c>
      <c r="AL78" s="244">
        <f t="shared" si="28"/>
        <v>0</v>
      </c>
      <c r="AM78" s="244">
        <f t="shared" si="29"/>
        <v>0</v>
      </c>
      <c r="AN78" s="244">
        <f t="shared" si="30"/>
        <v>0</v>
      </c>
      <c r="AO78" s="244">
        <f t="shared" si="31"/>
        <v>0</v>
      </c>
      <c r="AP78" s="244">
        <f t="shared" si="32"/>
        <v>0</v>
      </c>
      <c r="AQ78" s="244">
        <f t="shared" si="33"/>
        <v>0</v>
      </c>
      <c r="AR78" s="244">
        <f t="shared" si="34"/>
        <v>0</v>
      </c>
      <c r="AS78" s="244">
        <f t="shared" si="35"/>
        <v>0</v>
      </c>
      <c r="AT78" s="244">
        <f t="shared" si="36"/>
        <v>0</v>
      </c>
      <c r="AU78" s="244">
        <f t="shared" si="37"/>
        <v>0</v>
      </c>
      <c r="AV78" s="244">
        <f t="shared" si="38"/>
        <v>0</v>
      </c>
      <c r="AW78" s="278">
        <f t="shared" si="39"/>
        <v>0</v>
      </c>
      <c r="AX78" s="244">
        <f t="shared" si="44"/>
        <v>0</v>
      </c>
      <c r="AY78" s="278">
        <f t="shared" si="45"/>
        <v>0</v>
      </c>
      <c r="AZ78" s="373">
        <f t="shared" si="46"/>
        <v>0</v>
      </c>
      <c r="BA78" s="264"/>
    </row>
    <row r="79" spans="2:98">
      <c r="B79" s="236">
        <f t="shared" si="47"/>
        <v>23</v>
      </c>
      <c r="C79" s="237"/>
      <c r="D79" s="238"/>
      <c r="E79" s="238"/>
      <c r="F79" s="239"/>
      <c r="G79" s="240">
        <f t="shared" si="13"/>
        <v>0</v>
      </c>
      <c r="H79" s="239"/>
      <c r="I79" s="238"/>
      <c r="J79" s="238"/>
      <c r="K79" s="241"/>
      <c r="L79" s="238"/>
      <c r="M79" s="241"/>
      <c r="N79" s="241"/>
      <c r="O79" s="242"/>
      <c r="P79" s="243"/>
      <c r="Q79" s="243"/>
      <c r="R79" s="243"/>
      <c r="S79" s="243"/>
      <c r="T79" s="244">
        <f t="shared" si="14"/>
        <v>0</v>
      </c>
      <c r="U79" s="244">
        <f t="shared" si="15"/>
        <v>0</v>
      </c>
      <c r="V79" s="244">
        <f t="shared" si="16"/>
        <v>0</v>
      </c>
      <c r="W79" s="244">
        <f t="shared" si="17"/>
        <v>0</v>
      </c>
      <c r="X79" s="244">
        <f t="shared" si="18"/>
        <v>0</v>
      </c>
      <c r="Y79" s="244">
        <f t="shared" si="19"/>
        <v>0</v>
      </c>
      <c r="Z79" s="244">
        <f t="shared" si="20"/>
        <v>0</v>
      </c>
      <c r="AA79" s="244">
        <f t="shared" si="21"/>
        <v>0</v>
      </c>
      <c r="AB79" s="244">
        <f t="shared" si="22"/>
        <v>0</v>
      </c>
      <c r="AC79" s="244">
        <f t="shared" si="23"/>
        <v>0</v>
      </c>
      <c r="AD79" s="244">
        <f t="shared" si="24"/>
        <v>0</v>
      </c>
      <c r="AE79" s="244">
        <f t="shared" si="40"/>
        <v>0</v>
      </c>
      <c r="AF79" s="244">
        <f t="shared" si="41"/>
        <v>0</v>
      </c>
      <c r="AG79" s="278">
        <f t="shared" si="42"/>
        <v>0</v>
      </c>
      <c r="AH79" s="376">
        <f t="shared" si="25"/>
        <v>0</v>
      </c>
      <c r="AI79" s="373">
        <f t="shared" si="26"/>
        <v>0</v>
      </c>
      <c r="AJ79" s="373">
        <f t="shared" si="43"/>
        <v>0</v>
      </c>
      <c r="AK79" s="244">
        <f t="shared" si="27"/>
        <v>0</v>
      </c>
      <c r="AL79" s="244">
        <f t="shared" si="28"/>
        <v>0</v>
      </c>
      <c r="AM79" s="244">
        <f t="shared" si="29"/>
        <v>0</v>
      </c>
      <c r="AN79" s="244">
        <f t="shared" si="30"/>
        <v>0</v>
      </c>
      <c r="AO79" s="244">
        <f t="shared" si="31"/>
        <v>0</v>
      </c>
      <c r="AP79" s="244">
        <f t="shared" si="32"/>
        <v>0</v>
      </c>
      <c r="AQ79" s="244">
        <f t="shared" si="33"/>
        <v>0</v>
      </c>
      <c r="AR79" s="244">
        <f t="shared" si="34"/>
        <v>0</v>
      </c>
      <c r="AS79" s="244">
        <f t="shared" si="35"/>
        <v>0</v>
      </c>
      <c r="AT79" s="244">
        <f t="shared" si="36"/>
        <v>0</v>
      </c>
      <c r="AU79" s="244">
        <f t="shared" si="37"/>
        <v>0</v>
      </c>
      <c r="AV79" s="244">
        <f t="shared" si="38"/>
        <v>0</v>
      </c>
      <c r="AW79" s="278">
        <f t="shared" si="39"/>
        <v>0</v>
      </c>
      <c r="AX79" s="244">
        <f t="shared" si="44"/>
        <v>0</v>
      </c>
      <c r="AY79" s="278">
        <f t="shared" si="45"/>
        <v>0</v>
      </c>
      <c r="AZ79" s="373">
        <f t="shared" si="46"/>
        <v>0</v>
      </c>
      <c r="BA79" s="264"/>
    </row>
    <row r="80" spans="2:98">
      <c r="B80" s="236">
        <f t="shared" si="47"/>
        <v>24</v>
      </c>
      <c r="C80" s="237"/>
      <c r="D80" s="238"/>
      <c r="E80" s="238"/>
      <c r="F80" s="239"/>
      <c r="G80" s="240">
        <f t="shared" si="13"/>
        <v>0</v>
      </c>
      <c r="H80" s="239"/>
      <c r="I80" s="238"/>
      <c r="J80" s="238"/>
      <c r="K80" s="241"/>
      <c r="L80" s="238"/>
      <c r="M80" s="241"/>
      <c r="N80" s="241"/>
      <c r="O80" s="242"/>
      <c r="P80" s="243"/>
      <c r="Q80" s="243"/>
      <c r="R80" s="243"/>
      <c r="S80" s="243"/>
      <c r="T80" s="244">
        <f t="shared" si="14"/>
        <v>0</v>
      </c>
      <c r="U80" s="244">
        <f t="shared" si="15"/>
        <v>0</v>
      </c>
      <c r="V80" s="244">
        <f t="shared" si="16"/>
        <v>0</v>
      </c>
      <c r="W80" s="244">
        <f t="shared" si="17"/>
        <v>0</v>
      </c>
      <c r="X80" s="244">
        <f t="shared" si="18"/>
        <v>0</v>
      </c>
      <c r="Y80" s="244">
        <f t="shared" si="19"/>
        <v>0</v>
      </c>
      <c r="Z80" s="244">
        <f t="shared" si="20"/>
        <v>0</v>
      </c>
      <c r="AA80" s="244">
        <f t="shared" si="21"/>
        <v>0</v>
      </c>
      <c r="AB80" s="244">
        <f t="shared" si="22"/>
        <v>0</v>
      </c>
      <c r="AC80" s="244">
        <f t="shared" si="23"/>
        <v>0</v>
      </c>
      <c r="AD80" s="244">
        <f t="shared" si="24"/>
        <v>0</v>
      </c>
      <c r="AE80" s="244">
        <f t="shared" si="40"/>
        <v>0</v>
      </c>
      <c r="AF80" s="244">
        <f t="shared" si="41"/>
        <v>0</v>
      </c>
      <c r="AG80" s="278">
        <f t="shared" si="42"/>
        <v>0</v>
      </c>
      <c r="AH80" s="376">
        <f t="shared" si="25"/>
        <v>0</v>
      </c>
      <c r="AI80" s="373">
        <f t="shared" si="26"/>
        <v>0</v>
      </c>
      <c r="AJ80" s="373">
        <f t="shared" si="43"/>
        <v>0</v>
      </c>
      <c r="AK80" s="244">
        <f t="shared" si="27"/>
        <v>0</v>
      </c>
      <c r="AL80" s="244">
        <f t="shared" si="28"/>
        <v>0</v>
      </c>
      <c r="AM80" s="244">
        <f t="shared" si="29"/>
        <v>0</v>
      </c>
      <c r="AN80" s="244">
        <f t="shared" si="30"/>
        <v>0</v>
      </c>
      <c r="AO80" s="244">
        <f t="shared" si="31"/>
        <v>0</v>
      </c>
      <c r="AP80" s="244">
        <f t="shared" si="32"/>
        <v>0</v>
      </c>
      <c r="AQ80" s="244">
        <f t="shared" si="33"/>
        <v>0</v>
      </c>
      <c r="AR80" s="244">
        <f t="shared" si="34"/>
        <v>0</v>
      </c>
      <c r="AS80" s="244">
        <f t="shared" si="35"/>
        <v>0</v>
      </c>
      <c r="AT80" s="244">
        <f t="shared" si="36"/>
        <v>0</v>
      </c>
      <c r="AU80" s="244">
        <f t="shared" si="37"/>
        <v>0</v>
      </c>
      <c r="AV80" s="244">
        <f t="shared" si="38"/>
        <v>0</v>
      </c>
      <c r="AW80" s="278">
        <f t="shared" si="39"/>
        <v>0</v>
      </c>
      <c r="AX80" s="244">
        <f t="shared" si="44"/>
        <v>0</v>
      </c>
      <c r="AY80" s="278">
        <f t="shared" si="45"/>
        <v>0</v>
      </c>
      <c r="AZ80" s="373">
        <f t="shared" si="46"/>
        <v>0</v>
      </c>
      <c r="BA80" s="264"/>
    </row>
    <row r="81" spans="1:117">
      <c r="B81" s="245">
        <f t="shared" si="47"/>
        <v>25</v>
      </c>
      <c r="C81" s="246"/>
      <c r="D81" s="247"/>
      <c r="E81" s="247"/>
      <c r="F81" s="248"/>
      <c r="G81" s="249">
        <f t="shared" si="13"/>
        <v>0</v>
      </c>
      <c r="H81" s="248"/>
      <c r="I81" s="247"/>
      <c r="J81" s="247"/>
      <c r="K81" s="250"/>
      <c r="L81" s="247"/>
      <c r="M81" s="250"/>
      <c r="N81" s="250"/>
      <c r="O81" s="251"/>
      <c r="P81" s="252"/>
      <c r="Q81" s="252"/>
      <c r="R81" s="252"/>
      <c r="S81" s="252"/>
      <c r="T81" s="253">
        <f t="shared" si="14"/>
        <v>0</v>
      </c>
      <c r="U81" s="253">
        <f t="shared" si="15"/>
        <v>0</v>
      </c>
      <c r="V81" s="253">
        <f t="shared" si="16"/>
        <v>0</v>
      </c>
      <c r="W81" s="253">
        <f t="shared" si="17"/>
        <v>0</v>
      </c>
      <c r="X81" s="253">
        <f t="shared" si="18"/>
        <v>0</v>
      </c>
      <c r="Y81" s="253">
        <f t="shared" si="19"/>
        <v>0</v>
      </c>
      <c r="Z81" s="253">
        <f t="shared" si="20"/>
        <v>0</v>
      </c>
      <c r="AA81" s="253">
        <f t="shared" si="21"/>
        <v>0</v>
      </c>
      <c r="AB81" s="253">
        <f t="shared" si="22"/>
        <v>0</v>
      </c>
      <c r="AC81" s="253">
        <f t="shared" si="23"/>
        <v>0</v>
      </c>
      <c r="AD81" s="253">
        <f t="shared" si="24"/>
        <v>0</v>
      </c>
      <c r="AE81" s="253">
        <f t="shared" si="40"/>
        <v>0</v>
      </c>
      <c r="AF81" s="253">
        <f t="shared" si="41"/>
        <v>0</v>
      </c>
      <c r="AG81" s="279">
        <f t="shared" si="42"/>
        <v>0</v>
      </c>
      <c r="AH81" s="377">
        <f t="shared" si="25"/>
        <v>0</v>
      </c>
      <c r="AI81" s="374">
        <f t="shared" si="26"/>
        <v>0</v>
      </c>
      <c r="AJ81" s="374">
        <f t="shared" si="43"/>
        <v>0</v>
      </c>
      <c r="AK81" s="253">
        <f t="shared" si="27"/>
        <v>0</v>
      </c>
      <c r="AL81" s="253">
        <f t="shared" si="28"/>
        <v>0</v>
      </c>
      <c r="AM81" s="253">
        <f t="shared" si="29"/>
        <v>0</v>
      </c>
      <c r="AN81" s="253">
        <f t="shared" si="30"/>
        <v>0</v>
      </c>
      <c r="AO81" s="253">
        <f t="shared" si="31"/>
        <v>0</v>
      </c>
      <c r="AP81" s="253">
        <f t="shared" si="32"/>
        <v>0</v>
      </c>
      <c r="AQ81" s="253">
        <f t="shared" si="33"/>
        <v>0</v>
      </c>
      <c r="AR81" s="253">
        <f t="shared" si="34"/>
        <v>0</v>
      </c>
      <c r="AS81" s="253">
        <f t="shared" si="35"/>
        <v>0</v>
      </c>
      <c r="AT81" s="253">
        <f t="shared" si="36"/>
        <v>0</v>
      </c>
      <c r="AU81" s="253">
        <f t="shared" si="37"/>
        <v>0</v>
      </c>
      <c r="AV81" s="253">
        <f t="shared" si="38"/>
        <v>0</v>
      </c>
      <c r="AW81" s="279">
        <f t="shared" si="39"/>
        <v>0</v>
      </c>
      <c r="AX81" s="253">
        <f t="shared" si="44"/>
        <v>0</v>
      </c>
      <c r="AY81" s="279">
        <f t="shared" si="45"/>
        <v>0</v>
      </c>
      <c r="AZ81" s="374">
        <f t="shared" si="46"/>
        <v>0</v>
      </c>
      <c r="BA81" s="269"/>
    </row>
    <row r="82" spans="1:117">
      <c r="B82" s="75" t="s">
        <v>225</v>
      </c>
      <c r="C82" s="60"/>
      <c r="D82" s="75">
        <f>SUM(D57:D81)</f>
        <v>0</v>
      </c>
      <c r="E82" s="60"/>
      <c r="F82" s="60"/>
      <c r="G82" s="29">
        <f>SUM(G57:G81)</f>
        <v>0</v>
      </c>
      <c r="H82" s="29">
        <f>SUM(H57:H81)</f>
        <v>0</v>
      </c>
      <c r="I82" s="60"/>
      <c r="J82" s="60"/>
      <c r="K82" s="28"/>
      <c r="L82" s="60"/>
      <c r="M82" s="28"/>
      <c r="N82" s="28"/>
      <c r="O82" s="61"/>
      <c r="P82" s="62"/>
      <c r="Q82" s="62"/>
      <c r="R82" s="62"/>
      <c r="S82" s="62"/>
      <c r="T82" s="29">
        <f>SUM(T57:T81)</f>
        <v>0</v>
      </c>
      <c r="U82" s="29">
        <f t="shared" ref="U82:AG82" si="48">SUM(U57:U81)</f>
        <v>0</v>
      </c>
      <c r="V82" s="29">
        <f t="shared" si="48"/>
        <v>0</v>
      </c>
      <c r="W82" s="29">
        <f t="shared" si="48"/>
        <v>0</v>
      </c>
      <c r="X82" s="29">
        <f t="shared" si="48"/>
        <v>0</v>
      </c>
      <c r="Y82" s="29">
        <f t="shared" si="48"/>
        <v>0</v>
      </c>
      <c r="Z82" s="29">
        <f t="shared" si="48"/>
        <v>0</v>
      </c>
      <c r="AA82" s="29">
        <f t="shared" si="48"/>
        <v>0</v>
      </c>
      <c r="AB82" s="29">
        <f t="shared" si="48"/>
        <v>0</v>
      </c>
      <c r="AC82" s="29">
        <f t="shared" si="48"/>
        <v>0</v>
      </c>
      <c r="AD82" s="29">
        <f t="shared" si="48"/>
        <v>0</v>
      </c>
      <c r="AE82" s="29">
        <f t="shared" si="48"/>
        <v>0</v>
      </c>
      <c r="AF82" s="29">
        <f t="shared" si="48"/>
        <v>0</v>
      </c>
      <c r="AG82" s="256">
        <f t="shared" si="48"/>
        <v>0</v>
      </c>
      <c r="AH82" s="290">
        <f t="shared" ref="AH82:AI82" si="49">SUM(AH57:AH81)</f>
        <v>0</v>
      </c>
      <c r="AI82" s="256">
        <f t="shared" si="49"/>
        <v>0</v>
      </c>
      <c r="AJ82" s="256">
        <f t="shared" ref="AJ82" si="50">SUM(AJ57:AJ81)</f>
        <v>0</v>
      </c>
      <c r="AK82" s="29">
        <f>SUM(AK57:AK81)</f>
        <v>0</v>
      </c>
      <c r="AL82" s="29">
        <f t="shared" ref="AL82" si="51">SUM(AL57:AL81)</f>
        <v>0</v>
      </c>
      <c r="AM82" s="29">
        <f t="shared" ref="AM82" si="52">SUM(AM57:AM81)</f>
        <v>0</v>
      </c>
      <c r="AN82" s="29">
        <f t="shared" ref="AN82" si="53">SUM(AN57:AN81)</f>
        <v>0</v>
      </c>
      <c r="AO82" s="29">
        <f>SUM(AO57:AO81)</f>
        <v>0</v>
      </c>
      <c r="AP82" s="29">
        <f t="shared" ref="AP82" si="54">SUM(AP57:AP81)</f>
        <v>0</v>
      </c>
      <c r="AQ82" s="29">
        <f t="shared" ref="AQ82" si="55">SUM(AQ57:AQ81)</f>
        <v>0</v>
      </c>
      <c r="AR82" s="29">
        <f t="shared" ref="AR82" si="56">SUM(AR57:AR81)</f>
        <v>0</v>
      </c>
      <c r="AS82" s="29">
        <f t="shared" ref="AS82" si="57">SUM(AS57:AS81)</f>
        <v>0</v>
      </c>
      <c r="AT82" s="29">
        <f t="shared" ref="AT82" si="58">SUM(AT57:AT81)</f>
        <v>0</v>
      </c>
      <c r="AU82" s="29">
        <f t="shared" ref="AU82:AW82" si="59">SUM(AU57:AU81)</f>
        <v>0</v>
      </c>
      <c r="AV82" s="29">
        <f t="shared" si="59"/>
        <v>0</v>
      </c>
      <c r="AW82" s="256">
        <f t="shared" si="59"/>
        <v>0</v>
      </c>
      <c r="AX82" s="29">
        <f t="shared" ref="AX82:AY82" si="60">SUM(AX57:AX81)</f>
        <v>0</v>
      </c>
      <c r="AY82" s="256">
        <f t="shared" si="60"/>
        <v>0</v>
      </c>
      <c r="AZ82" s="256">
        <f t="shared" ref="AZ82" si="61">SUM(AZ57:AZ81)</f>
        <v>0</v>
      </c>
      <c r="BA82" s="115"/>
    </row>
    <row r="83" spans="1:117">
      <c r="E83" s="293" t="s">
        <v>380</v>
      </c>
      <c r="F83" s="19"/>
      <c r="G83" s="19"/>
      <c r="H83" s="19"/>
      <c r="I83" s="293" t="s">
        <v>381</v>
      </c>
      <c r="J83" s="19"/>
      <c r="K83" s="292"/>
      <c r="L83" s="19"/>
      <c r="M83" s="292"/>
      <c r="N83" s="292"/>
      <c r="O83" s="292"/>
      <c r="P83" s="292"/>
      <c r="Q83" s="292"/>
      <c r="U83" s="6"/>
      <c r="V83" s="6"/>
      <c r="W83" s="6"/>
      <c r="X83" s="5"/>
      <c r="Y83" s="4"/>
      <c r="Z83" s="4"/>
      <c r="AA83" s="4"/>
    </row>
    <row r="84" spans="1:117">
      <c r="B84" s="222" t="s">
        <v>452</v>
      </c>
      <c r="C84" s="223"/>
      <c r="D84" s="223"/>
      <c r="E84" s="223"/>
      <c r="F84" s="222" t="s">
        <v>383</v>
      </c>
      <c r="G84" s="223"/>
      <c r="H84" s="222" t="s">
        <v>384</v>
      </c>
      <c r="I84" s="223"/>
      <c r="J84" s="223"/>
      <c r="K84" s="223"/>
      <c r="L84" s="223"/>
      <c r="M84" s="223"/>
      <c r="N84" s="223"/>
      <c r="O84" s="224"/>
      <c r="P84" s="223"/>
      <c r="Q84" s="224"/>
      <c r="R84" s="224"/>
      <c r="S84" s="225"/>
      <c r="T84" s="226"/>
      <c r="U84" s="226"/>
      <c r="V84" s="226" t="s">
        <v>385</v>
      </c>
      <c r="W84" s="280" t="s">
        <v>453</v>
      </c>
      <c r="X84" s="223"/>
      <c r="Y84" s="223"/>
      <c r="Z84" s="224"/>
      <c r="AA84" s="223"/>
      <c r="AB84" s="224"/>
      <c r="AC84" s="224"/>
      <c r="AD84" s="224"/>
      <c r="AE84" s="224"/>
      <c r="AF84" s="224"/>
      <c r="AG84" s="224"/>
      <c r="AH84" s="225"/>
      <c r="AI84" s="226"/>
      <c r="AJ84" s="226"/>
      <c r="AK84" s="226"/>
      <c r="AL84" s="226"/>
      <c r="AM84" s="220" t="s">
        <v>387</v>
      </c>
      <c r="AN84" s="221">
        <v>0.03</v>
      </c>
      <c r="AO84" s="275"/>
      <c r="AP84" s="383" t="s">
        <v>454</v>
      </c>
      <c r="AQ84" s="280" t="s">
        <v>455</v>
      </c>
      <c r="AR84" s="223"/>
      <c r="AS84" s="223"/>
      <c r="AT84" s="223"/>
      <c r="AU84" s="223"/>
      <c r="AV84" s="223"/>
      <c r="AW84" s="223"/>
      <c r="AX84" s="223"/>
      <c r="AY84" s="223"/>
      <c r="AZ84" s="223"/>
      <c r="BA84" s="223"/>
      <c r="BB84" s="223"/>
      <c r="BC84" s="223"/>
      <c r="BD84" s="283"/>
      <c r="BE84" s="388" t="s">
        <v>456</v>
      </c>
      <c r="BF84" s="283"/>
      <c r="BH84" s="284" t="s">
        <v>14</v>
      </c>
      <c r="BI84" s="285"/>
      <c r="BJ84" s="285"/>
      <c r="BK84" s="285"/>
      <c r="BL84" s="285"/>
      <c r="BM84" s="285"/>
      <c r="BN84" s="285"/>
      <c r="BO84" s="285"/>
      <c r="BP84" s="285"/>
      <c r="BQ84" s="285"/>
      <c r="BR84" s="285"/>
      <c r="BS84" s="285"/>
      <c r="BT84" s="285"/>
      <c r="BU84" s="285"/>
      <c r="BV84" s="285"/>
      <c r="BW84" s="285"/>
      <c r="BX84" s="285"/>
      <c r="BY84" s="285"/>
      <c r="BZ84" s="285"/>
      <c r="CA84" s="285"/>
      <c r="CB84" s="285"/>
      <c r="CC84" s="285"/>
      <c r="CD84" s="285"/>
      <c r="CE84" s="284" t="s">
        <v>15</v>
      </c>
      <c r="CF84" s="285"/>
      <c r="CG84" s="285"/>
      <c r="CH84" s="285"/>
      <c r="CI84" s="285"/>
      <c r="CJ84" s="285"/>
      <c r="CK84" s="285"/>
      <c r="CL84" s="285"/>
      <c r="CM84" s="285"/>
      <c r="CN84" s="285"/>
      <c r="CO84" s="285"/>
      <c r="CP84" s="285"/>
      <c r="CQ84" s="285"/>
      <c r="CR84" s="285"/>
      <c r="CS84" s="285"/>
      <c r="CT84" s="285"/>
      <c r="CU84" s="285"/>
      <c r="CV84" s="285"/>
      <c r="CW84" s="285"/>
      <c r="CX84" s="285"/>
      <c r="CY84" s="285"/>
      <c r="CZ84" s="285"/>
      <c r="DA84" s="285"/>
      <c r="DB84" s="285"/>
      <c r="DC84" s="285"/>
      <c r="DD84" s="285"/>
      <c r="DE84" s="285"/>
      <c r="DF84" s="285"/>
      <c r="DG84" s="285"/>
      <c r="DH84" s="285"/>
      <c r="DI84" s="285"/>
      <c r="DJ84" s="285"/>
      <c r="DK84" s="286"/>
      <c r="DL84" s="379" t="s">
        <v>392</v>
      </c>
      <c r="DM84" s="285"/>
    </row>
    <row r="85" spans="1:117">
      <c r="B85" s="75" t="s">
        <v>31</v>
      </c>
      <c r="C85" s="75" t="s">
        <v>369</v>
      </c>
      <c r="D85" s="75" t="s">
        <v>370</v>
      </c>
      <c r="E85" s="75" t="s">
        <v>393</v>
      </c>
      <c r="F85" s="75" t="s">
        <v>394</v>
      </c>
      <c r="G85" s="75" t="s">
        <v>395</v>
      </c>
      <c r="H85" s="75" t="s">
        <v>396</v>
      </c>
      <c r="I85" s="75" t="s">
        <v>457</v>
      </c>
      <c r="J85" s="75" t="s">
        <v>458</v>
      </c>
      <c r="K85" s="75" t="s">
        <v>459</v>
      </c>
      <c r="L85" s="75" t="s">
        <v>460</v>
      </c>
      <c r="M85" s="75" t="s">
        <v>461</v>
      </c>
      <c r="N85" s="75" t="s">
        <v>462</v>
      </c>
      <c r="O85" s="75" t="s">
        <v>463</v>
      </c>
      <c r="P85" s="75" t="s">
        <v>464</v>
      </c>
      <c r="Q85" s="28" t="s">
        <v>465</v>
      </c>
      <c r="R85" s="28" t="s">
        <v>466</v>
      </c>
      <c r="S85" s="28" t="s">
        <v>403</v>
      </c>
      <c r="T85" s="28" t="s">
        <v>404</v>
      </c>
      <c r="U85" s="28" t="s">
        <v>405</v>
      </c>
      <c r="V85" s="28" t="s">
        <v>467</v>
      </c>
      <c r="W85" s="75" t="s">
        <v>468</v>
      </c>
      <c r="X85" s="75" t="s">
        <v>469</v>
      </c>
      <c r="Y85" s="75" t="s">
        <v>470</v>
      </c>
      <c r="Z85" s="75" t="s">
        <v>471</v>
      </c>
      <c r="AA85" s="75" t="s">
        <v>472</v>
      </c>
      <c r="AB85" s="75" t="s">
        <v>473</v>
      </c>
      <c r="AC85" s="75" t="s">
        <v>474</v>
      </c>
      <c r="AD85" s="75" t="s">
        <v>475</v>
      </c>
      <c r="AE85" s="75" t="s">
        <v>476</v>
      </c>
      <c r="AF85" s="28" t="s">
        <v>412</v>
      </c>
      <c r="AG85" s="28" t="s">
        <v>413</v>
      </c>
      <c r="AH85" s="28" t="s">
        <v>414</v>
      </c>
      <c r="AI85" s="28" t="s">
        <v>415</v>
      </c>
      <c r="AJ85" s="28" t="s">
        <v>416</v>
      </c>
      <c r="AK85" s="28" t="s">
        <v>417</v>
      </c>
      <c r="AL85" s="28" t="s">
        <v>418</v>
      </c>
      <c r="AM85" s="28" t="s">
        <v>419</v>
      </c>
      <c r="AN85" s="28" t="s">
        <v>420</v>
      </c>
      <c r="AO85" s="276" t="s">
        <v>421</v>
      </c>
      <c r="AP85" s="384" t="s">
        <v>477</v>
      </c>
      <c r="AQ85" s="75" t="s">
        <v>424</v>
      </c>
      <c r="AR85" s="75" t="s">
        <v>468</v>
      </c>
      <c r="AS85" s="75" t="s">
        <v>469</v>
      </c>
      <c r="AT85" s="28" t="s">
        <v>478</v>
      </c>
      <c r="AU85" s="75" t="s">
        <v>475</v>
      </c>
      <c r="AV85" s="75" t="s">
        <v>476</v>
      </c>
      <c r="AW85" s="28" t="s">
        <v>412</v>
      </c>
      <c r="AX85" s="28" t="s">
        <v>413</v>
      </c>
      <c r="AY85" s="28" t="s">
        <v>414</v>
      </c>
      <c r="AZ85" s="28" t="s">
        <v>415</v>
      </c>
      <c r="BA85" s="28" t="s">
        <v>416</v>
      </c>
      <c r="BB85" s="28" t="s">
        <v>417</v>
      </c>
      <c r="BC85" s="28" t="s">
        <v>425</v>
      </c>
      <c r="BD85" s="276" t="s">
        <v>426</v>
      </c>
      <c r="BE85" s="384" t="s">
        <v>477</v>
      </c>
      <c r="BF85" s="276" t="s">
        <v>39</v>
      </c>
      <c r="BI85" s="216" t="s">
        <v>479</v>
      </c>
      <c r="BJ85" s="255"/>
      <c r="BK85" s="216" t="s">
        <v>480</v>
      </c>
      <c r="BL85" s="255"/>
      <c r="BM85" s="216" t="s">
        <v>470</v>
      </c>
      <c r="BN85" s="255"/>
      <c r="BO85" s="216" t="s">
        <v>481</v>
      </c>
      <c r="BP85" s="255"/>
      <c r="BQ85" s="216" t="s">
        <v>472</v>
      </c>
      <c r="BR85" s="255"/>
      <c r="BS85" s="216" t="s">
        <v>482</v>
      </c>
      <c r="BT85" s="255"/>
      <c r="BU85" s="289" t="s">
        <v>483</v>
      </c>
      <c r="BV85" s="64"/>
      <c r="BW85" s="255"/>
      <c r="BX85" s="216" t="s">
        <v>484</v>
      </c>
      <c r="BY85" s="255"/>
      <c r="CC85" s="289" t="s">
        <v>485</v>
      </c>
      <c r="CD85" s="255"/>
      <c r="CF85" s="216" t="s">
        <v>433</v>
      </c>
      <c r="CG85" s="255"/>
      <c r="CH85" s="216" t="s">
        <v>479</v>
      </c>
      <c r="CI85" s="255"/>
      <c r="CJ85" s="216" t="s">
        <v>480</v>
      </c>
      <c r="CK85" s="255"/>
      <c r="CL85" s="216" t="s">
        <v>486</v>
      </c>
      <c r="CM85" s="255"/>
      <c r="CN85" s="216" t="s">
        <v>487</v>
      </c>
      <c r="CO85" s="255"/>
      <c r="CP85" s="216" t="s">
        <v>488</v>
      </c>
      <c r="CQ85" s="255"/>
      <c r="CR85" s="216" t="s">
        <v>489</v>
      </c>
      <c r="CS85" s="255"/>
      <c r="CT85" s="216" t="s">
        <v>490</v>
      </c>
      <c r="CU85" s="255"/>
      <c r="CV85" s="216" t="s">
        <v>491</v>
      </c>
      <c r="CW85" s="255"/>
      <c r="CX85" s="216" t="s">
        <v>492</v>
      </c>
      <c r="CY85" s="255"/>
      <c r="CZ85" s="216" t="s">
        <v>493</v>
      </c>
      <c r="DA85" s="255"/>
      <c r="DB85" s="216" t="s">
        <v>437</v>
      </c>
      <c r="DC85" s="255"/>
      <c r="DD85" s="216" t="s">
        <v>438</v>
      </c>
      <c r="DE85" s="255"/>
      <c r="DF85" s="216" t="s">
        <v>439</v>
      </c>
      <c r="DG85" s="255"/>
      <c r="DH85" s="216" t="s">
        <v>440</v>
      </c>
      <c r="DI85" s="255"/>
      <c r="DJ85" s="216" t="s">
        <v>441</v>
      </c>
      <c r="DK85" s="255"/>
      <c r="DL85" s="216" t="s">
        <v>494</v>
      </c>
      <c r="DM85" s="255"/>
    </row>
    <row r="86" spans="1:117" s="6" customFormat="1">
      <c r="A86"/>
      <c r="B86" s="227">
        <v>1</v>
      </c>
      <c r="C86" s="228"/>
      <c r="D86" s="229"/>
      <c r="E86" s="229"/>
      <c r="F86" s="230"/>
      <c r="G86" s="231">
        <f t="shared" ref="G86:G110" si="62">F86*D86</f>
        <v>0</v>
      </c>
      <c r="H86" s="230"/>
      <c r="I86" s="229"/>
      <c r="J86" s="229"/>
      <c r="K86" s="229"/>
      <c r="L86" s="229"/>
      <c r="M86" s="229"/>
      <c r="N86" s="229"/>
      <c r="O86" s="232"/>
      <c r="P86" s="229"/>
      <c r="Q86" s="232"/>
      <c r="R86" s="232"/>
      <c r="S86" s="233"/>
      <c r="T86" s="233"/>
      <c r="U86" s="234"/>
      <c r="V86" s="233"/>
      <c r="W86" s="235">
        <f t="shared" ref="W86:W110" si="63">IF($I86="x",IF($D86="",0,INDEX($BJ$87:$BJ$92,MATCH($D86,$BI$87:$BI$92,1))),0)</f>
        <v>0</v>
      </c>
      <c r="X86" s="235">
        <f t="shared" ref="X86:X110" si="64">IF($J86="x",IF($D86="",0,INDEX($BL$87:$BL$92,MATCH($D86,$BK$87:$BK$92,1))),0)</f>
        <v>0</v>
      </c>
      <c r="Y86" s="235">
        <f t="shared" ref="Y86:Y110" si="65">IF($K86="x",IF($D86="",0,INDEX($BN$87:$BN$92,MATCH($D86,$BM$87:$BM$92,1))),0)</f>
        <v>0</v>
      </c>
      <c r="Z86" s="235">
        <f t="shared" ref="Z86:Z110" si="66">IF($L86="x",IF($D86="",0,INDEX($BP$87:$BP$92,MATCH($D86,$BO$87:$BO$92,1))),0)</f>
        <v>0</v>
      </c>
      <c r="AA86" s="235">
        <f t="shared" ref="AA86:AA110" si="67">IF($M86="x",IF($D86="",0,INDEX($BR$87:$BR$92,MATCH($D86,$BQ$87:$BQ$92,1))),0)</f>
        <v>0</v>
      </c>
      <c r="AB86" s="235">
        <f t="shared" ref="AB86:AB110" si="68">IF($N86="x",IF($D86="",0,INDEX($BT$87:$BT$92,MATCH($D86,$BS$87:$BS$92,1))),0)</f>
        <v>0</v>
      </c>
      <c r="AC86" s="235">
        <f t="shared" ref="AC86:AC110" si="69">IF(OR($K86="x",$M86="x"),IF($D86="",0,INDEX($BV$87:$BV$92,MATCH($D86,$BU$87:$BU$92,1))),0)+IF(OR($L86="x",$N86="x"),IF($D86="",0,INDEX($BW$87:$BW$92,MATCH($D86,$BU$87:$BU$92,1))),0)</f>
        <v>0</v>
      </c>
      <c r="AD86" s="235">
        <f t="shared" ref="AD86:AD110" si="70">IF($O86="x",IF($D86="",0,INDEX($BY$87:$BY$92,MATCH($D86,$BX$87:$BX$92,1))),0)</f>
        <v>0</v>
      </c>
      <c r="AE86" s="235">
        <f t="shared" ref="AE86:AE110" si="71">IF($P86="x",IF($D86="",0,$CB$87),0)</f>
        <v>0</v>
      </c>
      <c r="AF86" s="235">
        <f t="shared" ref="AF86:AF110" si="72">IF($D86="",0,IF(Q86="x",$CA$89,0))</f>
        <v>0</v>
      </c>
      <c r="AG86" s="235">
        <f t="shared" ref="AG86:AG110" si="73">IF($D86="",0,IF(R86="x",$CA$91,0))</f>
        <v>0</v>
      </c>
      <c r="AH86" s="235">
        <f t="shared" ref="AH86:AH110" si="74">IF($S86="x",IF($D86="",0,$BZ$87),0)</f>
        <v>0</v>
      </c>
      <c r="AI86" s="235">
        <f t="shared" ref="AI86:AI110" si="75">IF($T86="x",IF($D86="",0,IF($D86&gt;4,$BZ$89,0)),0)</f>
        <v>0</v>
      </c>
      <c r="AJ86" s="235">
        <f t="shared" ref="AJ86:AJ110" si="76">IF($D86="",0,$U86*$BZ$91)</f>
        <v>0</v>
      </c>
      <c r="AK86" s="235">
        <f t="shared" ref="AK86:AK110" si="77">IF($D86="",0,(U86+IF(AH86&gt;0,1,0))*$CA$87)</f>
        <v>0</v>
      </c>
      <c r="AL86" s="235">
        <f t="shared" ref="AL86:AL110" si="78">G86+H86</f>
        <v>0</v>
      </c>
      <c r="AM86" s="235">
        <f t="shared" ref="AM86:AM110" si="79">SUM(W86:AK86)</f>
        <v>0</v>
      </c>
      <c r="AN86" s="235">
        <f>IF($E86="xx",(1600*$D86+$AM86),SUM(AL86:AM86))*$AN$84</f>
        <v>0</v>
      </c>
      <c r="AO86" s="277">
        <f>SUM(AL86:AN86)</f>
        <v>0</v>
      </c>
      <c r="AP86" s="385">
        <f t="shared" ref="AP86:AP110" si="80">IF($V86="x",IF($D86="",0,INDEX($CD$87:$CD$92,MATCH($D86,$CC$87:$CC$92,1))),0)</f>
        <v>0</v>
      </c>
      <c r="AQ86" s="380">
        <f t="shared" ref="AQ86:AQ110" si="81">IF($D86="",0,INDEX($CG$87:$CG$92,MATCH($D86,$CF$87:$CF$92))*$CE$87)</f>
        <v>0</v>
      </c>
      <c r="AR86" s="235">
        <f t="shared" ref="AR86:AR110" si="82">IF($D86="",0,IF(OR($I86="x",$I86="xx"),INDEX($CI$87:$CI$92,MATCH($D86,$CH$87:$CH$92))*$CE$87,0))</f>
        <v>0</v>
      </c>
      <c r="AS86" s="235">
        <f t="shared" ref="AS86:AS110" si="83">IF($D86="",0,IF(OR($J86="x",$J86="xx"),INDEX($CK$87:$CK$92,MATCH($D86,$CJ$87:$CJ$92))*$CE$87,0))</f>
        <v>0</v>
      </c>
      <c r="AT86" s="235">
        <f t="shared" ref="AT86:AT110" si="84">IF($D86="",0,IF(OR($M86="x",$M86="xx"),INDEX($CQ$87:$CQ$92,MATCH($D86,$CP$87:$CP$92))*$CE$87,0))+IF($D86="",0,IF(OR($N86="x",$N86="xx"),INDEX($CS$87:$CS$92,MATCH($D86,$CR$87:$CR$92))*$CE$87,0))+IF($D86="",0,IF(OR($K86="x",$K86="xx"),INDEX($CM$87:$CM$92,MATCH($D86,$CL$87:$CL$92))*$CE$87,0))+IF($D86="",0,IF(OR($L86="x",$L86="xx"),INDEX($CO$87:$CO$92,MATCH($D86,$CN$87:$CN$92))*$CE$87,0))</f>
        <v>0</v>
      </c>
      <c r="AU86" s="235">
        <f t="shared" ref="AU86:AU110" si="85">IF($D86="",0,IF(OR($O86="x",$O86="xx"),INDEX($CU$87:$CU$92,MATCH($D86,$CT$87:$CT$92))*$CE$87,0))</f>
        <v>0</v>
      </c>
      <c r="AV86" s="235">
        <f t="shared" ref="AV86:AV110" si="86">IF($D86="",0,IF(OR($P86="x",$P86="xx"),INDEX($CW$87:$CW$92,MATCH($D86,$CV$87:$CV$92))*$CE$87,0))</f>
        <v>0</v>
      </c>
      <c r="AW86" s="235">
        <f t="shared" ref="AW86:AW110" si="87">IF($D86="",0,IF(OR($Q86="x",$Q86="xx"),INDEX($CY$87:$CY$92,MATCH($D86,$CX$87:$CX$92))*$CE$87,0))</f>
        <v>0</v>
      </c>
      <c r="AX86" s="235">
        <f t="shared" ref="AX86:AX110" si="88">IF($D86="",0,IF(OR($R86="x",$R86="xx"),INDEX($DA$87:$DA$92,MATCH($D86,$CZ$87:$CZ$92))*$CE$87,0))</f>
        <v>0</v>
      </c>
      <c r="AY86" s="235">
        <f t="shared" ref="AY86:AY110" si="89">IF($D86="",0,IF(OR($S86="x",$S86="xx"),INDEX($DC$87:$DC$92,MATCH($D86,$DB$87:$DB$92))*$CE$87,0))</f>
        <v>0</v>
      </c>
      <c r="AZ86" s="235">
        <f t="shared" ref="AZ86:AZ110" si="90">IF($D86="",0,IF(OR($T86="x",$T86="xx"),IF($D86&gt;4,INDEX($DE$87:$DE$92,MATCH($D86,$DD$87:$DD$92))*$CE$87,0),0))</f>
        <v>0</v>
      </c>
      <c r="BA86" s="235">
        <f t="shared" ref="BA86:BA110" si="91">IF($D86="",0,($U86*INDEX($DG$87:$DG$92,MATCH($D86,$DF$87:$DF$92))*$CE$87))</f>
        <v>0</v>
      </c>
      <c r="BB86" s="235">
        <f t="shared" ref="BB86:BB110" si="92">IF($D86="",0,(($U86+IF(OR($S86="x",$S86="xx"),1,0))*INDEX($DI$87:$DI$92,MATCH($D86,$DH$87:$DH$92))*$CE$87))</f>
        <v>0</v>
      </c>
      <c r="BC86" s="235">
        <f t="shared" ref="BC86:BC110" si="93">IF($D86="",0,INDEX($DK$87:$DK$92,MATCH($D86,$DJ$87:$DJ$92))*$CE$87)</f>
        <v>0</v>
      </c>
      <c r="BD86" s="277">
        <f t="shared" ref="BD86:BD110" si="94">SUM(AQ86:BC86)</f>
        <v>0</v>
      </c>
      <c r="BE86" s="235">
        <f>IF($D86="",0,((IF(OR($V86="x",$V86="xx"),1,0))*INDEX($DM$87:$DM$92,MATCH($D86,$DL$87:$DL$92))*$BR$58))</f>
        <v>0</v>
      </c>
      <c r="BF86" s="259"/>
      <c r="BG86"/>
      <c r="BH86" s="150" t="s">
        <v>226</v>
      </c>
      <c r="BI86" s="78" t="s">
        <v>379</v>
      </c>
      <c r="BJ86" s="162" t="s">
        <v>312</v>
      </c>
      <c r="BK86" s="78" t="s">
        <v>379</v>
      </c>
      <c r="BL86" s="162" t="s">
        <v>312</v>
      </c>
      <c r="BM86" s="78" t="s">
        <v>379</v>
      </c>
      <c r="BN86" s="162" t="s">
        <v>312</v>
      </c>
      <c r="BO86" s="78" t="s">
        <v>379</v>
      </c>
      <c r="BP86" s="162" t="s">
        <v>312</v>
      </c>
      <c r="BQ86" s="78" t="s">
        <v>379</v>
      </c>
      <c r="BR86" s="162" t="s">
        <v>312</v>
      </c>
      <c r="BS86" s="78" t="s">
        <v>379</v>
      </c>
      <c r="BT86" s="162" t="s">
        <v>312</v>
      </c>
      <c r="BU86" s="78" t="s">
        <v>379</v>
      </c>
      <c r="BV86" s="75" t="s">
        <v>495</v>
      </c>
      <c r="BW86" s="162" t="s">
        <v>496</v>
      </c>
      <c r="BX86" s="78" t="s">
        <v>379</v>
      </c>
      <c r="BY86" s="162" t="s">
        <v>312</v>
      </c>
      <c r="BZ86" s="35" t="s">
        <v>444</v>
      </c>
      <c r="CA86" s="35" t="s">
        <v>445</v>
      </c>
      <c r="CB86" s="35" t="s">
        <v>491</v>
      </c>
      <c r="CC86" s="78" t="s">
        <v>379</v>
      </c>
      <c r="CD86" s="162" t="s">
        <v>312</v>
      </c>
      <c r="CE86" s="78" t="s">
        <v>446</v>
      </c>
      <c r="CF86" s="78" t="s">
        <v>379</v>
      </c>
      <c r="CG86" s="162" t="s">
        <v>447</v>
      </c>
      <c r="CH86" s="78" t="s">
        <v>379</v>
      </c>
      <c r="CI86" s="162" t="s">
        <v>447</v>
      </c>
      <c r="CJ86" s="78" t="s">
        <v>379</v>
      </c>
      <c r="CK86" s="162" t="s">
        <v>447</v>
      </c>
      <c r="CL86" s="78" t="s">
        <v>379</v>
      </c>
      <c r="CM86" s="162" t="s">
        <v>447</v>
      </c>
      <c r="CN86" s="78" t="s">
        <v>379</v>
      </c>
      <c r="CO86" s="162" t="s">
        <v>447</v>
      </c>
      <c r="CP86" s="78" t="s">
        <v>379</v>
      </c>
      <c r="CQ86" s="162" t="s">
        <v>447</v>
      </c>
      <c r="CR86" s="78" t="s">
        <v>379</v>
      </c>
      <c r="CS86" s="162" t="s">
        <v>447</v>
      </c>
      <c r="CT86" s="78" t="s">
        <v>379</v>
      </c>
      <c r="CU86" s="162" t="s">
        <v>447</v>
      </c>
      <c r="CV86" s="78" t="s">
        <v>379</v>
      </c>
      <c r="CW86" s="162" t="s">
        <v>447</v>
      </c>
      <c r="CX86" s="78" t="s">
        <v>379</v>
      </c>
      <c r="CY86" s="162" t="s">
        <v>447</v>
      </c>
      <c r="CZ86" s="78" t="s">
        <v>379</v>
      </c>
      <c r="DA86" s="162" t="s">
        <v>447</v>
      </c>
      <c r="DB86" s="78" t="s">
        <v>379</v>
      </c>
      <c r="DC86" s="162" t="s">
        <v>447</v>
      </c>
      <c r="DD86" s="78" t="s">
        <v>379</v>
      </c>
      <c r="DE86" s="162" t="s">
        <v>447</v>
      </c>
      <c r="DF86" s="78" t="s">
        <v>379</v>
      </c>
      <c r="DG86" s="162" t="s">
        <v>447</v>
      </c>
      <c r="DH86" s="78" t="s">
        <v>379</v>
      </c>
      <c r="DI86" s="162" t="s">
        <v>447</v>
      </c>
      <c r="DJ86" s="78" t="s">
        <v>379</v>
      </c>
      <c r="DK86" s="162" t="s">
        <v>447</v>
      </c>
      <c r="DL86" s="78" t="s">
        <v>379</v>
      </c>
      <c r="DM86" s="162" t="s">
        <v>447</v>
      </c>
    </row>
    <row r="87" spans="1:117" s="6" customFormat="1">
      <c r="A87"/>
      <c r="B87" s="236">
        <f>B86+1</f>
        <v>2</v>
      </c>
      <c r="C87" s="237"/>
      <c r="D87" s="238"/>
      <c r="E87" s="238"/>
      <c r="F87" s="239"/>
      <c r="G87" s="240">
        <f t="shared" si="62"/>
        <v>0</v>
      </c>
      <c r="H87" s="239"/>
      <c r="I87" s="238"/>
      <c r="J87" s="238"/>
      <c r="K87" s="238"/>
      <c r="L87" s="238"/>
      <c r="M87" s="238"/>
      <c r="N87" s="238"/>
      <c r="O87" s="241"/>
      <c r="P87" s="238"/>
      <c r="Q87" s="241"/>
      <c r="R87" s="241"/>
      <c r="S87" s="242"/>
      <c r="T87" s="242"/>
      <c r="U87" s="243"/>
      <c r="V87" s="242"/>
      <c r="W87" s="244">
        <f t="shared" si="63"/>
        <v>0</v>
      </c>
      <c r="X87" s="244">
        <f t="shared" si="64"/>
        <v>0</v>
      </c>
      <c r="Y87" s="244">
        <f t="shared" si="65"/>
        <v>0</v>
      </c>
      <c r="Z87" s="244">
        <f t="shared" si="66"/>
        <v>0</v>
      </c>
      <c r="AA87" s="244">
        <f t="shared" si="67"/>
        <v>0</v>
      </c>
      <c r="AB87" s="244">
        <f t="shared" si="68"/>
        <v>0</v>
      </c>
      <c r="AC87" s="244">
        <f t="shared" si="69"/>
        <v>0</v>
      </c>
      <c r="AD87" s="244">
        <f t="shared" si="70"/>
        <v>0</v>
      </c>
      <c r="AE87" s="244">
        <f t="shared" si="71"/>
        <v>0</v>
      </c>
      <c r="AF87" s="244">
        <f t="shared" si="72"/>
        <v>0</v>
      </c>
      <c r="AG87" s="244">
        <f t="shared" si="73"/>
        <v>0</v>
      </c>
      <c r="AH87" s="244">
        <f t="shared" si="74"/>
        <v>0</v>
      </c>
      <c r="AI87" s="244">
        <f t="shared" si="75"/>
        <v>0</v>
      </c>
      <c r="AJ87" s="244">
        <f t="shared" si="76"/>
        <v>0</v>
      </c>
      <c r="AK87" s="244">
        <f t="shared" si="77"/>
        <v>0</v>
      </c>
      <c r="AL87" s="244">
        <f t="shared" si="78"/>
        <v>0</v>
      </c>
      <c r="AM87" s="244">
        <f t="shared" si="79"/>
        <v>0</v>
      </c>
      <c r="AN87" s="244">
        <f t="shared" ref="AN87:AN110" si="95">IF($E87="xx",(1600*$D87+$AM87),SUM(AL87:AM87))*$AN$84</f>
        <v>0</v>
      </c>
      <c r="AO87" s="278">
        <f t="shared" ref="AO87:AO110" si="96">SUM(AL87:AN87)</f>
        <v>0</v>
      </c>
      <c r="AP87" s="386">
        <f t="shared" si="80"/>
        <v>0</v>
      </c>
      <c r="AQ87" s="381">
        <f t="shared" si="81"/>
        <v>0</v>
      </c>
      <c r="AR87" s="244">
        <f t="shared" si="82"/>
        <v>0</v>
      </c>
      <c r="AS87" s="244">
        <f t="shared" si="83"/>
        <v>0</v>
      </c>
      <c r="AT87" s="244">
        <f t="shared" si="84"/>
        <v>0</v>
      </c>
      <c r="AU87" s="244">
        <f t="shared" si="85"/>
        <v>0</v>
      </c>
      <c r="AV87" s="244">
        <f t="shared" si="86"/>
        <v>0</v>
      </c>
      <c r="AW87" s="244">
        <f t="shared" si="87"/>
        <v>0</v>
      </c>
      <c r="AX87" s="244">
        <f t="shared" si="88"/>
        <v>0</v>
      </c>
      <c r="AY87" s="244">
        <f t="shared" si="89"/>
        <v>0</v>
      </c>
      <c r="AZ87" s="244">
        <f t="shared" si="90"/>
        <v>0</v>
      </c>
      <c r="BA87" s="244">
        <f t="shared" si="91"/>
        <v>0</v>
      </c>
      <c r="BB87" s="244">
        <f t="shared" si="92"/>
        <v>0</v>
      </c>
      <c r="BC87" s="244">
        <f t="shared" si="93"/>
        <v>0</v>
      </c>
      <c r="BD87" s="278">
        <f t="shared" si="94"/>
        <v>0</v>
      </c>
      <c r="BE87" s="244">
        <f t="shared" ref="BE87:BE110" si="97">IF($D87="",0,((IF(OR($V87="x",$V87="xx"),1,0))*INDEX($DM$87:$DM$92,MATCH($D87,$DL$87:$DL$92))*$BR$58))</f>
        <v>0</v>
      </c>
      <c r="BF87" s="264"/>
      <c r="BG87"/>
      <c r="BH87" s="214" t="s">
        <v>448</v>
      </c>
      <c r="BI87" s="215">
        <v>0</v>
      </c>
      <c r="BJ87" s="217">
        <v>350</v>
      </c>
      <c r="BK87" s="215">
        <v>0</v>
      </c>
      <c r="BL87" s="217">
        <v>70</v>
      </c>
      <c r="BM87" s="215">
        <v>0</v>
      </c>
      <c r="BN87" s="217">
        <f>BR87*2</f>
        <v>1128</v>
      </c>
      <c r="BO87" s="215">
        <v>0</v>
      </c>
      <c r="BP87" s="217">
        <f>BN87*1.5</f>
        <v>1692</v>
      </c>
      <c r="BQ87" s="215">
        <v>0</v>
      </c>
      <c r="BR87" s="217">
        <f>3.5*80+2.5*80+6*14</f>
        <v>564</v>
      </c>
      <c r="BS87" s="215">
        <v>0</v>
      </c>
      <c r="BT87" s="217">
        <f>(3.5*80+2.5*80+6*14)*1.5</f>
        <v>846</v>
      </c>
      <c r="BU87" s="215">
        <v>0</v>
      </c>
      <c r="BV87" s="287">
        <f>8*35</f>
        <v>280</v>
      </c>
      <c r="BW87" s="217">
        <f>8*35*1.5</f>
        <v>420</v>
      </c>
      <c r="BX87" s="215">
        <v>0</v>
      </c>
      <c r="BY87" s="217">
        <v>180</v>
      </c>
      <c r="BZ87" s="219">
        <v>160</v>
      </c>
      <c r="CA87" s="219">
        <f>90/2</f>
        <v>45</v>
      </c>
      <c r="CB87" s="219">
        <v>16</v>
      </c>
      <c r="CC87" s="215">
        <v>0</v>
      </c>
      <c r="CD87" s="217">
        <v>200</v>
      </c>
      <c r="CE87" s="35">
        <v>25</v>
      </c>
      <c r="CF87" s="215">
        <v>0</v>
      </c>
      <c r="CG87" s="281">
        <v>24</v>
      </c>
      <c r="CH87" s="215">
        <v>0</v>
      </c>
      <c r="CI87" s="281">
        <v>6</v>
      </c>
      <c r="CJ87" s="215">
        <v>0</v>
      </c>
      <c r="CK87" s="281">
        <v>4</v>
      </c>
      <c r="CL87" s="215">
        <v>0</v>
      </c>
      <c r="CM87" s="281">
        <f>CQ87*3</f>
        <v>24</v>
      </c>
      <c r="CN87" s="215">
        <v>0</v>
      </c>
      <c r="CO87" s="281">
        <f>CM87*1.5</f>
        <v>36</v>
      </c>
      <c r="CP87" s="215">
        <v>0</v>
      </c>
      <c r="CQ87" s="281">
        <v>8</v>
      </c>
      <c r="CR87" s="215">
        <v>0</v>
      </c>
      <c r="CS87" s="281">
        <v>12</v>
      </c>
      <c r="CT87" s="215">
        <v>0</v>
      </c>
      <c r="CU87" s="281">
        <v>6</v>
      </c>
      <c r="CV87" s="215">
        <v>0</v>
      </c>
      <c r="CW87" s="281">
        <v>1</v>
      </c>
      <c r="CX87" s="215">
        <v>0</v>
      </c>
      <c r="CY87" s="281">
        <v>5</v>
      </c>
      <c r="CZ87" s="215">
        <v>0</v>
      </c>
      <c r="DA87" s="281">
        <v>14</v>
      </c>
      <c r="DB87" s="215">
        <v>0</v>
      </c>
      <c r="DC87" s="281">
        <v>2</v>
      </c>
      <c r="DD87" s="215">
        <v>0</v>
      </c>
      <c r="DE87" s="281">
        <v>3</v>
      </c>
      <c r="DF87" s="215">
        <v>0</v>
      </c>
      <c r="DG87" s="281">
        <v>2</v>
      </c>
      <c r="DH87" s="215">
        <v>0</v>
      </c>
      <c r="DI87" s="281">
        <v>3</v>
      </c>
      <c r="DJ87" s="215">
        <v>0</v>
      </c>
      <c r="DK87" s="281">
        <v>6</v>
      </c>
      <c r="DL87" s="215">
        <v>0</v>
      </c>
      <c r="DM87" s="281">
        <v>4</v>
      </c>
    </row>
    <row r="88" spans="1:117" s="6" customFormat="1">
      <c r="A88"/>
      <c r="B88" s="236">
        <f t="shared" ref="B88:B110" si="98">B87+1</f>
        <v>3</v>
      </c>
      <c r="C88" s="237"/>
      <c r="D88" s="238"/>
      <c r="E88" s="238"/>
      <c r="F88" s="239"/>
      <c r="G88" s="240">
        <f t="shared" si="62"/>
        <v>0</v>
      </c>
      <c r="H88" s="239"/>
      <c r="I88" s="238"/>
      <c r="J88" s="238"/>
      <c r="K88" s="238"/>
      <c r="L88" s="238"/>
      <c r="M88" s="238"/>
      <c r="N88" s="238"/>
      <c r="O88" s="241"/>
      <c r="P88" s="238"/>
      <c r="Q88" s="241"/>
      <c r="R88" s="241"/>
      <c r="S88" s="242"/>
      <c r="T88" s="242"/>
      <c r="U88" s="243"/>
      <c r="V88" s="242"/>
      <c r="W88" s="244">
        <f t="shared" si="63"/>
        <v>0</v>
      </c>
      <c r="X88" s="244">
        <f t="shared" si="64"/>
        <v>0</v>
      </c>
      <c r="Y88" s="244">
        <f t="shared" si="65"/>
        <v>0</v>
      </c>
      <c r="Z88" s="244">
        <f t="shared" si="66"/>
        <v>0</v>
      </c>
      <c r="AA88" s="244">
        <f t="shared" si="67"/>
        <v>0</v>
      </c>
      <c r="AB88" s="244">
        <f t="shared" si="68"/>
        <v>0</v>
      </c>
      <c r="AC88" s="244">
        <f t="shared" si="69"/>
        <v>0</v>
      </c>
      <c r="AD88" s="244">
        <f t="shared" si="70"/>
        <v>0</v>
      </c>
      <c r="AE88" s="244">
        <f t="shared" si="71"/>
        <v>0</v>
      </c>
      <c r="AF88" s="244">
        <f t="shared" si="72"/>
        <v>0</v>
      </c>
      <c r="AG88" s="244">
        <f t="shared" si="73"/>
        <v>0</v>
      </c>
      <c r="AH88" s="244">
        <f t="shared" si="74"/>
        <v>0</v>
      </c>
      <c r="AI88" s="244">
        <f t="shared" si="75"/>
        <v>0</v>
      </c>
      <c r="AJ88" s="244">
        <f t="shared" si="76"/>
        <v>0</v>
      </c>
      <c r="AK88" s="244">
        <f t="shared" si="77"/>
        <v>0</v>
      </c>
      <c r="AL88" s="244">
        <f t="shared" si="78"/>
        <v>0</v>
      </c>
      <c r="AM88" s="244">
        <f t="shared" si="79"/>
        <v>0</v>
      </c>
      <c r="AN88" s="244">
        <f t="shared" si="95"/>
        <v>0</v>
      </c>
      <c r="AO88" s="278">
        <f t="shared" si="96"/>
        <v>0</v>
      </c>
      <c r="AP88" s="386">
        <f t="shared" si="80"/>
        <v>0</v>
      </c>
      <c r="AQ88" s="381">
        <f t="shared" si="81"/>
        <v>0</v>
      </c>
      <c r="AR88" s="244">
        <f t="shared" si="82"/>
        <v>0</v>
      </c>
      <c r="AS88" s="244">
        <f t="shared" si="83"/>
        <v>0</v>
      </c>
      <c r="AT88" s="244">
        <f t="shared" si="84"/>
        <v>0</v>
      </c>
      <c r="AU88" s="244">
        <f t="shared" si="85"/>
        <v>0</v>
      </c>
      <c r="AV88" s="244">
        <f t="shared" si="86"/>
        <v>0</v>
      </c>
      <c r="AW88" s="244">
        <f t="shared" si="87"/>
        <v>0</v>
      </c>
      <c r="AX88" s="244">
        <f t="shared" si="88"/>
        <v>0</v>
      </c>
      <c r="AY88" s="244">
        <f t="shared" si="89"/>
        <v>0</v>
      </c>
      <c r="AZ88" s="244">
        <f t="shared" si="90"/>
        <v>0</v>
      </c>
      <c r="BA88" s="244">
        <f t="shared" si="91"/>
        <v>0</v>
      </c>
      <c r="BB88" s="244">
        <f t="shared" si="92"/>
        <v>0</v>
      </c>
      <c r="BC88" s="244">
        <f t="shared" si="93"/>
        <v>0</v>
      </c>
      <c r="BD88" s="278">
        <f t="shared" si="94"/>
        <v>0</v>
      </c>
      <c r="BE88" s="244">
        <f t="shared" si="97"/>
        <v>0</v>
      </c>
      <c r="BF88" s="264"/>
      <c r="BG88"/>
      <c r="BH88" s="214" t="s">
        <v>449</v>
      </c>
      <c r="BI88" s="214">
        <v>5</v>
      </c>
      <c r="BJ88" s="217">
        <v>350</v>
      </c>
      <c r="BK88" s="214">
        <v>5</v>
      </c>
      <c r="BL88" s="217">
        <v>80</v>
      </c>
      <c r="BM88" s="214">
        <v>5</v>
      </c>
      <c r="BN88" s="217">
        <f t="shared" ref="BN88:BN92" si="99">BR88*2</f>
        <v>1208</v>
      </c>
      <c r="BO88" s="214">
        <v>5</v>
      </c>
      <c r="BP88" s="217">
        <f t="shared" ref="BP88:BP92" si="100">BN88*1.5</f>
        <v>1812</v>
      </c>
      <c r="BQ88" s="214">
        <v>5</v>
      </c>
      <c r="BR88" s="217">
        <f>4*80+2.5*80+6*14</f>
        <v>604</v>
      </c>
      <c r="BS88" s="214">
        <v>5</v>
      </c>
      <c r="BT88" s="217">
        <f>(4*80+2.5*80+6*14)*1.5</f>
        <v>906</v>
      </c>
      <c r="BU88" s="214">
        <v>5</v>
      </c>
      <c r="BV88" s="287">
        <f>8*35</f>
        <v>280</v>
      </c>
      <c r="BW88" s="217">
        <f>8*35*0.5</f>
        <v>140</v>
      </c>
      <c r="BX88" s="214">
        <v>5</v>
      </c>
      <c r="BY88" s="217">
        <v>225</v>
      </c>
      <c r="BZ88" s="35" t="s">
        <v>450</v>
      </c>
      <c r="CA88" s="35" t="s">
        <v>435</v>
      </c>
      <c r="CC88" s="214">
        <v>5</v>
      </c>
      <c r="CD88" s="217">
        <v>200</v>
      </c>
      <c r="CE88"/>
      <c r="CF88" s="214">
        <v>5</v>
      </c>
      <c r="CG88" s="281">
        <v>24</v>
      </c>
      <c r="CH88" s="214">
        <v>5</v>
      </c>
      <c r="CI88" s="281">
        <v>6</v>
      </c>
      <c r="CJ88" s="214">
        <v>5</v>
      </c>
      <c r="CK88" s="281">
        <v>4</v>
      </c>
      <c r="CL88" s="214">
        <v>5</v>
      </c>
      <c r="CM88" s="281">
        <f t="shared" ref="CM88:CM92" si="101">CQ88*3</f>
        <v>24</v>
      </c>
      <c r="CN88" s="214">
        <v>5</v>
      </c>
      <c r="CO88" s="281">
        <f t="shared" ref="CO88:CO92" si="102">CM88*1.5</f>
        <v>36</v>
      </c>
      <c r="CP88" s="214">
        <v>5</v>
      </c>
      <c r="CQ88" s="281">
        <v>8</v>
      </c>
      <c r="CR88" s="214">
        <v>5</v>
      </c>
      <c r="CS88" s="281">
        <v>12</v>
      </c>
      <c r="CT88" s="214">
        <v>5</v>
      </c>
      <c r="CU88" s="281">
        <v>6</v>
      </c>
      <c r="CV88" s="214">
        <v>5</v>
      </c>
      <c r="CW88" s="281">
        <v>1</v>
      </c>
      <c r="CX88" s="214">
        <v>5</v>
      </c>
      <c r="CY88" s="281">
        <v>5</v>
      </c>
      <c r="CZ88" s="214">
        <v>5</v>
      </c>
      <c r="DA88" s="281">
        <v>14</v>
      </c>
      <c r="DB88" s="214">
        <v>5</v>
      </c>
      <c r="DC88" s="281">
        <v>2</v>
      </c>
      <c r="DD88" s="214">
        <v>5</v>
      </c>
      <c r="DE88" s="281">
        <v>3</v>
      </c>
      <c r="DF88" s="214">
        <v>5</v>
      </c>
      <c r="DG88" s="281">
        <v>2</v>
      </c>
      <c r="DH88" s="214">
        <v>5</v>
      </c>
      <c r="DI88" s="281">
        <v>3</v>
      </c>
      <c r="DJ88" s="214">
        <v>5</v>
      </c>
      <c r="DK88" s="281">
        <v>6</v>
      </c>
      <c r="DL88" s="214">
        <v>5</v>
      </c>
      <c r="DM88" s="281">
        <v>4</v>
      </c>
    </row>
    <row r="89" spans="1:117" s="6" customFormat="1">
      <c r="A89"/>
      <c r="B89" s="236">
        <f t="shared" si="98"/>
        <v>4</v>
      </c>
      <c r="C89" s="237"/>
      <c r="D89" s="238"/>
      <c r="E89" s="238"/>
      <c r="F89" s="239"/>
      <c r="G89" s="240">
        <f t="shared" si="62"/>
        <v>0</v>
      </c>
      <c r="H89" s="239"/>
      <c r="I89" s="238"/>
      <c r="J89" s="238"/>
      <c r="K89" s="238"/>
      <c r="L89" s="238"/>
      <c r="M89" s="238"/>
      <c r="N89" s="238"/>
      <c r="O89" s="241"/>
      <c r="P89" s="238"/>
      <c r="Q89" s="241"/>
      <c r="R89" s="241"/>
      <c r="S89" s="242"/>
      <c r="T89" s="242"/>
      <c r="U89" s="243"/>
      <c r="V89" s="242"/>
      <c r="W89" s="244">
        <f t="shared" si="63"/>
        <v>0</v>
      </c>
      <c r="X89" s="244">
        <f t="shared" si="64"/>
        <v>0</v>
      </c>
      <c r="Y89" s="244">
        <f t="shared" si="65"/>
        <v>0</v>
      </c>
      <c r="Z89" s="244">
        <f t="shared" si="66"/>
        <v>0</v>
      </c>
      <c r="AA89" s="244">
        <f t="shared" si="67"/>
        <v>0</v>
      </c>
      <c r="AB89" s="244">
        <f t="shared" si="68"/>
        <v>0</v>
      </c>
      <c r="AC89" s="244">
        <f t="shared" si="69"/>
        <v>0</v>
      </c>
      <c r="AD89" s="244">
        <f t="shared" si="70"/>
        <v>0</v>
      </c>
      <c r="AE89" s="244">
        <f t="shared" si="71"/>
        <v>0</v>
      </c>
      <c r="AF89" s="244">
        <f t="shared" si="72"/>
        <v>0</v>
      </c>
      <c r="AG89" s="244">
        <f t="shared" si="73"/>
        <v>0</v>
      </c>
      <c r="AH89" s="244">
        <f t="shared" si="74"/>
        <v>0</v>
      </c>
      <c r="AI89" s="244">
        <f t="shared" si="75"/>
        <v>0</v>
      </c>
      <c r="AJ89" s="244">
        <f t="shared" si="76"/>
        <v>0</v>
      </c>
      <c r="AK89" s="244">
        <f t="shared" si="77"/>
        <v>0</v>
      </c>
      <c r="AL89" s="244">
        <f t="shared" si="78"/>
        <v>0</v>
      </c>
      <c r="AM89" s="244">
        <f t="shared" si="79"/>
        <v>0</v>
      </c>
      <c r="AN89" s="244">
        <f t="shared" si="95"/>
        <v>0</v>
      </c>
      <c r="AO89" s="278">
        <f t="shared" si="96"/>
        <v>0</v>
      </c>
      <c r="AP89" s="386">
        <f t="shared" si="80"/>
        <v>0</v>
      </c>
      <c r="AQ89" s="381">
        <f t="shared" si="81"/>
        <v>0</v>
      </c>
      <c r="AR89" s="244">
        <f t="shared" si="82"/>
        <v>0</v>
      </c>
      <c r="AS89" s="244">
        <f t="shared" si="83"/>
        <v>0</v>
      </c>
      <c r="AT89" s="244">
        <f t="shared" si="84"/>
        <v>0</v>
      </c>
      <c r="AU89" s="244">
        <f t="shared" si="85"/>
        <v>0</v>
      </c>
      <c r="AV89" s="244">
        <f t="shared" si="86"/>
        <v>0</v>
      </c>
      <c r="AW89" s="244">
        <f t="shared" si="87"/>
        <v>0</v>
      </c>
      <c r="AX89" s="244">
        <f t="shared" si="88"/>
        <v>0</v>
      </c>
      <c r="AY89" s="244">
        <f t="shared" si="89"/>
        <v>0</v>
      </c>
      <c r="AZ89" s="244">
        <f t="shared" si="90"/>
        <v>0</v>
      </c>
      <c r="BA89" s="244">
        <f t="shared" si="91"/>
        <v>0</v>
      </c>
      <c r="BB89" s="244">
        <f t="shared" si="92"/>
        <v>0</v>
      </c>
      <c r="BC89" s="244">
        <f t="shared" si="93"/>
        <v>0</v>
      </c>
      <c r="BD89" s="278">
        <f t="shared" si="94"/>
        <v>0</v>
      </c>
      <c r="BE89" s="244">
        <f t="shared" si="97"/>
        <v>0</v>
      </c>
      <c r="BF89" s="264"/>
      <c r="BG89"/>
      <c r="BH89" s="123"/>
      <c r="BI89" s="214">
        <v>10</v>
      </c>
      <c r="BJ89" s="217">
        <v>380</v>
      </c>
      <c r="BK89" s="214">
        <v>10</v>
      </c>
      <c r="BL89" s="217">
        <v>120</v>
      </c>
      <c r="BM89" s="214">
        <v>10</v>
      </c>
      <c r="BN89" s="217">
        <f t="shared" si="99"/>
        <v>1208</v>
      </c>
      <c r="BO89" s="214">
        <v>10</v>
      </c>
      <c r="BP89" s="217">
        <f t="shared" si="100"/>
        <v>1812</v>
      </c>
      <c r="BQ89" s="214">
        <v>10</v>
      </c>
      <c r="BR89" s="217">
        <f>(4*80+2.5*80+6*14)</f>
        <v>604</v>
      </c>
      <c r="BS89" s="214">
        <v>10</v>
      </c>
      <c r="BT89" s="217">
        <f>((4*80+2.5*80+6*14))*1.5</f>
        <v>906</v>
      </c>
      <c r="BU89" s="214">
        <v>10</v>
      </c>
      <c r="BV89" s="287">
        <f>12*35</f>
        <v>420</v>
      </c>
      <c r="BW89" s="217">
        <f>12*35*1.5</f>
        <v>630</v>
      </c>
      <c r="BX89" s="214">
        <v>10</v>
      </c>
      <c r="BY89" s="217">
        <v>260</v>
      </c>
      <c r="BZ89" s="219">
        <v>170</v>
      </c>
      <c r="CA89" s="219">
        <f>45+9+75</f>
        <v>129</v>
      </c>
      <c r="CC89" s="214">
        <v>10</v>
      </c>
      <c r="CD89" s="217">
        <v>300</v>
      </c>
      <c r="CE89"/>
      <c r="CF89" s="214">
        <v>10</v>
      </c>
      <c r="CG89" s="281">
        <v>32</v>
      </c>
      <c r="CH89" s="214">
        <v>10</v>
      </c>
      <c r="CI89" s="281">
        <v>8</v>
      </c>
      <c r="CJ89" s="214">
        <v>10</v>
      </c>
      <c r="CK89" s="281">
        <v>5</v>
      </c>
      <c r="CL89" s="214">
        <v>10</v>
      </c>
      <c r="CM89" s="281">
        <f t="shared" si="101"/>
        <v>30</v>
      </c>
      <c r="CN89" s="214">
        <v>10</v>
      </c>
      <c r="CO89" s="281">
        <f t="shared" si="102"/>
        <v>45</v>
      </c>
      <c r="CP89" s="214">
        <v>10</v>
      </c>
      <c r="CQ89" s="281">
        <v>10</v>
      </c>
      <c r="CR89" s="214">
        <v>10</v>
      </c>
      <c r="CS89" s="281">
        <v>15</v>
      </c>
      <c r="CT89" s="214">
        <v>10</v>
      </c>
      <c r="CU89" s="281">
        <v>6</v>
      </c>
      <c r="CV89" s="214">
        <v>10</v>
      </c>
      <c r="CW89" s="281">
        <v>1</v>
      </c>
      <c r="CX89" s="214">
        <v>10</v>
      </c>
      <c r="CY89" s="281">
        <v>5</v>
      </c>
      <c r="CZ89" s="214">
        <v>10</v>
      </c>
      <c r="DA89" s="281">
        <v>14</v>
      </c>
      <c r="DB89" s="214">
        <v>10</v>
      </c>
      <c r="DC89" s="281">
        <v>2</v>
      </c>
      <c r="DD89" s="214">
        <v>10</v>
      </c>
      <c r="DE89" s="281">
        <v>3</v>
      </c>
      <c r="DF89" s="214">
        <v>10</v>
      </c>
      <c r="DG89" s="281">
        <v>2</v>
      </c>
      <c r="DH89" s="214">
        <v>10</v>
      </c>
      <c r="DI89" s="281">
        <v>3</v>
      </c>
      <c r="DJ89" s="214">
        <v>10</v>
      </c>
      <c r="DK89" s="281">
        <v>6</v>
      </c>
      <c r="DL89" s="214">
        <v>10</v>
      </c>
      <c r="DM89" s="281">
        <v>6</v>
      </c>
    </row>
    <row r="90" spans="1:117" s="6" customFormat="1">
      <c r="A90"/>
      <c r="B90" s="236">
        <f t="shared" si="98"/>
        <v>5</v>
      </c>
      <c r="C90" s="237"/>
      <c r="D90" s="238"/>
      <c r="E90" s="238"/>
      <c r="F90" s="239"/>
      <c r="G90" s="240">
        <f t="shared" si="62"/>
        <v>0</v>
      </c>
      <c r="H90" s="239"/>
      <c r="I90" s="238"/>
      <c r="J90" s="238"/>
      <c r="K90" s="238"/>
      <c r="L90" s="238"/>
      <c r="M90" s="238"/>
      <c r="N90" s="238"/>
      <c r="O90" s="241"/>
      <c r="P90" s="238"/>
      <c r="Q90" s="241"/>
      <c r="R90" s="241"/>
      <c r="S90" s="242"/>
      <c r="T90" s="242"/>
      <c r="U90" s="243"/>
      <c r="V90" s="242"/>
      <c r="W90" s="244">
        <f t="shared" si="63"/>
        <v>0</v>
      </c>
      <c r="X90" s="244">
        <f t="shared" si="64"/>
        <v>0</v>
      </c>
      <c r="Y90" s="244">
        <f t="shared" si="65"/>
        <v>0</v>
      </c>
      <c r="Z90" s="244">
        <f t="shared" si="66"/>
        <v>0</v>
      </c>
      <c r="AA90" s="244">
        <f t="shared" si="67"/>
        <v>0</v>
      </c>
      <c r="AB90" s="244">
        <f t="shared" si="68"/>
        <v>0</v>
      </c>
      <c r="AC90" s="244">
        <f t="shared" si="69"/>
        <v>0</v>
      </c>
      <c r="AD90" s="244">
        <f t="shared" si="70"/>
        <v>0</v>
      </c>
      <c r="AE90" s="244">
        <f t="shared" si="71"/>
        <v>0</v>
      </c>
      <c r="AF90" s="244">
        <f t="shared" si="72"/>
        <v>0</v>
      </c>
      <c r="AG90" s="244">
        <f t="shared" si="73"/>
        <v>0</v>
      </c>
      <c r="AH90" s="244">
        <f t="shared" si="74"/>
        <v>0</v>
      </c>
      <c r="AI90" s="244">
        <f t="shared" si="75"/>
        <v>0</v>
      </c>
      <c r="AJ90" s="244">
        <f t="shared" si="76"/>
        <v>0</v>
      </c>
      <c r="AK90" s="244">
        <f t="shared" si="77"/>
        <v>0</v>
      </c>
      <c r="AL90" s="244">
        <f t="shared" si="78"/>
        <v>0</v>
      </c>
      <c r="AM90" s="244">
        <f t="shared" si="79"/>
        <v>0</v>
      </c>
      <c r="AN90" s="244">
        <f t="shared" si="95"/>
        <v>0</v>
      </c>
      <c r="AO90" s="278">
        <f t="shared" si="96"/>
        <v>0</v>
      </c>
      <c r="AP90" s="386">
        <f t="shared" si="80"/>
        <v>0</v>
      </c>
      <c r="AQ90" s="381">
        <f t="shared" si="81"/>
        <v>0</v>
      </c>
      <c r="AR90" s="244">
        <f t="shared" si="82"/>
        <v>0</v>
      </c>
      <c r="AS90" s="244">
        <f t="shared" si="83"/>
        <v>0</v>
      </c>
      <c r="AT90" s="244">
        <f t="shared" si="84"/>
        <v>0</v>
      </c>
      <c r="AU90" s="244">
        <f t="shared" si="85"/>
        <v>0</v>
      </c>
      <c r="AV90" s="244">
        <f t="shared" si="86"/>
        <v>0</v>
      </c>
      <c r="AW90" s="244">
        <f t="shared" si="87"/>
        <v>0</v>
      </c>
      <c r="AX90" s="244">
        <f t="shared" si="88"/>
        <v>0</v>
      </c>
      <c r="AY90" s="244">
        <f t="shared" si="89"/>
        <v>0</v>
      </c>
      <c r="AZ90" s="244">
        <f t="shared" si="90"/>
        <v>0</v>
      </c>
      <c r="BA90" s="244">
        <f t="shared" si="91"/>
        <v>0</v>
      </c>
      <c r="BB90" s="244">
        <f t="shared" si="92"/>
        <v>0</v>
      </c>
      <c r="BC90" s="244">
        <f t="shared" si="93"/>
        <v>0</v>
      </c>
      <c r="BD90" s="278">
        <f t="shared" si="94"/>
        <v>0</v>
      </c>
      <c r="BE90" s="244">
        <f t="shared" si="97"/>
        <v>0</v>
      </c>
      <c r="BF90" s="264"/>
      <c r="BG90"/>
      <c r="BH90" s="393" t="s">
        <v>451</v>
      </c>
      <c r="BI90" s="214">
        <v>20</v>
      </c>
      <c r="BJ90" s="217">
        <v>450</v>
      </c>
      <c r="BK90" s="214">
        <v>20</v>
      </c>
      <c r="BL90" s="217">
        <v>180</v>
      </c>
      <c r="BM90" s="214">
        <v>20</v>
      </c>
      <c r="BN90" s="217">
        <f t="shared" si="99"/>
        <v>3216</v>
      </c>
      <c r="BO90" s="214">
        <v>20</v>
      </c>
      <c r="BP90" s="217">
        <f t="shared" si="100"/>
        <v>4824</v>
      </c>
      <c r="BQ90" s="214">
        <v>20</v>
      </c>
      <c r="BR90" s="217">
        <f>(6*80+3*80+6*14)*2</f>
        <v>1608</v>
      </c>
      <c r="BS90" s="214">
        <v>20</v>
      </c>
      <c r="BT90" s="217">
        <f>((6*80+3*80+6*14)*2)*1.5</f>
        <v>2412</v>
      </c>
      <c r="BU90" s="214">
        <v>20</v>
      </c>
      <c r="BV90" s="287">
        <f>18*35</f>
        <v>630</v>
      </c>
      <c r="BW90" s="217">
        <f>18*35*1.5</f>
        <v>945</v>
      </c>
      <c r="BX90" s="214">
        <v>20</v>
      </c>
      <c r="BY90" s="217">
        <v>400</v>
      </c>
      <c r="BZ90" s="35" t="s">
        <v>439</v>
      </c>
      <c r="CA90" s="35" t="s">
        <v>436</v>
      </c>
      <c r="CC90" s="214">
        <v>20</v>
      </c>
      <c r="CD90" s="217">
        <v>400</v>
      </c>
      <c r="CE90"/>
      <c r="CF90" s="214">
        <v>20</v>
      </c>
      <c r="CG90" s="281">
        <v>40</v>
      </c>
      <c r="CH90" s="214">
        <v>20</v>
      </c>
      <c r="CI90" s="281">
        <v>16</v>
      </c>
      <c r="CJ90" s="214">
        <v>20</v>
      </c>
      <c r="CK90" s="281">
        <v>6</v>
      </c>
      <c r="CL90" s="214">
        <v>20</v>
      </c>
      <c r="CM90" s="281">
        <f t="shared" si="101"/>
        <v>42</v>
      </c>
      <c r="CN90" s="214">
        <v>20</v>
      </c>
      <c r="CO90" s="281">
        <f t="shared" si="102"/>
        <v>63</v>
      </c>
      <c r="CP90" s="214">
        <v>20</v>
      </c>
      <c r="CQ90" s="281">
        <v>14</v>
      </c>
      <c r="CR90" s="214">
        <v>20</v>
      </c>
      <c r="CS90" s="281">
        <v>21</v>
      </c>
      <c r="CT90" s="214">
        <v>20</v>
      </c>
      <c r="CU90" s="281">
        <v>8</v>
      </c>
      <c r="CV90" s="214">
        <v>20</v>
      </c>
      <c r="CW90" s="281">
        <v>1</v>
      </c>
      <c r="CX90" s="214">
        <v>20</v>
      </c>
      <c r="CY90" s="281">
        <v>6</v>
      </c>
      <c r="CZ90" s="214">
        <v>20</v>
      </c>
      <c r="DA90" s="281">
        <v>16</v>
      </c>
      <c r="DB90" s="214">
        <v>20</v>
      </c>
      <c r="DC90" s="281">
        <v>2</v>
      </c>
      <c r="DD90" s="214">
        <v>20</v>
      </c>
      <c r="DE90" s="281">
        <v>3</v>
      </c>
      <c r="DF90" s="214">
        <v>20</v>
      </c>
      <c r="DG90" s="281">
        <v>2</v>
      </c>
      <c r="DH90" s="214">
        <v>20</v>
      </c>
      <c r="DI90" s="281">
        <v>3</v>
      </c>
      <c r="DJ90" s="214">
        <v>20</v>
      </c>
      <c r="DK90" s="281">
        <v>7</v>
      </c>
      <c r="DL90" s="214">
        <v>20</v>
      </c>
      <c r="DM90" s="281">
        <v>8</v>
      </c>
    </row>
    <row r="91" spans="1:117" s="6" customFormat="1">
      <c r="A91"/>
      <c r="B91" s="236">
        <f t="shared" si="98"/>
        <v>6</v>
      </c>
      <c r="C91" s="237"/>
      <c r="D91" s="238"/>
      <c r="E91" s="238"/>
      <c r="F91" s="239"/>
      <c r="G91" s="240">
        <f t="shared" si="62"/>
        <v>0</v>
      </c>
      <c r="H91" s="239"/>
      <c r="I91" s="238"/>
      <c r="J91" s="238"/>
      <c r="K91" s="238"/>
      <c r="L91" s="238"/>
      <c r="M91" s="238"/>
      <c r="N91" s="238"/>
      <c r="O91" s="241"/>
      <c r="P91" s="238"/>
      <c r="Q91" s="241"/>
      <c r="R91" s="241"/>
      <c r="S91" s="242"/>
      <c r="T91" s="242"/>
      <c r="U91" s="243"/>
      <c r="V91" s="242"/>
      <c r="W91" s="244">
        <f t="shared" si="63"/>
        <v>0</v>
      </c>
      <c r="X91" s="244">
        <f t="shared" si="64"/>
        <v>0</v>
      </c>
      <c r="Y91" s="244">
        <f t="shared" si="65"/>
        <v>0</v>
      </c>
      <c r="Z91" s="244">
        <f t="shared" si="66"/>
        <v>0</v>
      </c>
      <c r="AA91" s="244">
        <f t="shared" si="67"/>
        <v>0</v>
      </c>
      <c r="AB91" s="244">
        <f t="shared" si="68"/>
        <v>0</v>
      </c>
      <c r="AC91" s="244">
        <f t="shared" si="69"/>
        <v>0</v>
      </c>
      <c r="AD91" s="244">
        <f t="shared" si="70"/>
        <v>0</v>
      </c>
      <c r="AE91" s="244">
        <f t="shared" si="71"/>
        <v>0</v>
      </c>
      <c r="AF91" s="244">
        <f t="shared" si="72"/>
        <v>0</v>
      </c>
      <c r="AG91" s="244">
        <f t="shared" si="73"/>
        <v>0</v>
      </c>
      <c r="AH91" s="244">
        <f t="shared" si="74"/>
        <v>0</v>
      </c>
      <c r="AI91" s="244">
        <f t="shared" si="75"/>
        <v>0</v>
      </c>
      <c r="AJ91" s="244">
        <f t="shared" si="76"/>
        <v>0</v>
      </c>
      <c r="AK91" s="244">
        <f t="shared" si="77"/>
        <v>0</v>
      </c>
      <c r="AL91" s="244">
        <f t="shared" si="78"/>
        <v>0</v>
      </c>
      <c r="AM91" s="244">
        <f t="shared" si="79"/>
        <v>0</v>
      </c>
      <c r="AN91" s="244">
        <f t="shared" si="95"/>
        <v>0</v>
      </c>
      <c r="AO91" s="278">
        <f t="shared" si="96"/>
        <v>0</v>
      </c>
      <c r="AP91" s="386">
        <f t="shared" si="80"/>
        <v>0</v>
      </c>
      <c r="AQ91" s="381">
        <f t="shared" si="81"/>
        <v>0</v>
      </c>
      <c r="AR91" s="244">
        <f t="shared" si="82"/>
        <v>0</v>
      </c>
      <c r="AS91" s="244">
        <f t="shared" si="83"/>
        <v>0</v>
      </c>
      <c r="AT91" s="244">
        <f t="shared" si="84"/>
        <v>0</v>
      </c>
      <c r="AU91" s="244">
        <f t="shared" si="85"/>
        <v>0</v>
      </c>
      <c r="AV91" s="244">
        <f t="shared" si="86"/>
        <v>0</v>
      </c>
      <c r="AW91" s="244">
        <f t="shared" si="87"/>
        <v>0</v>
      </c>
      <c r="AX91" s="244">
        <f t="shared" si="88"/>
        <v>0</v>
      </c>
      <c r="AY91" s="244">
        <f t="shared" si="89"/>
        <v>0</v>
      </c>
      <c r="AZ91" s="244">
        <f t="shared" si="90"/>
        <v>0</v>
      </c>
      <c r="BA91" s="244">
        <f t="shared" si="91"/>
        <v>0</v>
      </c>
      <c r="BB91" s="244">
        <f t="shared" si="92"/>
        <v>0</v>
      </c>
      <c r="BC91" s="244">
        <f t="shared" si="93"/>
        <v>0</v>
      </c>
      <c r="BD91" s="278">
        <f t="shared" si="94"/>
        <v>0</v>
      </c>
      <c r="BE91" s="244">
        <f t="shared" si="97"/>
        <v>0</v>
      </c>
      <c r="BF91" s="264"/>
      <c r="BG91"/>
      <c r="BH91" s="195" t="s">
        <v>449</v>
      </c>
      <c r="BI91" s="214">
        <v>50</v>
      </c>
      <c r="BJ91" s="217">
        <v>1200</v>
      </c>
      <c r="BK91" s="214">
        <v>50</v>
      </c>
      <c r="BL91" s="217">
        <v>600</v>
      </c>
      <c r="BM91" s="214">
        <v>50</v>
      </c>
      <c r="BN91" s="217">
        <f t="shared" si="99"/>
        <v>4496</v>
      </c>
      <c r="BO91" s="214">
        <v>50</v>
      </c>
      <c r="BP91" s="217">
        <f t="shared" si="100"/>
        <v>6744</v>
      </c>
      <c r="BQ91" s="214">
        <v>50</v>
      </c>
      <c r="BR91" s="217">
        <f>(9*80+4*80+6*14)*2</f>
        <v>2248</v>
      </c>
      <c r="BS91" s="214">
        <v>50</v>
      </c>
      <c r="BT91" s="217">
        <f>((9*80+4*80+6*14)*2)*1.5</f>
        <v>3372</v>
      </c>
      <c r="BU91" s="214">
        <v>50</v>
      </c>
      <c r="BV91" s="287">
        <f>35*35</f>
        <v>1225</v>
      </c>
      <c r="BW91" s="217">
        <f>35*35*1.5</f>
        <v>1837.5</v>
      </c>
      <c r="BX91" s="214">
        <v>50</v>
      </c>
      <c r="BY91" s="217">
        <v>800</v>
      </c>
      <c r="BZ91" s="219">
        <v>125</v>
      </c>
      <c r="CA91" s="219">
        <f>(50*4+15+50)*1.5</f>
        <v>397.5</v>
      </c>
      <c r="CC91" s="214">
        <v>50</v>
      </c>
      <c r="CD91" s="217">
        <v>800</v>
      </c>
      <c r="CE91"/>
      <c r="CF91" s="214">
        <v>50</v>
      </c>
      <c r="CG91" s="281">
        <v>60</v>
      </c>
      <c r="CH91" s="214">
        <v>50</v>
      </c>
      <c r="CI91" s="281">
        <v>30</v>
      </c>
      <c r="CJ91" s="214">
        <v>50</v>
      </c>
      <c r="CK91" s="281">
        <v>9</v>
      </c>
      <c r="CL91" s="214">
        <v>50</v>
      </c>
      <c r="CM91" s="281">
        <f t="shared" si="101"/>
        <v>60</v>
      </c>
      <c r="CN91" s="214">
        <v>50</v>
      </c>
      <c r="CO91" s="281">
        <f t="shared" si="102"/>
        <v>90</v>
      </c>
      <c r="CP91" s="214">
        <v>50</v>
      </c>
      <c r="CQ91" s="281">
        <v>20</v>
      </c>
      <c r="CR91" s="214">
        <v>50</v>
      </c>
      <c r="CS91" s="281">
        <v>30</v>
      </c>
      <c r="CT91" s="214">
        <v>50</v>
      </c>
      <c r="CU91" s="281">
        <v>12</v>
      </c>
      <c r="CV91" s="214">
        <v>50</v>
      </c>
      <c r="CW91" s="281">
        <v>1</v>
      </c>
      <c r="CX91" s="214">
        <v>50</v>
      </c>
      <c r="CY91" s="281">
        <v>7</v>
      </c>
      <c r="CZ91" s="214">
        <v>50</v>
      </c>
      <c r="DA91" s="281">
        <v>20</v>
      </c>
      <c r="DB91" s="214">
        <v>50</v>
      </c>
      <c r="DC91" s="281">
        <v>3</v>
      </c>
      <c r="DD91" s="214">
        <v>50</v>
      </c>
      <c r="DE91" s="281">
        <v>4</v>
      </c>
      <c r="DF91" s="214">
        <v>50</v>
      </c>
      <c r="DG91" s="281">
        <v>2</v>
      </c>
      <c r="DH91" s="214">
        <v>50</v>
      </c>
      <c r="DI91" s="281">
        <v>3</v>
      </c>
      <c r="DJ91" s="214">
        <v>50</v>
      </c>
      <c r="DK91" s="281">
        <v>9</v>
      </c>
      <c r="DL91" s="214">
        <v>50</v>
      </c>
      <c r="DM91" s="281">
        <v>12</v>
      </c>
    </row>
    <row r="92" spans="1:117" s="6" customFormat="1">
      <c r="A92"/>
      <c r="B92" s="236">
        <f t="shared" si="98"/>
        <v>7</v>
      </c>
      <c r="C92" s="237"/>
      <c r="D92" s="238"/>
      <c r="E92" s="238"/>
      <c r="F92" s="239"/>
      <c r="G92" s="240">
        <f t="shared" si="62"/>
        <v>0</v>
      </c>
      <c r="H92" s="239"/>
      <c r="I92" s="238"/>
      <c r="J92" s="238"/>
      <c r="K92" s="238"/>
      <c r="L92" s="238"/>
      <c r="M92" s="238"/>
      <c r="N92" s="238"/>
      <c r="O92" s="241"/>
      <c r="P92" s="238"/>
      <c r="Q92" s="241"/>
      <c r="R92" s="241"/>
      <c r="S92" s="242"/>
      <c r="T92" s="242"/>
      <c r="U92" s="243"/>
      <c r="V92" s="242"/>
      <c r="W92" s="244">
        <f t="shared" si="63"/>
        <v>0</v>
      </c>
      <c r="X92" s="244">
        <f t="shared" si="64"/>
        <v>0</v>
      </c>
      <c r="Y92" s="244">
        <f t="shared" si="65"/>
        <v>0</v>
      </c>
      <c r="Z92" s="244">
        <f t="shared" si="66"/>
        <v>0</v>
      </c>
      <c r="AA92" s="244">
        <f t="shared" si="67"/>
        <v>0</v>
      </c>
      <c r="AB92" s="244">
        <f t="shared" si="68"/>
        <v>0</v>
      </c>
      <c r="AC92" s="244">
        <f t="shared" si="69"/>
        <v>0</v>
      </c>
      <c r="AD92" s="244">
        <f t="shared" si="70"/>
        <v>0</v>
      </c>
      <c r="AE92" s="244">
        <f t="shared" si="71"/>
        <v>0</v>
      </c>
      <c r="AF92" s="244">
        <f t="shared" si="72"/>
        <v>0</v>
      </c>
      <c r="AG92" s="244">
        <f t="shared" si="73"/>
        <v>0</v>
      </c>
      <c r="AH92" s="244">
        <f t="shared" si="74"/>
        <v>0</v>
      </c>
      <c r="AI92" s="244">
        <f t="shared" si="75"/>
        <v>0</v>
      </c>
      <c r="AJ92" s="244">
        <f t="shared" si="76"/>
        <v>0</v>
      </c>
      <c r="AK92" s="244">
        <f t="shared" si="77"/>
        <v>0</v>
      </c>
      <c r="AL92" s="244">
        <f t="shared" si="78"/>
        <v>0</v>
      </c>
      <c r="AM92" s="244">
        <f t="shared" si="79"/>
        <v>0</v>
      </c>
      <c r="AN92" s="244">
        <f t="shared" si="95"/>
        <v>0</v>
      </c>
      <c r="AO92" s="278">
        <f t="shared" si="96"/>
        <v>0</v>
      </c>
      <c r="AP92" s="386">
        <f t="shared" si="80"/>
        <v>0</v>
      </c>
      <c r="AQ92" s="381">
        <f t="shared" si="81"/>
        <v>0</v>
      </c>
      <c r="AR92" s="244">
        <f t="shared" si="82"/>
        <v>0</v>
      </c>
      <c r="AS92" s="244">
        <f t="shared" si="83"/>
        <v>0</v>
      </c>
      <c r="AT92" s="244">
        <f t="shared" si="84"/>
        <v>0</v>
      </c>
      <c r="AU92" s="244">
        <f t="shared" si="85"/>
        <v>0</v>
      </c>
      <c r="AV92" s="244">
        <f t="shared" si="86"/>
        <v>0</v>
      </c>
      <c r="AW92" s="244">
        <f t="shared" si="87"/>
        <v>0</v>
      </c>
      <c r="AX92" s="244">
        <f t="shared" si="88"/>
        <v>0</v>
      </c>
      <c r="AY92" s="244">
        <f t="shared" si="89"/>
        <v>0</v>
      </c>
      <c r="AZ92" s="244">
        <f t="shared" si="90"/>
        <v>0</v>
      </c>
      <c r="BA92" s="244">
        <f t="shared" si="91"/>
        <v>0</v>
      </c>
      <c r="BB92" s="244">
        <f t="shared" si="92"/>
        <v>0</v>
      </c>
      <c r="BC92" s="244">
        <f t="shared" si="93"/>
        <v>0</v>
      </c>
      <c r="BD92" s="278">
        <f t="shared" si="94"/>
        <v>0</v>
      </c>
      <c r="BE92" s="244">
        <f t="shared" si="97"/>
        <v>0</v>
      </c>
      <c r="BF92" s="264"/>
      <c r="BG92"/>
      <c r="BH92" s="115"/>
      <c r="BI92" s="216">
        <v>75</v>
      </c>
      <c r="BJ92" s="218">
        <v>4000</v>
      </c>
      <c r="BK92" s="216">
        <v>75</v>
      </c>
      <c r="BL92" s="218">
        <v>1500</v>
      </c>
      <c r="BM92" s="216">
        <v>75</v>
      </c>
      <c r="BN92" s="218">
        <f t="shared" si="99"/>
        <v>6096</v>
      </c>
      <c r="BO92" s="216">
        <v>75</v>
      </c>
      <c r="BP92" s="218">
        <f t="shared" si="100"/>
        <v>9144</v>
      </c>
      <c r="BQ92" s="216">
        <v>75</v>
      </c>
      <c r="BR92" s="218">
        <f>(12*80+6*80+6*14)*2</f>
        <v>3048</v>
      </c>
      <c r="BS92" s="216">
        <v>75</v>
      </c>
      <c r="BT92" s="218">
        <f>((12*80+6*80+6*14)*2)*1.5</f>
        <v>4572</v>
      </c>
      <c r="BU92" s="216">
        <v>75</v>
      </c>
      <c r="BV92" s="288">
        <f>70*35</f>
        <v>2450</v>
      </c>
      <c r="BW92" s="218">
        <f>70*35*1.5</f>
        <v>3675</v>
      </c>
      <c r="BX92" s="216">
        <v>75</v>
      </c>
      <c r="BY92" s="218">
        <v>1600</v>
      </c>
      <c r="CC92" s="216">
        <v>75</v>
      </c>
      <c r="CD92" s="218">
        <v>1600</v>
      </c>
      <c r="CE92"/>
      <c r="CF92" s="216">
        <v>75</v>
      </c>
      <c r="CG92" s="282">
        <f>CG91*2</f>
        <v>120</v>
      </c>
      <c r="CH92" s="216">
        <v>75</v>
      </c>
      <c r="CI92" s="282">
        <v>60</v>
      </c>
      <c r="CJ92" s="216">
        <v>75</v>
      </c>
      <c r="CK92" s="282">
        <v>14</v>
      </c>
      <c r="CL92" s="216">
        <v>75</v>
      </c>
      <c r="CM92" s="282">
        <f t="shared" si="101"/>
        <v>120</v>
      </c>
      <c r="CN92" s="216">
        <v>75</v>
      </c>
      <c r="CO92" s="282">
        <f t="shared" si="102"/>
        <v>180</v>
      </c>
      <c r="CP92" s="216">
        <v>75</v>
      </c>
      <c r="CQ92" s="282">
        <v>40</v>
      </c>
      <c r="CR92" s="216">
        <v>75</v>
      </c>
      <c r="CS92" s="282">
        <v>60</v>
      </c>
      <c r="CT92" s="216">
        <v>75</v>
      </c>
      <c r="CU92" s="282">
        <v>16</v>
      </c>
      <c r="CV92" s="216">
        <v>75</v>
      </c>
      <c r="CW92" s="282">
        <v>1</v>
      </c>
      <c r="CX92" s="216">
        <v>75</v>
      </c>
      <c r="CY92" s="282">
        <v>9</v>
      </c>
      <c r="CZ92" s="216">
        <v>75</v>
      </c>
      <c r="DA92" s="282">
        <v>24</v>
      </c>
      <c r="DB92" s="216">
        <v>75</v>
      </c>
      <c r="DC92" s="282">
        <v>4</v>
      </c>
      <c r="DD92" s="216">
        <v>75</v>
      </c>
      <c r="DE92" s="282">
        <v>4</v>
      </c>
      <c r="DF92" s="216">
        <v>75</v>
      </c>
      <c r="DG92" s="282">
        <v>2</v>
      </c>
      <c r="DH92" s="216">
        <v>75</v>
      </c>
      <c r="DI92" s="282">
        <v>3</v>
      </c>
      <c r="DJ92" s="216">
        <v>75</v>
      </c>
      <c r="DK92" s="282">
        <v>14</v>
      </c>
      <c r="DL92" s="216">
        <v>75</v>
      </c>
      <c r="DM92" s="282">
        <v>16</v>
      </c>
    </row>
    <row r="93" spans="1:117" s="6" customFormat="1">
      <c r="A93"/>
      <c r="B93" s="236">
        <f t="shared" si="98"/>
        <v>8</v>
      </c>
      <c r="C93" s="237"/>
      <c r="D93" s="238"/>
      <c r="E93" s="238"/>
      <c r="F93" s="239"/>
      <c r="G93" s="240">
        <f t="shared" si="62"/>
        <v>0</v>
      </c>
      <c r="H93" s="239"/>
      <c r="I93" s="238"/>
      <c r="J93" s="238"/>
      <c r="K93" s="238"/>
      <c r="L93" s="238"/>
      <c r="M93" s="238"/>
      <c r="N93" s="238"/>
      <c r="O93" s="241"/>
      <c r="P93" s="238"/>
      <c r="Q93" s="241"/>
      <c r="R93" s="241"/>
      <c r="S93" s="242"/>
      <c r="T93" s="243"/>
      <c r="U93" s="243"/>
      <c r="V93" s="243"/>
      <c r="W93" s="244">
        <f t="shared" si="63"/>
        <v>0</v>
      </c>
      <c r="X93" s="244">
        <f t="shared" si="64"/>
        <v>0</v>
      </c>
      <c r="Y93" s="244">
        <f t="shared" si="65"/>
        <v>0</v>
      </c>
      <c r="Z93" s="244">
        <f t="shared" si="66"/>
        <v>0</v>
      </c>
      <c r="AA93" s="244">
        <f t="shared" si="67"/>
        <v>0</v>
      </c>
      <c r="AB93" s="244">
        <f t="shared" si="68"/>
        <v>0</v>
      </c>
      <c r="AC93" s="244">
        <f t="shared" si="69"/>
        <v>0</v>
      </c>
      <c r="AD93" s="244">
        <f t="shared" si="70"/>
        <v>0</v>
      </c>
      <c r="AE93" s="244">
        <f t="shared" si="71"/>
        <v>0</v>
      </c>
      <c r="AF93" s="244">
        <f t="shared" si="72"/>
        <v>0</v>
      </c>
      <c r="AG93" s="244">
        <f t="shared" si="73"/>
        <v>0</v>
      </c>
      <c r="AH93" s="244">
        <f t="shared" si="74"/>
        <v>0</v>
      </c>
      <c r="AI93" s="244">
        <f t="shared" si="75"/>
        <v>0</v>
      </c>
      <c r="AJ93" s="244">
        <f t="shared" si="76"/>
        <v>0</v>
      </c>
      <c r="AK93" s="244">
        <f t="shared" si="77"/>
        <v>0</v>
      </c>
      <c r="AL93" s="244">
        <f t="shared" si="78"/>
        <v>0</v>
      </c>
      <c r="AM93" s="244">
        <f t="shared" si="79"/>
        <v>0</v>
      </c>
      <c r="AN93" s="244">
        <f t="shared" si="95"/>
        <v>0</v>
      </c>
      <c r="AO93" s="278">
        <f t="shared" si="96"/>
        <v>0</v>
      </c>
      <c r="AP93" s="386">
        <f t="shared" si="80"/>
        <v>0</v>
      </c>
      <c r="AQ93" s="381">
        <f t="shared" si="81"/>
        <v>0</v>
      </c>
      <c r="AR93" s="244">
        <f t="shared" si="82"/>
        <v>0</v>
      </c>
      <c r="AS93" s="244">
        <f t="shared" si="83"/>
        <v>0</v>
      </c>
      <c r="AT93" s="244">
        <f t="shared" si="84"/>
        <v>0</v>
      </c>
      <c r="AU93" s="244">
        <f t="shared" si="85"/>
        <v>0</v>
      </c>
      <c r="AV93" s="244">
        <f t="shared" si="86"/>
        <v>0</v>
      </c>
      <c r="AW93" s="244">
        <f t="shared" si="87"/>
        <v>0</v>
      </c>
      <c r="AX93" s="244">
        <f t="shared" si="88"/>
        <v>0</v>
      </c>
      <c r="AY93" s="244">
        <f t="shared" si="89"/>
        <v>0</v>
      </c>
      <c r="AZ93" s="244">
        <f t="shared" si="90"/>
        <v>0</v>
      </c>
      <c r="BA93" s="244">
        <f t="shared" si="91"/>
        <v>0</v>
      </c>
      <c r="BB93" s="244">
        <f t="shared" si="92"/>
        <v>0</v>
      </c>
      <c r="BC93" s="244">
        <f t="shared" si="93"/>
        <v>0</v>
      </c>
      <c r="BD93" s="278">
        <f t="shared" si="94"/>
        <v>0</v>
      </c>
      <c r="BE93" s="244">
        <f t="shared" si="97"/>
        <v>0</v>
      </c>
      <c r="BF93" s="264"/>
      <c r="BG93"/>
      <c r="BH93"/>
      <c r="BI93"/>
    </row>
    <row r="94" spans="1:117" s="6" customFormat="1">
      <c r="A94"/>
      <c r="B94" s="236">
        <f t="shared" si="98"/>
        <v>9</v>
      </c>
      <c r="C94" s="237"/>
      <c r="D94" s="238"/>
      <c r="E94" s="238"/>
      <c r="F94" s="239"/>
      <c r="G94" s="240">
        <f t="shared" si="62"/>
        <v>0</v>
      </c>
      <c r="H94" s="239"/>
      <c r="I94" s="238"/>
      <c r="J94" s="238"/>
      <c r="K94" s="238"/>
      <c r="L94" s="238"/>
      <c r="M94" s="238"/>
      <c r="N94" s="238"/>
      <c r="O94" s="241"/>
      <c r="P94" s="238"/>
      <c r="Q94" s="241"/>
      <c r="R94" s="241"/>
      <c r="S94" s="242"/>
      <c r="T94" s="243"/>
      <c r="U94" s="243"/>
      <c r="V94" s="243"/>
      <c r="W94" s="244">
        <f t="shared" si="63"/>
        <v>0</v>
      </c>
      <c r="X94" s="244">
        <f t="shared" si="64"/>
        <v>0</v>
      </c>
      <c r="Y94" s="244">
        <f t="shared" si="65"/>
        <v>0</v>
      </c>
      <c r="Z94" s="244">
        <f t="shared" si="66"/>
        <v>0</v>
      </c>
      <c r="AA94" s="244">
        <f t="shared" si="67"/>
        <v>0</v>
      </c>
      <c r="AB94" s="244">
        <f t="shared" si="68"/>
        <v>0</v>
      </c>
      <c r="AC94" s="244">
        <f t="shared" si="69"/>
        <v>0</v>
      </c>
      <c r="AD94" s="244">
        <f t="shared" si="70"/>
        <v>0</v>
      </c>
      <c r="AE94" s="244">
        <f t="shared" si="71"/>
        <v>0</v>
      </c>
      <c r="AF94" s="244">
        <f t="shared" si="72"/>
        <v>0</v>
      </c>
      <c r="AG94" s="244">
        <f t="shared" si="73"/>
        <v>0</v>
      </c>
      <c r="AH94" s="244">
        <f t="shared" si="74"/>
        <v>0</v>
      </c>
      <c r="AI94" s="244">
        <f t="shared" si="75"/>
        <v>0</v>
      </c>
      <c r="AJ94" s="244">
        <f t="shared" si="76"/>
        <v>0</v>
      </c>
      <c r="AK94" s="244">
        <f t="shared" si="77"/>
        <v>0</v>
      </c>
      <c r="AL94" s="244">
        <f t="shared" si="78"/>
        <v>0</v>
      </c>
      <c r="AM94" s="244">
        <f t="shared" si="79"/>
        <v>0</v>
      </c>
      <c r="AN94" s="244">
        <f t="shared" si="95"/>
        <v>0</v>
      </c>
      <c r="AO94" s="278">
        <f t="shared" si="96"/>
        <v>0</v>
      </c>
      <c r="AP94" s="386">
        <f t="shared" si="80"/>
        <v>0</v>
      </c>
      <c r="AQ94" s="381">
        <f t="shared" si="81"/>
        <v>0</v>
      </c>
      <c r="AR94" s="244">
        <f t="shared" si="82"/>
        <v>0</v>
      </c>
      <c r="AS94" s="244">
        <f t="shared" si="83"/>
        <v>0</v>
      </c>
      <c r="AT94" s="244">
        <f t="shared" si="84"/>
        <v>0</v>
      </c>
      <c r="AU94" s="244">
        <f t="shared" si="85"/>
        <v>0</v>
      </c>
      <c r="AV94" s="244">
        <f t="shared" si="86"/>
        <v>0</v>
      </c>
      <c r="AW94" s="244">
        <f t="shared" si="87"/>
        <v>0</v>
      </c>
      <c r="AX94" s="244">
        <f t="shared" si="88"/>
        <v>0</v>
      </c>
      <c r="AY94" s="244">
        <f t="shared" si="89"/>
        <v>0</v>
      </c>
      <c r="AZ94" s="244">
        <f t="shared" si="90"/>
        <v>0</v>
      </c>
      <c r="BA94" s="244">
        <f t="shared" si="91"/>
        <v>0</v>
      </c>
      <c r="BB94" s="244">
        <f t="shared" si="92"/>
        <v>0</v>
      </c>
      <c r="BC94" s="244">
        <f t="shared" si="93"/>
        <v>0</v>
      </c>
      <c r="BD94" s="278">
        <f t="shared" si="94"/>
        <v>0</v>
      </c>
      <c r="BE94" s="244">
        <f t="shared" si="97"/>
        <v>0</v>
      </c>
      <c r="BF94" s="264"/>
      <c r="BG94"/>
      <c r="BH94"/>
      <c r="BI94"/>
    </row>
    <row r="95" spans="1:117" s="6" customFormat="1">
      <c r="A95"/>
      <c r="B95" s="236">
        <f t="shared" si="98"/>
        <v>10</v>
      </c>
      <c r="C95" s="237"/>
      <c r="D95" s="238"/>
      <c r="E95" s="238"/>
      <c r="F95" s="239"/>
      <c r="G95" s="240">
        <f t="shared" si="62"/>
        <v>0</v>
      </c>
      <c r="H95" s="239"/>
      <c r="I95" s="238"/>
      <c r="J95" s="238"/>
      <c r="K95" s="238"/>
      <c r="L95" s="238"/>
      <c r="M95" s="238"/>
      <c r="N95" s="238"/>
      <c r="O95" s="241"/>
      <c r="P95" s="238"/>
      <c r="Q95" s="241"/>
      <c r="R95" s="241"/>
      <c r="S95" s="242"/>
      <c r="T95" s="243"/>
      <c r="U95" s="243"/>
      <c r="V95" s="243"/>
      <c r="W95" s="244">
        <f t="shared" si="63"/>
        <v>0</v>
      </c>
      <c r="X95" s="244">
        <f t="shared" si="64"/>
        <v>0</v>
      </c>
      <c r="Y95" s="244">
        <f t="shared" si="65"/>
        <v>0</v>
      </c>
      <c r="Z95" s="244">
        <f t="shared" si="66"/>
        <v>0</v>
      </c>
      <c r="AA95" s="244">
        <f t="shared" si="67"/>
        <v>0</v>
      </c>
      <c r="AB95" s="244">
        <f t="shared" si="68"/>
        <v>0</v>
      </c>
      <c r="AC95" s="244">
        <f t="shared" si="69"/>
        <v>0</v>
      </c>
      <c r="AD95" s="244">
        <f t="shared" si="70"/>
        <v>0</v>
      </c>
      <c r="AE95" s="244">
        <f t="shared" si="71"/>
        <v>0</v>
      </c>
      <c r="AF95" s="244">
        <f t="shared" si="72"/>
        <v>0</v>
      </c>
      <c r="AG95" s="244">
        <f t="shared" si="73"/>
        <v>0</v>
      </c>
      <c r="AH95" s="244">
        <f t="shared" si="74"/>
        <v>0</v>
      </c>
      <c r="AI95" s="244">
        <f t="shared" si="75"/>
        <v>0</v>
      </c>
      <c r="AJ95" s="244">
        <f t="shared" si="76"/>
        <v>0</v>
      </c>
      <c r="AK95" s="244">
        <f t="shared" si="77"/>
        <v>0</v>
      </c>
      <c r="AL95" s="244">
        <f t="shared" si="78"/>
        <v>0</v>
      </c>
      <c r="AM95" s="244">
        <f t="shared" si="79"/>
        <v>0</v>
      </c>
      <c r="AN95" s="244">
        <f t="shared" si="95"/>
        <v>0</v>
      </c>
      <c r="AO95" s="278">
        <f t="shared" si="96"/>
        <v>0</v>
      </c>
      <c r="AP95" s="386">
        <f t="shared" si="80"/>
        <v>0</v>
      </c>
      <c r="AQ95" s="381">
        <f t="shared" si="81"/>
        <v>0</v>
      </c>
      <c r="AR95" s="244">
        <f t="shared" si="82"/>
        <v>0</v>
      </c>
      <c r="AS95" s="244">
        <f t="shared" si="83"/>
        <v>0</v>
      </c>
      <c r="AT95" s="244">
        <f t="shared" si="84"/>
        <v>0</v>
      </c>
      <c r="AU95" s="244">
        <f t="shared" si="85"/>
        <v>0</v>
      </c>
      <c r="AV95" s="244">
        <f t="shared" si="86"/>
        <v>0</v>
      </c>
      <c r="AW95" s="244">
        <f t="shared" si="87"/>
        <v>0</v>
      </c>
      <c r="AX95" s="244">
        <f t="shared" si="88"/>
        <v>0</v>
      </c>
      <c r="AY95" s="244">
        <f t="shared" si="89"/>
        <v>0</v>
      </c>
      <c r="AZ95" s="244">
        <f t="shared" si="90"/>
        <v>0</v>
      </c>
      <c r="BA95" s="244">
        <f t="shared" si="91"/>
        <v>0</v>
      </c>
      <c r="BB95" s="244">
        <f t="shared" si="92"/>
        <v>0</v>
      </c>
      <c r="BC95" s="244">
        <f t="shared" si="93"/>
        <v>0</v>
      </c>
      <c r="BD95" s="278">
        <f t="shared" si="94"/>
        <v>0</v>
      </c>
      <c r="BE95" s="244">
        <f t="shared" si="97"/>
        <v>0</v>
      </c>
      <c r="BF95" s="264"/>
      <c r="BG95"/>
      <c r="BH95"/>
      <c r="BI95"/>
    </row>
    <row r="96" spans="1:117" s="6" customFormat="1">
      <c r="A96"/>
      <c r="B96" s="236">
        <f t="shared" si="98"/>
        <v>11</v>
      </c>
      <c r="C96" s="237"/>
      <c r="D96" s="238"/>
      <c r="E96" s="238"/>
      <c r="F96" s="239"/>
      <c r="G96" s="240">
        <f t="shared" si="62"/>
        <v>0</v>
      </c>
      <c r="H96" s="239"/>
      <c r="I96" s="238"/>
      <c r="J96" s="238"/>
      <c r="K96" s="238"/>
      <c r="L96" s="238"/>
      <c r="M96" s="238"/>
      <c r="N96" s="238"/>
      <c r="O96" s="241"/>
      <c r="P96" s="238"/>
      <c r="Q96" s="241"/>
      <c r="R96" s="241"/>
      <c r="S96" s="242"/>
      <c r="T96" s="243"/>
      <c r="U96" s="243"/>
      <c r="V96" s="243"/>
      <c r="W96" s="244">
        <f t="shared" si="63"/>
        <v>0</v>
      </c>
      <c r="X96" s="244">
        <f t="shared" si="64"/>
        <v>0</v>
      </c>
      <c r="Y96" s="244">
        <f t="shared" si="65"/>
        <v>0</v>
      </c>
      <c r="Z96" s="244">
        <f t="shared" si="66"/>
        <v>0</v>
      </c>
      <c r="AA96" s="244">
        <f t="shared" si="67"/>
        <v>0</v>
      </c>
      <c r="AB96" s="244">
        <f t="shared" si="68"/>
        <v>0</v>
      </c>
      <c r="AC96" s="244">
        <f t="shared" si="69"/>
        <v>0</v>
      </c>
      <c r="AD96" s="244">
        <f t="shared" si="70"/>
        <v>0</v>
      </c>
      <c r="AE96" s="244">
        <f t="shared" si="71"/>
        <v>0</v>
      </c>
      <c r="AF96" s="244">
        <f t="shared" si="72"/>
        <v>0</v>
      </c>
      <c r="AG96" s="244">
        <f t="shared" si="73"/>
        <v>0</v>
      </c>
      <c r="AH96" s="244">
        <f t="shared" si="74"/>
        <v>0</v>
      </c>
      <c r="AI96" s="244">
        <f t="shared" si="75"/>
        <v>0</v>
      </c>
      <c r="AJ96" s="244">
        <f t="shared" si="76"/>
        <v>0</v>
      </c>
      <c r="AK96" s="244">
        <f t="shared" si="77"/>
        <v>0</v>
      </c>
      <c r="AL96" s="244">
        <f t="shared" si="78"/>
        <v>0</v>
      </c>
      <c r="AM96" s="244">
        <f t="shared" si="79"/>
        <v>0</v>
      </c>
      <c r="AN96" s="244">
        <f t="shared" si="95"/>
        <v>0</v>
      </c>
      <c r="AO96" s="278">
        <f t="shared" si="96"/>
        <v>0</v>
      </c>
      <c r="AP96" s="386">
        <f t="shared" si="80"/>
        <v>0</v>
      </c>
      <c r="AQ96" s="381">
        <f t="shared" si="81"/>
        <v>0</v>
      </c>
      <c r="AR96" s="244">
        <f t="shared" si="82"/>
        <v>0</v>
      </c>
      <c r="AS96" s="244">
        <f t="shared" si="83"/>
        <v>0</v>
      </c>
      <c r="AT96" s="244">
        <f t="shared" si="84"/>
        <v>0</v>
      </c>
      <c r="AU96" s="244">
        <f t="shared" si="85"/>
        <v>0</v>
      </c>
      <c r="AV96" s="244">
        <f t="shared" si="86"/>
        <v>0</v>
      </c>
      <c r="AW96" s="244">
        <f t="shared" si="87"/>
        <v>0</v>
      </c>
      <c r="AX96" s="244">
        <f t="shared" si="88"/>
        <v>0</v>
      </c>
      <c r="AY96" s="244">
        <f t="shared" si="89"/>
        <v>0</v>
      </c>
      <c r="AZ96" s="244">
        <f t="shared" si="90"/>
        <v>0</v>
      </c>
      <c r="BA96" s="244">
        <f t="shared" si="91"/>
        <v>0</v>
      </c>
      <c r="BB96" s="244">
        <f t="shared" si="92"/>
        <v>0</v>
      </c>
      <c r="BC96" s="244">
        <f t="shared" si="93"/>
        <v>0</v>
      </c>
      <c r="BD96" s="278">
        <f t="shared" si="94"/>
        <v>0</v>
      </c>
      <c r="BE96" s="244">
        <f t="shared" si="97"/>
        <v>0</v>
      </c>
      <c r="BF96" s="264"/>
      <c r="BG96"/>
      <c r="BH96"/>
      <c r="BI96"/>
    </row>
    <row r="97" spans="2:58">
      <c r="B97" s="236">
        <f t="shared" si="98"/>
        <v>12</v>
      </c>
      <c r="C97" s="237"/>
      <c r="D97" s="238"/>
      <c r="E97" s="238"/>
      <c r="F97" s="239"/>
      <c r="G97" s="240">
        <f t="shared" si="62"/>
        <v>0</v>
      </c>
      <c r="H97" s="239"/>
      <c r="I97" s="238"/>
      <c r="J97" s="238"/>
      <c r="K97" s="238"/>
      <c r="L97" s="238"/>
      <c r="M97" s="238"/>
      <c r="N97" s="238"/>
      <c r="O97" s="241"/>
      <c r="P97" s="238"/>
      <c r="Q97" s="241"/>
      <c r="R97" s="241"/>
      <c r="S97" s="242"/>
      <c r="T97" s="243"/>
      <c r="U97" s="243"/>
      <c r="V97" s="243"/>
      <c r="W97" s="244">
        <f t="shared" si="63"/>
        <v>0</v>
      </c>
      <c r="X97" s="244">
        <f t="shared" si="64"/>
        <v>0</v>
      </c>
      <c r="Y97" s="244">
        <f t="shared" si="65"/>
        <v>0</v>
      </c>
      <c r="Z97" s="244">
        <f t="shared" si="66"/>
        <v>0</v>
      </c>
      <c r="AA97" s="244">
        <f t="shared" si="67"/>
        <v>0</v>
      </c>
      <c r="AB97" s="244">
        <f t="shared" si="68"/>
        <v>0</v>
      </c>
      <c r="AC97" s="244">
        <f t="shared" si="69"/>
        <v>0</v>
      </c>
      <c r="AD97" s="244">
        <f t="shared" si="70"/>
        <v>0</v>
      </c>
      <c r="AE97" s="244">
        <f t="shared" si="71"/>
        <v>0</v>
      </c>
      <c r="AF97" s="244">
        <f t="shared" si="72"/>
        <v>0</v>
      </c>
      <c r="AG97" s="244">
        <f t="shared" si="73"/>
        <v>0</v>
      </c>
      <c r="AH97" s="244">
        <f t="shared" si="74"/>
        <v>0</v>
      </c>
      <c r="AI97" s="244">
        <f t="shared" si="75"/>
        <v>0</v>
      </c>
      <c r="AJ97" s="244">
        <f t="shared" si="76"/>
        <v>0</v>
      </c>
      <c r="AK97" s="244">
        <f t="shared" si="77"/>
        <v>0</v>
      </c>
      <c r="AL97" s="244">
        <f t="shared" si="78"/>
        <v>0</v>
      </c>
      <c r="AM97" s="244">
        <f t="shared" si="79"/>
        <v>0</v>
      </c>
      <c r="AN97" s="244">
        <f t="shared" si="95"/>
        <v>0</v>
      </c>
      <c r="AO97" s="278">
        <f t="shared" si="96"/>
        <v>0</v>
      </c>
      <c r="AP97" s="386">
        <f t="shared" si="80"/>
        <v>0</v>
      </c>
      <c r="AQ97" s="381">
        <f t="shared" si="81"/>
        <v>0</v>
      </c>
      <c r="AR97" s="244">
        <f t="shared" si="82"/>
        <v>0</v>
      </c>
      <c r="AS97" s="244">
        <f t="shared" si="83"/>
        <v>0</v>
      </c>
      <c r="AT97" s="244">
        <f t="shared" si="84"/>
        <v>0</v>
      </c>
      <c r="AU97" s="244">
        <f t="shared" si="85"/>
        <v>0</v>
      </c>
      <c r="AV97" s="244">
        <f t="shared" si="86"/>
        <v>0</v>
      </c>
      <c r="AW97" s="244">
        <f t="shared" si="87"/>
        <v>0</v>
      </c>
      <c r="AX97" s="244">
        <f t="shared" si="88"/>
        <v>0</v>
      </c>
      <c r="AY97" s="244">
        <f t="shared" si="89"/>
        <v>0</v>
      </c>
      <c r="AZ97" s="244">
        <f t="shared" si="90"/>
        <v>0</v>
      </c>
      <c r="BA97" s="244">
        <f t="shared" si="91"/>
        <v>0</v>
      </c>
      <c r="BB97" s="244">
        <f t="shared" si="92"/>
        <v>0</v>
      </c>
      <c r="BC97" s="244">
        <f t="shared" si="93"/>
        <v>0</v>
      </c>
      <c r="BD97" s="278">
        <f t="shared" si="94"/>
        <v>0</v>
      </c>
      <c r="BE97" s="244">
        <f t="shared" si="97"/>
        <v>0</v>
      </c>
      <c r="BF97" s="264"/>
    </row>
    <row r="98" spans="2:58">
      <c r="B98" s="236">
        <f t="shared" si="98"/>
        <v>13</v>
      </c>
      <c r="C98" s="237"/>
      <c r="D98" s="238"/>
      <c r="E98" s="238"/>
      <c r="F98" s="239"/>
      <c r="G98" s="240">
        <f t="shared" si="62"/>
        <v>0</v>
      </c>
      <c r="H98" s="239"/>
      <c r="I98" s="238"/>
      <c r="J98" s="238"/>
      <c r="K98" s="238"/>
      <c r="L98" s="238"/>
      <c r="M98" s="238"/>
      <c r="N98" s="238"/>
      <c r="O98" s="241"/>
      <c r="P98" s="238"/>
      <c r="Q98" s="241"/>
      <c r="R98" s="241"/>
      <c r="S98" s="242"/>
      <c r="T98" s="243"/>
      <c r="U98" s="243"/>
      <c r="V98" s="243"/>
      <c r="W98" s="244">
        <f t="shared" si="63"/>
        <v>0</v>
      </c>
      <c r="X98" s="244">
        <f t="shared" si="64"/>
        <v>0</v>
      </c>
      <c r="Y98" s="244">
        <f t="shared" si="65"/>
        <v>0</v>
      </c>
      <c r="Z98" s="244">
        <f t="shared" si="66"/>
        <v>0</v>
      </c>
      <c r="AA98" s="244">
        <f t="shared" si="67"/>
        <v>0</v>
      </c>
      <c r="AB98" s="244">
        <f t="shared" si="68"/>
        <v>0</v>
      </c>
      <c r="AC98" s="244">
        <f t="shared" si="69"/>
        <v>0</v>
      </c>
      <c r="AD98" s="244">
        <f t="shared" si="70"/>
        <v>0</v>
      </c>
      <c r="AE98" s="244">
        <f t="shared" si="71"/>
        <v>0</v>
      </c>
      <c r="AF98" s="244">
        <f t="shared" si="72"/>
        <v>0</v>
      </c>
      <c r="AG98" s="244">
        <f t="shared" si="73"/>
        <v>0</v>
      </c>
      <c r="AH98" s="244">
        <f t="shared" si="74"/>
        <v>0</v>
      </c>
      <c r="AI98" s="244">
        <f t="shared" si="75"/>
        <v>0</v>
      </c>
      <c r="AJ98" s="244">
        <f t="shared" si="76"/>
        <v>0</v>
      </c>
      <c r="AK98" s="244">
        <f t="shared" si="77"/>
        <v>0</v>
      </c>
      <c r="AL98" s="244">
        <f t="shared" si="78"/>
        <v>0</v>
      </c>
      <c r="AM98" s="244">
        <f t="shared" si="79"/>
        <v>0</v>
      </c>
      <c r="AN98" s="244">
        <f t="shared" si="95"/>
        <v>0</v>
      </c>
      <c r="AO98" s="278">
        <f t="shared" si="96"/>
        <v>0</v>
      </c>
      <c r="AP98" s="386">
        <f t="shared" si="80"/>
        <v>0</v>
      </c>
      <c r="AQ98" s="381">
        <f t="shared" si="81"/>
        <v>0</v>
      </c>
      <c r="AR98" s="244">
        <f t="shared" si="82"/>
        <v>0</v>
      </c>
      <c r="AS98" s="244">
        <f t="shared" si="83"/>
        <v>0</v>
      </c>
      <c r="AT98" s="244">
        <f t="shared" si="84"/>
        <v>0</v>
      </c>
      <c r="AU98" s="244">
        <f t="shared" si="85"/>
        <v>0</v>
      </c>
      <c r="AV98" s="244">
        <f t="shared" si="86"/>
        <v>0</v>
      </c>
      <c r="AW98" s="244">
        <f t="shared" si="87"/>
        <v>0</v>
      </c>
      <c r="AX98" s="244">
        <f t="shared" si="88"/>
        <v>0</v>
      </c>
      <c r="AY98" s="244">
        <f t="shared" si="89"/>
        <v>0</v>
      </c>
      <c r="AZ98" s="244">
        <f t="shared" si="90"/>
        <v>0</v>
      </c>
      <c r="BA98" s="244">
        <f t="shared" si="91"/>
        <v>0</v>
      </c>
      <c r="BB98" s="244">
        <f t="shared" si="92"/>
        <v>0</v>
      </c>
      <c r="BC98" s="244">
        <f t="shared" si="93"/>
        <v>0</v>
      </c>
      <c r="BD98" s="278">
        <f t="shared" si="94"/>
        <v>0</v>
      </c>
      <c r="BE98" s="244">
        <f t="shared" si="97"/>
        <v>0</v>
      </c>
      <c r="BF98" s="264"/>
    </row>
    <row r="99" spans="2:58">
      <c r="B99" s="236">
        <f t="shared" si="98"/>
        <v>14</v>
      </c>
      <c r="C99" s="237"/>
      <c r="D99" s="238"/>
      <c r="E99" s="238"/>
      <c r="F99" s="239"/>
      <c r="G99" s="240">
        <f t="shared" si="62"/>
        <v>0</v>
      </c>
      <c r="H99" s="239"/>
      <c r="I99" s="238"/>
      <c r="J99" s="238"/>
      <c r="K99" s="238"/>
      <c r="L99" s="238"/>
      <c r="M99" s="238"/>
      <c r="N99" s="238"/>
      <c r="O99" s="241"/>
      <c r="P99" s="238"/>
      <c r="Q99" s="241"/>
      <c r="R99" s="241"/>
      <c r="S99" s="242"/>
      <c r="T99" s="243"/>
      <c r="U99" s="243"/>
      <c r="V99" s="243"/>
      <c r="W99" s="244">
        <f t="shared" si="63"/>
        <v>0</v>
      </c>
      <c r="X99" s="244">
        <f t="shared" si="64"/>
        <v>0</v>
      </c>
      <c r="Y99" s="244">
        <f t="shared" si="65"/>
        <v>0</v>
      </c>
      <c r="Z99" s="244">
        <f t="shared" si="66"/>
        <v>0</v>
      </c>
      <c r="AA99" s="244">
        <f t="shared" si="67"/>
        <v>0</v>
      </c>
      <c r="AB99" s="244">
        <f t="shared" si="68"/>
        <v>0</v>
      </c>
      <c r="AC99" s="244">
        <f t="shared" si="69"/>
        <v>0</v>
      </c>
      <c r="AD99" s="244">
        <f t="shared" si="70"/>
        <v>0</v>
      </c>
      <c r="AE99" s="244">
        <f t="shared" si="71"/>
        <v>0</v>
      </c>
      <c r="AF99" s="244">
        <f t="shared" si="72"/>
        <v>0</v>
      </c>
      <c r="AG99" s="244">
        <f t="shared" si="73"/>
        <v>0</v>
      </c>
      <c r="AH99" s="244">
        <f t="shared" si="74"/>
        <v>0</v>
      </c>
      <c r="AI99" s="244">
        <f t="shared" si="75"/>
        <v>0</v>
      </c>
      <c r="AJ99" s="244">
        <f t="shared" si="76"/>
        <v>0</v>
      </c>
      <c r="AK99" s="244">
        <f t="shared" si="77"/>
        <v>0</v>
      </c>
      <c r="AL99" s="244">
        <f t="shared" si="78"/>
        <v>0</v>
      </c>
      <c r="AM99" s="244">
        <f t="shared" si="79"/>
        <v>0</v>
      </c>
      <c r="AN99" s="244">
        <f t="shared" si="95"/>
        <v>0</v>
      </c>
      <c r="AO99" s="278">
        <f t="shared" si="96"/>
        <v>0</v>
      </c>
      <c r="AP99" s="386">
        <f t="shared" si="80"/>
        <v>0</v>
      </c>
      <c r="AQ99" s="381">
        <f t="shared" si="81"/>
        <v>0</v>
      </c>
      <c r="AR99" s="244">
        <f t="shared" si="82"/>
        <v>0</v>
      </c>
      <c r="AS99" s="244">
        <f t="shared" si="83"/>
        <v>0</v>
      </c>
      <c r="AT99" s="244">
        <f t="shared" si="84"/>
        <v>0</v>
      </c>
      <c r="AU99" s="244">
        <f t="shared" si="85"/>
        <v>0</v>
      </c>
      <c r="AV99" s="244">
        <f t="shared" si="86"/>
        <v>0</v>
      </c>
      <c r="AW99" s="244">
        <f t="shared" si="87"/>
        <v>0</v>
      </c>
      <c r="AX99" s="244">
        <f t="shared" si="88"/>
        <v>0</v>
      </c>
      <c r="AY99" s="244">
        <f t="shared" si="89"/>
        <v>0</v>
      </c>
      <c r="AZ99" s="244">
        <f t="shared" si="90"/>
        <v>0</v>
      </c>
      <c r="BA99" s="244">
        <f t="shared" si="91"/>
        <v>0</v>
      </c>
      <c r="BB99" s="244">
        <f t="shared" si="92"/>
        <v>0</v>
      </c>
      <c r="BC99" s="244">
        <f t="shared" si="93"/>
        <v>0</v>
      </c>
      <c r="BD99" s="278">
        <f t="shared" si="94"/>
        <v>0</v>
      </c>
      <c r="BE99" s="244">
        <f t="shared" si="97"/>
        <v>0</v>
      </c>
      <c r="BF99" s="264"/>
    </row>
    <row r="100" spans="2:58">
      <c r="B100" s="236">
        <f t="shared" si="98"/>
        <v>15</v>
      </c>
      <c r="C100" s="237"/>
      <c r="D100" s="238"/>
      <c r="E100" s="238"/>
      <c r="F100" s="239"/>
      <c r="G100" s="240">
        <f t="shared" si="62"/>
        <v>0</v>
      </c>
      <c r="H100" s="239"/>
      <c r="I100" s="238"/>
      <c r="J100" s="238"/>
      <c r="K100" s="238"/>
      <c r="L100" s="238"/>
      <c r="M100" s="238"/>
      <c r="N100" s="238"/>
      <c r="O100" s="241"/>
      <c r="P100" s="238"/>
      <c r="Q100" s="241"/>
      <c r="R100" s="241"/>
      <c r="S100" s="242"/>
      <c r="T100" s="243"/>
      <c r="U100" s="243"/>
      <c r="V100" s="243"/>
      <c r="W100" s="244">
        <f t="shared" si="63"/>
        <v>0</v>
      </c>
      <c r="X100" s="244">
        <f t="shared" si="64"/>
        <v>0</v>
      </c>
      <c r="Y100" s="244">
        <f t="shared" si="65"/>
        <v>0</v>
      </c>
      <c r="Z100" s="244">
        <f t="shared" si="66"/>
        <v>0</v>
      </c>
      <c r="AA100" s="244">
        <f t="shared" si="67"/>
        <v>0</v>
      </c>
      <c r="AB100" s="244">
        <f t="shared" si="68"/>
        <v>0</v>
      </c>
      <c r="AC100" s="244">
        <f t="shared" si="69"/>
        <v>0</v>
      </c>
      <c r="AD100" s="244">
        <f t="shared" si="70"/>
        <v>0</v>
      </c>
      <c r="AE100" s="244">
        <f t="shared" si="71"/>
        <v>0</v>
      </c>
      <c r="AF100" s="244">
        <f t="shared" si="72"/>
        <v>0</v>
      </c>
      <c r="AG100" s="244">
        <f t="shared" si="73"/>
        <v>0</v>
      </c>
      <c r="AH100" s="244">
        <f t="shared" si="74"/>
        <v>0</v>
      </c>
      <c r="AI100" s="244">
        <f t="shared" si="75"/>
        <v>0</v>
      </c>
      <c r="AJ100" s="244">
        <f t="shared" si="76"/>
        <v>0</v>
      </c>
      <c r="AK100" s="244">
        <f t="shared" si="77"/>
        <v>0</v>
      </c>
      <c r="AL100" s="244">
        <f t="shared" si="78"/>
        <v>0</v>
      </c>
      <c r="AM100" s="244">
        <f t="shared" si="79"/>
        <v>0</v>
      </c>
      <c r="AN100" s="244">
        <f t="shared" si="95"/>
        <v>0</v>
      </c>
      <c r="AO100" s="278">
        <f t="shared" si="96"/>
        <v>0</v>
      </c>
      <c r="AP100" s="386">
        <f t="shared" si="80"/>
        <v>0</v>
      </c>
      <c r="AQ100" s="381">
        <f t="shared" si="81"/>
        <v>0</v>
      </c>
      <c r="AR100" s="244">
        <f t="shared" si="82"/>
        <v>0</v>
      </c>
      <c r="AS100" s="244">
        <f t="shared" si="83"/>
        <v>0</v>
      </c>
      <c r="AT100" s="244">
        <f t="shared" si="84"/>
        <v>0</v>
      </c>
      <c r="AU100" s="244">
        <f t="shared" si="85"/>
        <v>0</v>
      </c>
      <c r="AV100" s="244">
        <f t="shared" si="86"/>
        <v>0</v>
      </c>
      <c r="AW100" s="244">
        <f t="shared" si="87"/>
        <v>0</v>
      </c>
      <c r="AX100" s="244">
        <f t="shared" si="88"/>
        <v>0</v>
      </c>
      <c r="AY100" s="244">
        <f t="shared" si="89"/>
        <v>0</v>
      </c>
      <c r="AZ100" s="244">
        <f t="shared" si="90"/>
        <v>0</v>
      </c>
      <c r="BA100" s="244">
        <f t="shared" si="91"/>
        <v>0</v>
      </c>
      <c r="BB100" s="244">
        <f t="shared" si="92"/>
        <v>0</v>
      </c>
      <c r="BC100" s="244">
        <f t="shared" si="93"/>
        <v>0</v>
      </c>
      <c r="BD100" s="278">
        <f t="shared" si="94"/>
        <v>0</v>
      </c>
      <c r="BE100" s="244">
        <f t="shared" si="97"/>
        <v>0</v>
      </c>
      <c r="BF100" s="264"/>
    </row>
    <row r="101" spans="2:58">
      <c r="B101" s="236">
        <f t="shared" si="98"/>
        <v>16</v>
      </c>
      <c r="C101" s="237"/>
      <c r="D101" s="238"/>
      <c r="E101" s="238"/>
      <c r="F101" s="239"/>
      <c r="G101" s="240">
        <f t="shared" si="62"/>
        <v>0</v>
      </c>
      <c r="H101" s="239"/>
      <c r="I101" s="238"/>
      <c r="J101" s="238"/>
      <c r="K101" s="238"/>
      <c r="L101" s="238"/>
      <c r="M101" s="238"/>
      <c r="N101" s="238"/>
      <c r="O101" s="241"/>
      <c r="P101" s="238"/>
      <c r="Q101" s="241"/>
      <c r="R101" s="241"/>
      <c r="S101" s="242"/>
      <c r="T101" s="243"/>
      <c r="U101" s="243"/>
      <c r="V101" s="243"/>
      <c r="W101" s="244">
        <f t="shared" si="63"/>
        <v>0</v>
      </c>
      <c r="X101" s="244">
        <f t="shared" si="64"/>
        <v>0</v>
      </c>
      <c r="Y101" s="244">
        <f t="shared" si="65"/>
        <v>0</v>
      </c>
      <c r="Z101" s="244">
        <f t="shared" si="66"/>
        <v>0</v>
      </c>
      <c r="AA101" s="244">
        <f t="shared" si="67"/>
        <v>0</v>
      </c>
      <c r="AB101" s="244">
        <f t="shared" si="68"/>
        <v>0</v>
      </c>
      <c r="AC101" s="244">
        <f t="shared" si="69"/>
        <v>0</v>
      </c>
      <c r="AD101" s="244">
        <f t="shared" si="70"/>
        <v>0</v>
      </c>
      <c r="AE101" s="244">
        <f t="shared" si="71"/>
        <v>0</v>
      </c>
      <c r="AF101" s="244">
        <f t="shared" si="72"/>
        <v>0</v>
      </c>
      <c r="AG101" s="244">
        <f t="shared" si="73"/>
        <v>0</v>
      </c>
      <c r="AH101" s="244">
        <f t="shared" si="74"/>
        <v>0</v>
      </c>
      <c r="AI101" s="244">
        <f t="shared" si="75"/>
        <v>0</v>
      </c>
      <c r="AJ101" s="244">
        <f t="shared" si="76"/>
        <v>0</v>
      </c>
      <c r="AK101" s="244">
        <f t="shared" si="77"/>
        <v>0</v>
      </c>
      <c r="AL101" s="244">
        <f t="shared" si="78"/>
        <v>0</v>
      </c>
      <c r="AM101" s="244">
        <f t="shared" si="79"/>
        <v>0</v>
      </c>
      <c r="AN101" s="244">
        <f t="shared" si="95"/>
        <v>0</v>
      </c>
      <c r="AO101" s="278">
        <f t="shared" si="96"/>
        <v>0</v>
      </c>
      <c r="AP101" s="386">
        <f t="shared" si="80"/>
        <v>0</v>
      </c>
      <c r="AQ101" s="381">
        <f t="shared" si="81"/>
        <v>0</v>
      </c>
      <c r="AR101" s="244">
        <f t="shared" si="82"/>
        <v>0</v>
      </c>
      <c r="AS101" s="244">
        <f t="shared" si="83"/>
        <v>0</v>
      </c>
      <c r="AT101" s="244">
        <f t="shared" si="84"/>
        <v>0</v>
      </c>
      <c r="AU101" s="244">
        <f t="shared" si="85"/>
        <v>0</v>
      </c>
      <c r="AV101" s="244">
        <f t="shared" si="86"/>
        <v>0</v>
      </c>
      <c r="AW101" s="244">
        <f t="shared" si="87"/>
        <v>0</v>
      </c>
      <c r="AX101" s="244">
        <f t="shared" si="88"/>
        <v>0</v>
      </c>
      <c r="AY101" s="244">
        <f t="shared" si="89"/>
        <v>0</v>
      </c>
      <c r="AZ101" s="244">
        <f t="shared" si="90"/>
        <v>0</v>
      </c>
      <c r="BA101" s="244">
        <f t="shared" si="91"/>
        <v>0</v>
      </c>
      <c r="BB101" s="244">
        <f t="shared" si="92"/>
        <v>0</v>
      </c>
      <c r="BC101" s="244">
        <f t="shared" si="93"/>
        <v>0</v>
      </c>
      <c r="BD101" s="278">
        <f t="shared" si="94"/>
        <v>0</v>
      </c>
      <c r="BE101" s="244">
        <f t="shared" si="97"/>
        <v>0</v>
      </c>
      <c r="BF101" s="264"/>
    </row>
    <row r="102" spans="2:58">
      <c r="B102" s="236">
        <f t="shared" si="98"/>
        <v>17</v>
      </c>
      <c r="C102" s="237"/>
      <c r="D102" s="238"/>
      <c r="E102" s="238"/>
      <c r="F102" s="239"/>
      <c r="G102" s="240">
        <f t="shared" si="62"/>
        <v>0</v>
      </c>
      <c r="H102" s="239"/>
      <c r="I102" s="238"/>
      <c r="J102" s="238"/>
      <c r="K102" s="238"/>
      <c r="L102" s="238"/>
      <c r="M102" s="238"/>
      <c r="N102" s="238"/>
      <c r="O102" s="241"/>
      <c r="P102" s="238"/>
      <c r="Q102" s="241"/>
      <c r="R102" s="241"/>
      <c r="S102" s="242"/>
      <c r="T102" s="243"/>
      <c r="U102" s="243"/>
      <c r="V102" s="243"/>
      <c r="W102" s="244">
        <f t="shared" si="63"/>
        <v>0</v>
      </c>
      <c r="X102" s="244">
        <f t="shared" si="64"/>
        <v>0</v>
      </c>
      <c r="Y102" s="244">
        <f t="shared" si="65"/>
        <v>0</v>
      </c>
      <c r="Z102" s="244">
        <f t="shared" si="66"/>
        <v>0</v>
      </c>
      <c r="AA102" s="244">
        <f t="shared" si="67"/>
        <v>0</v>
      </c>
      <c r="AB102" s="244">
        <f t="shared" si="68"/>
        <v>0</v>
      </c>
      <c r="AC102" s="244">
        <f t="shared" si="69"/>
        <v>0</v>
      </c>
      <c r="AD102" s="244">
        <f t="shared" si="70"/>
        <v>0</v>
      </c>
      <c r="AE102" s="244">
        <f t="shared" si="71"/>
        <v>0</v>
      </c>
      <c r="AF102" s="244">
        <f t="shared" si="72"/>
        <v>0</v>
      </c>
      <c r="AG102" s="244">
        <f t="shared" si="73"/>
        <v>0</v>
      </c>
      <c r="AH102" s="244">
        <f t="shared" si="74"/>
        <v>0</v>
      </c>
      <c r="AI102" s="244">
        <f t="shared" si="75"/>
        <v>0</v>
      </c>
      <c r="AJ102" s="244">
        <f t="shared" si="76"/>
        <v>0</v>
      </c>
      <c r="AK102" s="244">
        <f t="shared" si="77"/>
        <v>0</v>
      </c>
      <c r="AL102" s="244">
        <f t="shared" si="78"/>
        <v>0</v>
      </c>
      <c r="AM102" s="244">
        <f t="shared" si="79"/>
        <v>0</v>
      </c>
      <c r="AN102" s="244">
        <f t="shared" si="95"/>
        <v>0</v>
      </c>
      <c r="AO102" s="278">
        <f t="shared" si="96"/>
        <v>0</v>
      </c>
      <c r="AP102" s="386">
        <f t="shared" si="80"/>
        <v>0</v>
      </c>
      <c r="AQ102" s="381">
        <f t="shared" si="81"/>
        <v>0</v>
      </c>
      <c r="AR102" s="244">
        <f t="shared" si="82"/>
        <v>0</v>
      </c>
      <c r="AS102" s="244">
        <f t="shared" si="83"/>
        <v>0</v>
      </c>
      <c r="AT102" s="244">
        <f t="shared" si="84"/>
        <v>0</v>
      </c>
      <c r="AU102" s="244">
        <f t="shared" si="85"/>
        <v>0</v>
      </c>
      <c r="AV102" s="244">
        <f t="shared" si="86"/>
        <v>0</v>
      </c>
      <c r="AW102" s="244">
        <f t="shared" si="87"/>
        <v>0</v>
      </c>
      <c r="AX102" s="244">
        <f t="shared" si="88"/>
        <v>0</v>
      </c>
      <c r="AY102" s="244">
        <f t="shared" si="89"/>
        <v>0</v>
      </c>
      <c r="AZ102" s="244">
        <f t="shared" si="90"/>
        <v>0</v>
      </c>
      <c r="BA102" s="244">
        <f t="shared" si="91"/>
        <v>0</v>
      </c>
      <c r="BB102" s="244">
        <f t="shared" si="92"/>
        <v>0</v>
      </c>
      <c r="BC102" s="244">
        <f t="shared" si="93"/>
        <v>0</v>
      </c>
      <c r="BD102" s="278">
        <f t="shared" si="94"/>
        <v>0</v>
      </c>
      <c r="BE102" s="244">
        <f t="shared" si="97"/>
        <v>0</v>
      </c>
      <c r="BF102" s="264"/>
    </row>
    <row r="103" spans="2:58">
      <c r="B103" s="236">
        <f t="shared" si="98"/>
        <v>18</v>
      </c>
      <c r="C103" s="237"/>
      <c r="D103" s="238"/>
      <c r="E103" s="238"/>
      <c r="F103" s="239"/>
      <c r="G103" s="240">
        <f t="shared" si="62"/>
        <v>0</v>
      </c>
      <c r="H103" s="239"/>
      <c r="I103" s="238"/>
      <c r="J103" s="238"/>
      <c r="K103" s="238"/>
      <c r="L103" s="238"/>
      <c r="M103" s="238"/>
      <c r="N103" s="238"/>
      <c r="O103" s="241"/>
      <c r="P103" s="238"/>
      <c r="Q103" s="241"/>
      <c r="R103" s="241"/>
      <c r="S103" s="242"/>
      <c r="T103" s="243"/>
      <c r="U103" s="243"/>
      <c r="V103" s="243"/>
      <c r="W103" s="244">
        <f t="shared" si="63"/>
        <v>0</v>
      </c>
      <c r="X103" s="244">
        <f t="shared" si="64"/>
        <v>0</v>
      </c>
      <c r="Y103" s="244">
        <f t="shared" si="65"/>
        <v>0</v>
      </c>
      <c r="Z103" s="244">
        <f t="shared" si="66"/>
        <v>0</v>
      </c>
      <c r="AA103" s="244">
        <f t="shared" si="67"/>
        <v>0</v>
      </c>
      <c r="AB103" s="244">
        <f t="shared" si="68"/>
        <v>0</v>
      </c>
      <c r="AC103" s="244">
        <f t="shared" si="69"/>
        <v>0</v>
      </c>
      <c r="AD103" s="244">
        <f t="shared" si="70"/>
        <v>0</v>
      </c>
      <c r="AE103" s="244">
        <f t="shared" si="71"/>
        <v>0</v>
      </c>
      <c r="AF103" s="244">
        <f t="shared" si="72"/>
        <v>0</v>
      </c>
      <c r="AG103" s="244">
        <f t="shared" si="73"/>
        <v>0</v>
      </c>
      <c r="AH103" s="244">
        <f t="shared" si="74"/>
        <v>0</v>
      </c>
      <c r="AI103" s="244">
        <f t="shared" si="75"/>
        <v>0</v>
      </c>
      <c r="AJ103" s="244">
        <f t="shared" si="76"/>
        <v>0</v>
      </c>
      <c r="AK103" s="244">
        <f t="shared" si="77"/>
        <v>0</v>
      </c>
      <c r="AL103" s="244">
        <f t="shared" si="78"/>
        <v>0</v>
      </c>
      <c r="AM103" s="244">
        <f t="shared" si="79"/>
        <v>0</v>
      </c>
      <c r="AN103" s="244">
        <f t="shared" si="95"/>
        <v>0</v>
      </c>
      <c r="AO103" s="278">
        <f t="shared" si="96"/>
        <v>0</v>
      </c>
      <c r="AP103" s="386">
        <f t="shared" si="80"/>
        <v>0</v>
      </c>
      <c r="AQ103" s="381">
        <f t="shared" si="81"/>
        <v>0</v>
      </c>
      <c r="AR103" s="244">
        <f t="shared" si="82"/>
        <v>0</v>
      </c>
      <c r="AS103" s="244">
        <f t="shared" si="83"/>
        <v>0</v>
      </c>
      <c r="AT103" s="244">
        <f t="shared" si="84"/>
        <v>0</v>
      </c>
      <c r="AU103" s="244">
        <f t="shared" si="85"/>
        <v>0</v>
      </c>
      <c r="AV103" s="244">
        <f t="shared" si="86"/>
        <v>0</v>
      </c>
      <c r="AW103" s="244">
        <f t="shared" si="87"/>
        <v>0</v>
      </c>
      <c r="AX103" s="244">
        <f t="shared" si="88"/>
        <v>0</v>
      </c>
      <c r="AY103" s="244">
        <f t="shared" si="89"/>
        <v>0</v>
      </c>
      <c r="AZ103" s="244">
        <f t="shared" si="90"/>
        <v>0</v>
      </c>
      <c r="BA103" s="244">
        <f t="shared" si="91"/>
        <v>0</v>
      </c>
      <c r="BB103" s="244">
        <f t="shared" si="92"/>
        <v>0</v>
      </c>
      <c r="BC103" s="244">
        <f t="shared" si="93"/>
        <v>0</v>
      </c>
      <c r="BD103" s="278">
        <f t="shared" si="94"/>
        <v>0</v>
      </c>
      <c r="BE103" s="244">
        <f t="shared" si="97"/>
        <v>0</v>
      </c>
      <c r="BF103" s="264"/>
    </row>
    <row r="104" spans="2:58">
      <c r="B104" s="236">
        <f t="shared" si="98"/>
        <v>19</v>
      </c>
      <c r="C104" s="237"/>
      <c r="D104" s="238"/>
      <c r="E104" s="238"/>
      <c r="F104" s="239"/>
      <c r="G104" s="240">
        <f t="shared" si="62"/>
        <v>0</v>
      </c>
      <c r="H104" s="239"/>
      <c r="I104" s="238"/>
      <c r="J104" s="238"/>
      <c r="K104" s="238"/>
      <c r="L104" s="238"/>
      <c r="M104" s="238"/>
      <c r="N104" s="238"/>
      <c r="O104" s="241"/>
      <c r="P104" s="238"/>
      <c r="Q104" s="241"/>
      <c r="R104" s="241"/>
      <c r="S104" s="242"/>
      <c r="T104" s="243"/>
      <c r="U104" s="243"/>
      <c r="V104" s="243"/>
      <c r="W104" s="244">
        <f t="shared" si="63"/>
        <v>0</v>
      </c>
      <c r="X104" s="244">
        <f t="shared" si="64"/>
        <v>0</v>
      </c>
      <c r="Y104" s="244">
        <f t="shared" si="65"/>
        <v>0</v>
      </c>
      <c r="Z104" s="244">
        <f t="shared" si="66"/>
        <v>0</v>
      </c>
      <c r="AA104" s="244">
        <f t="shared" si="67"/>
        <v>0</v>
      </c>
      <c r="AB104" s="244">
        <f t="shared" si="68"/>
        <v>0</v>
      </c>
      <c r="AC104" s="244">
        <f t="shared" si="69"/>
        <v>0</v>
      </c>
      <c r="AD104" s="244">
        <f t="shared" si="70"/>
        <v>0</v>
      </c>
      <c r="AE104" s="244">
        <f t="shared" si="71"/>
        <v>0</v>
      </c>
      <c r="AF104" s="244">
        <f t="shared" si="72"/>
        <v>0</v>
      </c>
      <c r="AG104" s="244">
        <f t="shared" si="73"/>
        <v>0</v>
      </c>
      <c r="AH104" s="244">
        <f t="shared" si="74"/>
        <v>0</v>
      </c>
      <c r="AI104" s="244">
        <f t="shared" si="75"/>
        <v>0</v>
      </c>
      <c r="AJ104" s="244">
        <f t="shared" si="76"/>
        <v>0</v>
      </c>
      <c r="AK104" s="244">
        <f t="shared" si="77"/>
        <v>0</v>
      </c>
      <c r="AL104" s="244">
        <f t="shared" si="78"/>
        <v>0</v>
      </c>
      <c r="AM104" s="244">
        <f t="shared" si="79"/>
        <v>0</v>
      </c>
      <c r="AN104" s="244">
        <f t="shared" si="95"/>
        <v>0</v>
      </c>
      <c r="AO104" s="278">
        <f t="shared" si="96"/>
        <v>0</v>
      </c>
      <c r="AP104" s="386">
        <f t="shared" si="80"/>
        <v>0</v>
      </c>
      <c r="AQ104" s="381">
        <f t="shared" si="81"/>
        <v>0</v>
      </c>
      <c r="AR104" s="244">
        <f t="shared" si="82"/>
        <v>0</v>
      </c>
      <c r="AS104" s="244">
        <f t="shared" si="83"/>
        <v>0</v>
      </c>
      <c r="AT104" s="244">
        <f t="shared" si="84"/>
        <v>0</v>
      </c>
      <c r="AU104" s="244">
        <f t="shared" si="85"/>
        <v>0</v>
      </c>
      <c r="AV104" s="244">
        <f t="shared" si="86"/>
        <v>0</v>
      </c>
      <c r="AW104" s="244">
        <f t="shared" si="87"/>
        <v>0</v>
      </c>
      <c r="AX104" s="244">
        <f t="shared" si="88"/>
        <v>0</v>
      </c>
      <c r="AY104" s="244">
        <f t="shared" si="89"/>
        <v>0</v>
      </c>
      <c r="AZ104" s="244">
        <f t="shared" si="90"/>
        <v>0</v>
      </c>
      <c r="BA104" s="244">
        <f t="shared" si="91"/>
        <v>0</v>
      </c>
      <c r="BB104" s="244">
        <f t="shared" si="92"/>
        <v>0</v>
      </c>
      <c r="BC104" s="244">
        <f t="shared" si="93"/>
        <v>0</v>
      </c>
      <c r="BD104" s="278">
        <f t="shared" si="94"/>
        <v>0</v>
      </c>
      <c r="BE104" s="244">
        <f t="shared" si="97"/>
        <v>0</v>
      </c>
      <c r="BF104" s="264"/>
    </row>
    <row r="105" spans="2:58">
      <c r="B105" s="236">
        <f t="shared" si="98"/>
        <v>20</v>
      </c>
      <c r="C105" s="237"/>
      <c r="D105" s="238"/>
      <c r="E105" s="238"/>
      <c r="F105" s="239"/>
      <c r="G105" s="240">
        <f t="shared" si="62"/>
        <v>0</v>
      </c>
      <c r="H105" s="239"/>
      <c r="I105" s="238"/>
      <c r="J105" s="238"/>
      <c r="K105" s="238"/>
      <c r="L105" s="238"/>
      <c r="M105" s="238"/>
      <c r="N105" s="238"/>
      <c r="O105" s="241"/>
      <c r="P105" s="238"/>
      <c r="Q105" s="241"/>
      <c r="R105" s="241"/>
      <c r="S105" s="242"/>
      <c r="T105" s="243"/>
      <c r="U105" s="243"/>
      <c r="V105" s="243"/>
      <c r="W105" s="244">
        <f t="shared" si="63"/>
        <v>0</v>
      </c>
      <c r="X105" s="244">
        <f t="shared" si="64"/>
        <v>0</v>
      </c>
      <c r="Y105" s="244">
        <f t="shared" si="65"/>
        <v>0</v>
      </c>
      <c r="Z105" s="244">
        <f t="shared" si="66"/>
        <v>0</v>
      </c>
      <c r="AA105" s="244">
        <f t="shared" si="67"/>
        <v>0</v>
      </c>
      <c r="AB105" s="244">
        <f t="shared" si="68"/>
        <v>0</v>
      </c>
      <c r="AC105" s="244">
        <f t="shared" si="69"/>
        <v>0</v>
      </c>
      <c r="AD105" s="244">
        <f t="shared" si="70"/>
        <v>0</v>
      </c>
      <c r="AE105" s="244">
        <f t="shared" si="71"/>
        <v>0</v>
      </c>
      <c r="AF105" s="244">
        <f t="shared" si="72"/>
        <v>0</v>
      </c>
      <c r="AG105" s="244">
        <f t="shared" si="73"/>
        <v>0</v>
      </c>
      <c r="AH105" s="244">
        <f t="shared" si="74"/>
        <v>0</v>
      </c>
      <c r="AI105" s="244">
        <f t="shared" si="75"/>
        <v>0</v>
      </c>
      <c r="AJ105" s="244">
        <f t="shared" si="76"/>
        <v>0</v>
      </c>
      <c r="AK105" s="244">
        <f t="shared" si="77"/>
        <v>0</v>
      </c>
      <c r="AL105" s="244">
        <f t="shared" si="78"/>
        <v>0</v>
      </c>
      <c r="AM105" s="244">
        <f t="shared" si="79"/>
        <v>0</v>
      </c>
      <c r="AN105" s="244">
        <f t="shared" si="95"/>
        <v>0</v>
      </c>
      <c r="AO105" s="278">
        <f t="shared" si="96"/>
        <v>0</v>
      </c>
      <c r="AP105" s="386">
        <f t="shared" si="80"/>
        <v>0</v>
      </c>
      <c r="AQ105" s="381">
        <f t="shared" si="81"/>
        <v>0</v>
      </c>
      <c r="AR105" s="244">
        <f t="shared" si="82"/>
        <v>0</v>
      </c>
      <c r="AS105" s="244">
        <f t="shared" si="83"/>
        <v>0</v>
      </c>
      <c r="AT105" s="244">
        <f t="shared" si="84"/>
        <v>0</v>
      </c>
      <c r="AU105" s="244">
        <f t="shared" si="85"/>
        <v>0</v>
      </c>
      <c r="AV105" s="244">
        <f t="shared" si="86"/>
        <v>0</v>
      </c>
      <c r="AW105" s="244">
        <f t="shared" si="87"/>
        <v>0</v>
      </c>
      <c r="AX105" s="244">
        <f t="shared" si="88"/>
        <v>0</v>
      </c>
      <c r="AY105" s="244">
        <f t="shared" si="89"/>
        <v>0</v>
      </c>
      <c r="AZ105" s="244">
        <f t="shared" si="90"/>
        <v>0</v>
      </c>
      <c r="BA105" s="244">
        <f t="shared" si="91"/>
        <v>0</v>
      </c>
      <c r="BB105" s="244">
        <f t="shared" si="92"/>
        <v>0</v>
      </c>
      <c r="BC105" s="244">
        <f t="shared" si="93"/>
        <v>0</v>
      </c>
      <c r="BD105" s="278">
        <f t="shared" si="94"/>
        <v>0</v>
      </c>
      <c r="BE105" s="244">
        <f t="shared" si="97"/>
        <v>0</v>
      </c>
      <c r="BF105" s="264"/>
    </row>
    <row r="106" spans="2:58">
      <c r="B106" s="236">
        <f t="shared" si="98"/>
        <v>21</v>
      </c>
      <c r="C106" s="237"/>
      <c r="D106" s="238"/>
      <c r="E106" s="238"/>
      <c r="F106" s="239"/>
      <c r="G106" s="240">
        <f t="shared" si="62"/>
        <v>0</v>
      </c>
      <c r="H106" s="239"/>
      <c r="I106" s="238"/>
      <c r="J106" s="238"/>
      <c r="K106" s="238"/>
      <c r="L106" s="238"/>
      <c r="M106" s="238"/>
      <c r="N106" s="238"/>
      <c r="O106" s="241"/>
      <c r="P106" s="238"/>
      <c r="Q106" s="241"/>
      <c r="R106" s="241"/>
      <c r="S106" s="242"/>
      <c r="T106" s="243"/>
      <c r="U106" s="243"/>
      <c r="V106" s="243"/>
      <c r="W106" s="244">
        <f t="shared" si="63"/>
        <v>0</v>
      </c>
      <c r="X106" s="244">
        <f t="shared" si="64"/>
        <v>0</v>
      </c>
      <c r="Y106" s="244">
        <f t="shared" si="65"/>
        <v>0</v>
      </c>
      <c r="Z106" s="244">
        <f t="shared" si="66"/>
        <v>0</v>
      </c>
      <c r="AA106" s="244">
        <f t="shared" si="67"/>
        <v>0</v>
      </c>
      <c r="AB106" s="244">
        <f t="shared" si="68"/>
        <v>0</v>
      </c>
      <c r="AC106" s="244">
        <f t="shared" si="69"/>
        <v>0</v>
      </c>
      <c r="AD106" s="244">
        <f t="shared" si="70"/>
        <v>0</v>
      </c>
      <c r="AE106" s="244">
        <f t="shared" si="71"/>
        <v>0</v>
      </c>
      <c r="AF106" s="244">
        <f t="shared" si="72"/>
        <v>0</v>
      </c>
      <c r="AG106" s="244">
        <f t="shared" si="73"/>
        <v>0</v>
      </c>
      <c r="AH106" s="244">
        <f t="shared" si="74"/>
        <v>0</v>
      </c>
      <c r="AI106" s="244">
        <f t="shared" si="75"/>
        <v>0</v>
      </c>
      <c r="AJ106" s="244">
        <f t="shared" si="76"/>
        <v>0</v>
      </c>
      <c r="AK106" s="244">
        <f t="shared" si="77"/>
        <v>0</v>
      </c>
      <c r="AL106" s="244">
        <f t="shared" si="78"/>
        <v>0</v>
      </c>
      <c r="AM106" s="244">
        <f t="shared" si="79"/>
        <v>0</v>
      </c>
      <c r="AN106" s="244">
        <f t="shared" si="95"/>
        <v>0</v>
      </c>
      <c r="AO106" s="278">
        <f t="shared" si="96"/>
        <v>0</v>
      </c>
      <c r="AP106" s="386">
        <f t="shared" si="80"/>
        <v>0</v>
      </c>
      <c r="AQ106" s="381">
        <f t="shared" si="81"/>
        <v>0</v>
      </c>
      <c r="AR106" s="244">
        <f t="shared" si="82"/>
        <v>0</v>
      </c>
      <c r="AS106" s="244">
        <f t="shared" si="83"/>
        <v>0</v>
      </c>
      <c r="AT106" s="244">
        <f t="shared" si="84"/>
        <v>0</v>
      </c>
      <c r="AU106" s="244">
        <f t="shared" si="85"/>
        <v>0</v>
      </c>
      <c r="AV106" s="244">
        <f t="shared" si="86"/>
        <v>0</v>
      </c>
      <c r="AW106" s="244">
        <f t="shared" si="87"/>
        <v>0</v>
      </c>
      <c r="AX106" s="244">
        <f t="shared" si="88"/>
        <v>0</v>
      </c>
      <c r="AY106" s="244">
        <f t="shared" si="89"/>
        <v>0</v>
      </c>
      <c r="AZ106" s="244">
        <f t="shared" si="90"/>
        <v>0</v>
      </c>
      <c r="BA106" s="244">
        <f t="shared" si="91"/>
        <v>0</v>
      </c>
      <c r="BB106" s="244">
        <f t="shared" si="92"/>
        <v>0</v>
      </c>
      <c r="BC106" s="244">
        <f t="shared" si="93"/>
        <v>0</v>
      </c>
      <c r="BD106" s="278">
        <f t="shared" si="94"/>
        <v>0</v>
      </c>
      <c r="BE106" s="244">
        <f t="shared" si="97"/>
        <v>0</v>
      </c>
      <c r="BF106" s="264"/>
    </row>
    <row r="107" spans="2:58">
      <c r="B107" s="236">
        <f t="shared" si="98"/>
        <v>22</v>
      </c>
      <c r="C107" s="237"/>
      <c r="D107" s="238"/>
      <c r="E107" s="238"/>
      <c r="F107" s="239"/>
      <c r="G107" s="240">
        <f t="shared" si="62"/>
        <v>0</v>
      </c>
      <c r="H107" s="239"/>
      <c r="I107" s="238"/>
      <c r="J107" s="238"/>
      <c r="K107" s="238"/>
      <c r="L107" s="238"/>
      <c r="M107" s="238"/>
      <c r="N107" s="238"/>
      <c r="O107" s="241"/>
      <c r="P107" s="238"/>
      <c r="Q107" s="241"/>
      <c r="R107" s="241"/>
      <c r="S107" s="242"/>
      <c r="T107" s="243"/>
      <c r="U107" s="243"/>
      <c r="V107" s="243"/>
      <c r="W107" s="244">
        <f t="shared" si="63"/>
        <v>0</v>
      </c>
      <c r="X107" s="244">
        <f t="shared" si="64"/>
        <v>0</v>
      </c>
      <c r="Y107" s="244">
        <f t="shared" si="65"/>
        <v>0</v>
      </c>
      <c r="Z107" s="244">
        <f t="shared" si="66"/>
        <v>0</v>
      </c>
      <c r="AA107" s="244">
        <f t="shared" si="67"/>
        <v>0</v>
      </c>
      <c r="AB107" s="244">
        <f t="shared" si="68"/>
        <v>0</v>
      </c>
      <c r="AC107" s="244">
        <f t="shared" si="69"/>
        <v>0</v>
      </c>
      <c r="AD107" s="244">
        <f t="shared" si="70"/>
        <v>0</v>
      </c>
      <c r="AE107" s="244">
        <f t="shared" si="71"/>
        <v>0</v>
      </c>
      <c r="AF107" s="244">
        <f t="shared" si="72"/>
        <v>0</v>
      </c>
      <c r="AG107" s="244">
        <f t="shared" si="73"/>
        <v>0</v>
      </c>
      <c r="AH107" s="244">
        <f t="shared" si="74"/>
        <v>0</v>
      </c>
      <c r="AI107" s="244">
        <f t="shared" si="75"/>
        <v>0</v>
      </c>
      <c r="AJ107" s="244">
        <f t="shared" si="76"/>
        <v>0</v>
      </c>
      <c r="AK107" s="244">
        <f t="shared" si="77"/>
        <v>0</v>
      </c>
      <c r="AL107" s="244">
        <f t="shared" si="78"/>
        <v>0</v>
      </c>
      <c r="AM107" s="244">
        <f t="shared" si="79"/>
        <v>0</v>
      </c>
      <c r="AN107" s="244">
        <f t="shared" si="95"/>
        <v>0</v>
      </c>
      <c r="AO107" s="278">
        <f t="shared" si="96"/>
        <v>0</v>
      </c>
      <c r="AP107" s="386">
        <f t="shared" si="80"/>
        <v>0</v>
      </c>
      <c r="AQ107" s="381">
        <f t="shared" si="81"/>
        <v>0</v>
      </c>
      <c r="AR107" s="244">
        <f t="shared" si="82"/>
        <v>0</v>
      </c>
      <c r="AS107" s="244">
        <f t="shared" si="83"/>
        <v>0</v>
      </c>
      <c r="AT107" s="244">
        <f t="shared" si="84"/>
        <v>0</v>
      </c>
      <c r="AU107" s="244">
        <f t="shared" si="85"/>
        <v>0</v>
      </c>
      <c r="AV107" s="244">
        <f t="shared" si="86"/>
        <v>0</v>
      </c>
      <c r="AW107" s="244">
        <f t="shared" si="87"/>
        <v>0</v>
      </c>
      <c r="AX107" s="244">
        <f t="shared" si="88"/>
        <v>0</v>
      </c>
      <c r="AY107" s="244">
        <f t="shared" si="89"/>
        <v>0</v>
      </c>
      <c r="AZ107" s="244">
        <f t="shared" si="90"/>
        <v>0</v>
      </c>
      <c r="BA107" s="244">
        <f t="shared" si="91"/>
        <v>0</v>
      </c>
      <c r="BB107" s="244">
        <f t="shared" si="92"/>
        <v>0</v>
      </c>
      <c r="BC107" s="244">
        <f t="shared" si="93"/>
        <v>0</v>
      </c>
      <c r="BD107" s="278">
        <f t="shared" si="94"/>
        <v>0</v>
      </c>
      <c r="BE107" s="244">
        <f t="shared" si="97"/>
        <v>0</v>
      </c>
      <c r="BF107" s="264"/>
    </row>
    <row r="108" spans="2:58">
      <c r="B108" s="236">
        <f t="shared" si="98"/>
        <v>23</v>
      </c>
      <c r="C108" s="237"/>
      <c r="D108" s="238"/>
      <c r="E108" s="238"/>
      <c r="F108" s="239"/>
      <c r="G108" s="240">
        <f t="shared" si="62"/>
        <v>0</v>
      </c>
      <c r="H108" s="239"/>
      <c r="I108" s="238"/>
      <c r="J108" s="238"/>
      <c r="K108" s="238"/>
      <c r="L108" s="238"/>
      <c r="M108" s="238"/>
      <c r="N108" s="238"/>
      <c r="O108" s="241"/>
      <c r="P108" s="238"/>
      <c r="Q108" s="241"/>
      <c r="R108" s="241"/>
      <c r="S108" s="242"/>
      <c r="T108" s="243"/>
      <c r="U108" s="243"/>
      <c r="V108" s="243"/>
      <c r="W108" s="244">
        <f t="shared" si="63"/>
        <v>0</v>
      </c>
      <c r="X108" s="244">
        <f t="shared" si="64"/>
        <v>0</v>
      </c>
      <c r="Y108" s="244">
        <f t="shared" si="65"/>
        <v>0</v>
      </c>
      <c r="Z108" s="244">
        <f t="shared" si="66"/>
        <v>0</v>
      </c>
      <c r="AA108" s="244">
        <f t="shared" si="67"/>
        <v>0</v>
      </c>
      <c r="AB108" s="244">
        <f t="shared" si="68"/>
        <v>0</v>
      </c>
      <c r="AC108" s="244">
        <f t="shared" si="69"/>
        <v>0</v>
      </c>
      <c r="AD108" s="244">
        <f t="shared" si="70"/>
        <v>0</v>
      </c>
      <c r="AE108" s="244">
        <f t="shared" si="71"/>
        <v>0</v>
      </c>
      <c r="AF108" s="244">
        <f t="shared" si="72"/>
        <v>0</v>
      </c>
      <c r="AG108" s="244">
        <f t="shared" si="73"/>
        <v>0</v>
      </c>
      <c r="AH108" s="244">
        <f t="shared" si="74"/>
        <v>0</v>
      </c>
      <c r="AI108" s="244">
        <f t="shared" si="75"/>
        <v>0</v>
      </c>
      <c r="AJ108" s="244">
        <f t="shared" si="76"/>
        <v>0</v>
      </c>
      <c r="AK108" s="244">
        <f t="shared" si="77"/>
        <v>0</v>
      </c>
      <c r="AL108" s="244">
        <f t="shared" si="78"/>
        <v>0</v>
      </c>
      <c r="AM108" s="244">
        <f t="shared" si="79"/>
        <v>0</v>
      </c>
      <c r="AN108" s="244">
        <f t="shared" si="95"/>
        <v>0</v>
      </c>
      <c r="AO108" s="278">
        <f t="shared" si="96"/>
        <v>0</v>
      </c>
      <c r="AP108" s="386">
        <f t="shared" si="80"/>
        <v>0</v>
      </c>
      <c r="AQ108" s="381">
        <f t="shared" si="81"/>
        <v>0</v>
      </c>
      <c r="AR108" s="244">
        <f t="shared" si="82"/>
        <v>0</v>
      </c>
      <c r="AS108" s="244">
        <f t="shared" si="83"/>
        <v>0</v>
      </c>
      <c r="AT108" s="244">
        <f t="shared" si="84"/>
        <v>0</v>
      </c>
      <c r="AU108" s="244">
        <f t="shared" si="85"/>
        <v>0</v>
      </c>
      <c r="AV108" s="244">
        <f t="shared" si="86"/>
        <v>0</v>
      </c>
      <c r="AW108" s="244">
        <f t="shared" si="87"/>
        <v>0</v>
      </c>
      <c r="AX108" s="244">
        <f t="shared" si="88"/>
        <v>0</v>
      </c>
      <c r="AY108" s="244">
        <f t="shared" si="89"/>
        <v>0</v>
      </c>
      <c r="AZ108" s="244">
        <f t="shared" si="90"/>
        <v>0</v>
      </c>
      <c r="BA108" s="244">
        <f t="shared" si="91"/>
        <v>0</v>
      </c>
      <c r="BB108" s="244">
        <f t="shared" si="92"/>
        <v>0</v>
      </c>
      <c r="BC108" s="244">
        <f t="shared" si="93"/>
        <v>0</v>
      </c>
      <c r="BD108" s="278">
        <f t="shared" si="94"/>
        <v>0</v>
      </c>
      <c r="BE108" s="244">
        <f t="shared" si="97"/>
        <v>0</v>
      </c>
      <c r="BF108" s="264"/>
    </row>
    <row r="109" spans="2:58">
      <c r="B109" s="236">
        <f t="shared" si="98"/>
        <v>24</v>
      </c>
      <c r="C109" s="237"/>
      <c r="D109" s="238"/>
      <c r="E109" s="238"/>
      <c r="F109" s="239"/>
      <c r="G109" s="240">
        <f t="shared" si="62"/>
        <v>0</v>
      </c>
      <c r="H109" s="239"/>
      <c r="I109" s="238"/>
      <c r="J109" s="238"/>
      <c r="K109" s="238"/>
      <c r="L109" s="238"/>
      <c r="M109" s="238"/>
      <c r="N109" s="238"/>
      <c r="O109" s="241"/>
      <c r="P109" s="238"/>
      <c r="Q109" s="241"/>
      <c r="R109" s="241"/>
      <c r="S109" s="242"/>
      <c r="T109" s="243"/>
      <c r="U109" s="243"/>
      <c r="V109" s="243"/>
      <c r="W109" s="244">
        <f t="shared" si="63"/>
        <v>0</v>
      </c>
      <c r="X109" s="244">
        <f t="shared" si="64"/>
        <v>0</v>
      </c>
      <c r="Y109" s="244">
        <f t="shared" si="65"/>
        <v>0</v>
      </c>
      <c r="Z109" s="244">
        <f t="shared" si="66"/>
        <v>0</v>
      </c>
      <c r="AA109" s="244">
        <f t="shared" si="67"/>
        <v>0</v>
      </c>
      <c r="AB109" s="244">
        <f t="shared" si="68"/>
        <v>0</v>
      </c>
      <c r="AC109" s="244">
        <f t="shared" si="69"/>
        <v>0</v>
      </c>
      <c r="AD109" s="244">
        <f t="shared" si="70"/>
        <v>0</v>
      </c>
      <c r="AE109" s="244">
        <f t="shared" si="71"/>
        <v>0</v>
      </c>
      <c r="AF109" s="244">
        <f t="shared" si="72"/>
        <v>0</v>
      </c>
      <c r="AG109" s="244">
        <f t="shared" si="73"/>
        <v>0</v>
      </c>
      <c r="AH109" s="244">
        <f t="shared" si="74"/>
        <v>0</v>
      </c>
      <c r="AI109" s="244">
        <f t="shared" si="75"/>
        <v>0</v>
      </c>
      <c r="AJ109" s="244">
        <f t="shared" si="76"/>
        <v>0</v>
      </c>
      <c r="AK109" s="244">
        <f t="shared" si="77"/>
        <v>0</v>
      </c>
      <c r="AL109" s="244">
        <f t="shared" si="78"/>
        <v>0</v>
      </c>
      <c r="AM109" s="244">
        <f t="shared" si="79"/>
        <v>0</v>
      </c>
      <c r="AN109" s="244">
        <f t="shared" si="95"/>
        <v>0</v>
      </c>
      <c r="AO109" s="278">
        <f t="shared" si="96"/>
        <v>0</v>
      </c>
      <c r="AP109" s="386">
        <f t="shared" si="80"/>
        <v>0</v>
      </c>
      <c r="AQ109" s="381">
        <f t="shared" si="81"/>
        <v>0</v>
      </c>
      <c r="AR109" s="244">
        <f t="shared" si="82"/>
        <v>0</v>
      </c>
      <c r="AS109" s="244">
        <f t="shared" si="83"/>
        <v>0</v>
      </c>
      <c r="AT109" s="244">
        <f t="shared" si="84"/>
        <v>0</v>
      </c>
      <c r="AU109" s="244">
        <f t="shared" si="85"/>
        <v>0</v>
      </c>
      <c r="AV109" s="244">
        <f t="shared" si="86"/>
        <v>0</v>
      </c>
      <c r="AW109" s="244">
        <f t="shared" si="87"/>
        <v>0</v>
      </c>
      <c r="AX109" s="244">
        <f t="shared" si="88"/>
        <v>0</v>
      </c>
      <c r="AY109" s="244">
        <f t="shared" si="89"/>
        <v>0</v>
      </c>
      <c r="AZ109" s="244">
        <f t="shared" si="90"/>
        <v>0</v>
      </c>
      <c r="BA109" s="244">
        <f t="shared" si="91"/>
        <v>0</v>
      </c>
      <c r="BB109" s="244">
        <f t="shared" si="92"/>
        <v>0</v>
      </c>
      <c r="BC109" s="244">
        <f t="shared" si="93"/>
        <v>0</v>
      </c>
      <c r="BD109" s="278">
        <f t="shared" si="94"/>
        <v>0</v>
      </c>
      <c r="BE109" s="244">
        <f t="shared" si="97"/>
        <v>0</v>
      </c>
      <c r="BF109" s="264"/>
    </row>
    <row r="110" spans="2:58">
      <c r="B110" s="245">
        <f t="shared" si="98"/>
        <v>25</v>
      </c>
      <c r="C110" s="246"/>
      <c r="D110" s="247"/>
      <c r="E110" s="247"/>
      <c r="F110" s="248"/>
      <c r="G110" s="249">
        <f t="shared" si="62"/>
        <v>0</v>
      </c>
      <c r="H110" s="248"/>
      <c r="I110" s="247"/>
      <c r="J110" s="247"/>
      <c r="K110" s="247"/>
      <c r="L110" s="247"/>
      <c r="M110" s="247"/>
      <c r="N110" s="247"/>
      <c r="O110" s="250"/>
      <c r="P110" s="247"/>
      <c r="Q110" s="250"/>
      <c r="R110" s="250"/>
      <c r="S110" s="251"/>
      <c r="T110" s="252"/>
      <c r="U110" s="252"/>
      <c r="V110" s="252"/>
      <c r="W110" s="253">
        <f t="shared" si="63"/>
        <v>0</v>
      </c>
      <c r="X110" s="253">
        <f t="shared" si="64"/>
        <v>0</v>
      </c>
      <c r="Y110" s="253">
        <f t="shared" si="65"/>
        <v>0</v>
      </c>
      <c r="Z110" s="253">
        <f t="shared" si="66"/>
        <v>0</v>
      </c>
      <c r="AA110" s="253">
        <f t="shared" si="67"/>
        <v>0</v>
      </c>
      <c r="AB110" s="253">
        <f t="shared" si="68"/>
        <v>0</v>
      </c>
      <c r="AC110" s="253">
        <f t="shared" si="69"/>
        <v>0</v>
      </c>
      <c r="AD110" s="253">
        <f t="shared" si="70"/>
        <v>0</v>
      </c>
      <c r="AE110" s="253">
        <f t="shared" si="71"/>
        <v>0</v>
      </c>
      <c r="AF110" s="253">
        <f t="shared" si="72"/>
        <v>0</v>
      </c>
      <c r="AG110" s="253">
        <f t="shared" si="73"/>
        <v>0</v>
      </c>
      <c r="AH110" s="253">
        <f t="shared" si="74"/>
        <v>0</v>
      </c>
      <c r="AI110" s="253">
        <f t="shared" si="75"/>
        <v>0</v>
      </c>
      <c r="AJ110" s="253">
        <f t="shared" si="76"/>
        <v>0</v>
      </c>
      <c r="AK110" s="253">
        <f t="shared" si="77"/>
        <v>0</v>
      </c>
      <c r="AL110" s="253">
        <f t="shared" si="78"/>
        <v>0</v>
      </c>
      <c r="AM110" s="253">
        <f t="shared" si="79"/>
        <v>0</v>
      </c>
      <c r="AN110" s="253">
        <f t="shared" si="95"/>
        <v>0</v>
      </c>
      <c r="AO110" s="279">
        <f t="shared" si="96"/>
        <v>0</v>
      </c>
      <c r="AP110" s="387">
        <f t="shared" si="80"/>
        <v>0</v>
      </c>
      <c r="AQ110" s="382">
        <f t="shared" si="81"/>
        <v>0</v>
      </c>
      <c r="AR110" s="253">
        <f t="shared" si="82"/>
        <v>0</v>
      </c>
      <c r="AS110" s="253">
        <f t="shared" si="83"/>
        <v>0</v>
      </c>
      <c r="AT110" s="253">
        <f t="shared" si="84"/>
        <v>0</v>
      </c>
      <c r="AU110" s="253">
        <f t="shared" si="85"/>
        <v>0</v>
      </c>
      <c r="AV110" s="253">
        <f t="shared" si="86"/>
        <v>0</v>
      </c>
      <c r="AW110" s="253">
        <f t="shared" si="87"/>
        <v>0</v>
      </c>
      <c r="AX110" s="253">
        <f t="shared" si="88"/>
        <v>0</v>
      </c>
      <c r="AY110" s="253">
        <f t="shared" si="89"/>
        <v>0</v>
      </c>
      <c r="AZ110" s="253">
        <f t="shared" si="90"/>
        <v>0</v>
      </c>
      <c r="BA110" s="253">
        <f t="shared" si="91"/>
        <v>0</v>
      </c>
      <c r="BB110" s="253">
        <f t="shared" si="92"/>
        <v>0</v>
      </c>
      <c r="BC110" s="253">
        <f t="shared" si="93"/>
        <v>0</v>
      </c>
      <c r="BD110" s="279">
        <f t="shared" si="94"/>
        <v>0</v>
      </c>
      <c r="BE110" s="253">
        <f t="shared" si="97"/>
        <v>0</v>
      </c>
      <c r="BF110" s="269"/>
    </row>
    <row r="111" spans="2:58">
      <c r="B111" s="75" t="s">
        <v>225</v>
      </c>
      <c r="C111" s="60"/>
      <c r="D111" s="75">
        <f>SUM(D86:D110)</f>
        <v>0</v>
      </c>
      <c r="E111" s="60"/>
      <c r="F111" s="60"/>
      <c r="G111" s="29">
        <f>SUM(G86:G110)</f>
        <v>0</v>
      </c>
      <c r="H111" s="29">
        <f>SUM(H86:H110)</f>
        <v>0</v>
      </c>
      <c r="I111" s="60"/>
      <c r="J111" s="60"/>
      <c r="K111" s="28"/>
      <c r="L111" s="60"/>
      <c r="M111" s="28"/>
      <c r="N111" s="60"/>
      <c r="O111" s="28"/>
      <c r="P111" s="28"/>
      <c r="Q111" s="61"/>
      <c r="R111" s="62"/>
      <c r="S111" s="62"/>
      <c r="T111" s="29"/>
      <c r="U111" s="29"/>
      <c r="V111" s="62"/>
      <c r="W111" s="29">
        <f>SUM(W86:W110)</f>
        <v>0</v>
      </c>
      <c r="X111" s="29">
        <f t="shared" ref="X111" si="103">SUM(X86:X110)</f>
        <v>0</v>
      </c>
      <c r="Y111" s="29">
        <f t="shared" ref="Y111:AO111" si="104">SUM(Y86:Y110)</f>
        <v>0</v>
      </c>
      <c r="Z111" s="29">
        <f t="shared" si="104"/>
        <v>0</v>
      </c>
      <c r="AA111" s="29">
        <f t="shared" si="104"/>
        <v>0</v>
      </c>
      <c r="AB111" s="29">
        <f t="shared" si="104"/>
        <v>0</v>
      </c>
      <c r="AC111" s="29">
        <f t="shared" si="104"/>
        <v>0</v>
      </c>
      <c r="AD111" s="29">
        <f t="shared" si="104"/>
        <v>0</v>
      </c>
      <c r="AE111" s="29">
        <f t="shared" si="104"/>
        <v>0</v>
      </c>
      <c r="AF111" s="29">
        <f t="shared" si="104"/>
        <v>0</v>
      </c>
      <c r="AG111" s="29">
        <f t="shared" si="104"/>
        <v>0</v>
      </c>
      <c r="AH111" s="29">
        <f t="shared" si="104"/>
        <v>0</v>
      </c>
      <c r="AI111" s="29">
        <f t="shared" si="104"/>
        <v>0</v>
      </c>
      <c r="AJ111" s="29">
        <f t="shared" si="104"/>
        <v>0</v>
      </c>
      <c r="AK111" s="29">
        <f t="shared" si="104"/>
        <v>0</v>
      </c>
      <c r="AL111" s="29">
        <f t="shared" si="104"/>
        <v>0</v>
      </c>
      <c r="AM111" s="256">
        <f t="shared" si="104"/>
        <v>0</v>
      </c>
      <c r="AN111" s="29">
        <f t="shared" si="104"/>
        <v>0</v>
      </c>
      <c r="AO111" s="29">
        <f t="shared" si="104"/>
        <v>0</v>
      </c>
      <c r="AP111" s="254">
        <f t="shared" ref="AP111" si="105">SUM(AP86:AP110)</f>
        <v>0</v>
      </c>
      <c r="AQ111" s="29">
        <f>SUM(AQ86:AQ110)</f>
        <v>0</v>
      </c>
      <c r="AR111" s="29">
        <f>SUM(AR86:AR110)</f>
        <v>0</v>
      </c>
      <c r="AS111" s="29">
        <f t="shared" ref="AS111:AU111" si="106">SUM(AS86:AS110)</f>
        <v>0</v>
      </c>
      <c r="AT111" s="29">
        <f t="shared" si="106"/>
        <v>0</v>
      </c>
      <c r="AU111" s="29">
        <f t="shared" si="106"/>
        <v>0</v>
      </c>
      <c r="AV111" s="29">
        <f t="shared" ref="AV111" si="107">SUM(AV86:AV110)</f>
        <v>0</v>
      </c>
      <c r="AW111" s="29">
        <f t="shared" ref="AW111:BD111" si="108">SUM(AW86:AW110)</f>
        <v>0</v>
      </c>
      <c r="AX111" s="29">
        <f t="shared" si="108"/>
        <v>0</v>
      </c>
      <c r="AY111" s="29">
        <f t="shared" si="108"/>
        <v>0</v>
      </c>
      <c r="AZ111" s="29">
        <f t="shared" si="108"/>
        <v>0</v>
      </c>
      <c r="BA111" s="29">
        <f t="shared" si="108"/>
        <v>0</v>
      </c>
      <c r="BB111" s="29">
        <f t="shared" si="108"/>
        <v>0</v>
      </c>
      <c r="BC111" s="29">
        <f t="shared" si="108"/>
        <v>0</v>
      </c>
      <c r="BD111" s="256">
        <f t="shared" si="108"/>
        <v>0</v>
      </c>
      <c r="BE111" s="29">
        <f t="shared" ref="BE111" si="109">SUM(BE86:BE110)</f>
        <v>0</v>
      </c>
    </row>
    <row r="112" spans="2:58">
      <c r="E112" s="293" t="s">
        <v>380</v>
      </c>
      <c r="F112" s="19"/>
      <c r="G112" s="19"/>
      <c r="H112" s="19"/>
      <c r="I112" s="293" t="s">
        <v>381</v>
      </c>
      <c r="J112" s="19"/>
      <c r="K112" s="292"/>
      <c r="L112" s="19"/>
      <c r="M112" s="292"/>
      <c r="N112" s="292"/>
      <c r="O112" s="292"/>
      <c r="P112" s="292"/>
      <c r="Q112" s="292"/>
    </row>
    <row r="113" spans="2:83">
      <c r="B113" s="222" t="s">
        <v>497</v>
      </c>
      <c r="C113" s="223"/>
      <c r="D113" s="223"/>
      <c r="E113" s="223"/>
      <c r="F113" s="222" t="s">
        <v>383</v>
      </c>
      <c r="G113" s="223"/>
      <c r="H113" s="222" t="s">
        <v>384</v>
      </c>
      <c r="I113" s="223"/>
      <c r="J113" s="223"/>
      <c r="K113" s="223"/>
      <c r="L113" s="223"/>
      <c r="M113" s="224"/>
      <c r="N113" s="224"/>
      <c r="O113" s="225"/>
      <c r="P113" s="280" t="s">
        <v>453</v>
      </c>
      <c r="Q113" s="223"/>
      <c r="R113" s="223"/>
      <c r="S113" s="224"/>
      <c r="T113" s="224"/>
      <c r="U113" s="224"/>
      <c r="V113" s="224"/>
      <c r="W113" s="225"/>
      <c r="X113" s="226"/>
      <c r="Y113" s="226"/>
      <c r="Z113" s="220" t="s">
        <v>387</v>
      </c>
      <c r="AA113" s="221">
        <v>0.03</v>
      </c>
      <c r="AB113" s="275"/>
      <c r="AC113" s="280" t="s">
        <v>455</v>
      </c>
      <c r="AD113" s="223"/>
      <c r="AE113" s="223"/>
      <c r="AF113" s="223"/>
      <c r="AG113" s="223"/>
      <c r="AH113" s="223"/>
      <c r="AI113" s="223"/>
      <c r="AJ113" s="223"/>
      <c r="AK113" s="223"/>
      <c r="AL113" s="283"/>
      <c r="AM113" s="283"/>
      <c r="AO113" s="284" t="s">
        <v>14</v>
      </c>
      <c r="AP113" s="285"/>
      <c r="AQ113" s="285"/>
      <c r="AR113" s="285"/>
      <c r="AS113" s="285"/>
      <c r="AT113" s="285"/>
      <c r="AU113" s="285"/>
      <c r="AV113" s="285"/>
      <c r="AW113" s="285"/>
      <c r="AX113" s="285"/>
      <c r="AY113" s="285"/>
      <c r="AZ113" s="285"/>
      <c r="BA113" s="285"/>
      <c r="BB113" s="285"/>
      <c r="BC113" s="284" t="s">
        <v>15</v>
      </c>
      <c r="BD113" s="285"/>
      <c r="BE113" s="285"/>
      <c r="BF113" s="285"/>
      <c r="BG113" s="285"/>
      <c r="BH113" s="285"/>
      <c r="BI113" s="285"/>
      <c r="BJ113" s="285"/>
      <c r="BK113" s="285"/>
      <c r="BL113" s="285"/>
      <c r="BM113" s="285"/>
      <c r="BN113" s="285"/>
      <c r="BO113" s="285"/>
      <c r="BP113" s="285"/>
      <c r="BQ113" s="285"/>
      <c r="BR113" s="285"/>
      <c r="BS113" s="285"/>
      <c r="BT113" s="285"/>
      <c r="BU113" s="285"/>
      <c r="BV113" s="285"/>
      <c r="BW113" s="286"/>
    </row>
    <row r="114" spans="2:83">
      <c r="B114" s="75" t="s">
        <v>31</v>
      </c>
      <c r="C114" s="75" t="s">
        <v>369</v>
      </c>
      <c r="D114" s="75" t="s">
        <v>370</v>
      </c>
      <c r="E114" s="75" t="s">
        <v>393</v>
      </c>
      <c r="F114" s="75" t="s">
        <v>394</v>
      </c>
      <c r="G114" s="75" t="s">
        <v>395</v>
      </c>
      <c r="H114" s="75" t="s">
        <v>396</v>
      </c>
      <c r="I114" s="75" t="s">
        <v>457</v>
      </c>
      <c r="J114" s="75" t="s">
        <v>498</v>
      </c>
      <c r="K114" s="75" t="s">
        <v>499</v>
      </c>
      <c r="L114" s="75" t="s">
        <v>500</v>
      </c>
      <c r="M114" s="28" t="s">
        <v>465</v>
      </c>
      <c r="N114" s="28" t="s">
        <v>466</v>
      </c>
      <c r="O114" s="28" t="s">
        <v>403</v>
      </c>
      <c r="P114" s="75" t="s">
        <v>468</v>
      </c>
      <c r="Q114" s="75" t="s">
        <v>501</v>
      </c>
      <c r="R114" s="75" t="s">
        <v>502</v>
      </c>
      <c r="S114" s="75" t="s">
        <v>503</v>
      </c>
      <c r="T114" s="75" t="s">
        <v>474</v>
      </c>
      <c r="U114" s="28" t="s">
        <v>412</v>
      </c>
      <c r="V114" s="28" t="s">
        <v>413</v>
      </c>
      <c r="W114" s="28" t="s">
        <v>414</v>
      </c>
      <c r="X114" s="28" t="s">
        <v>417</v>
      </c>
      <c r="Y114" s="28" t="s">
        <v>418</v>
      </c>
      <c r="Z114" s="28" t="s">
        <v>419</v>
      </c>
      <c r="AA114" s="28" t="s">
        <v>420</v>
      </c>
      <c r="AB114" s="276" t="s">
        <v>421</v>
      </c>
      <c r="AC114" s="75" t="s">
        <v>424</v>
      </c>
      <c r="AD114" s="75" t="s">
        <v>468</v>
      </c>
      <c r="AE114" s="75" t="s">
        <v>501</v>
      </c>
      <c r="AF114" s="28" t="s">
        <v>478</v>
      </c>
      <c r="AG114" s="28" t="s">
        <v>412</v>
      </c>
      <c r="AH114" s="28" t="s">
        <v>413</v>
      </c>
      <c r="AI114" s="28" t="s">
        <v>414</v>
      </c>
      <c r="AJ114" s="28" t="s">
        <v>417</v>
      </c>
      <c r="AK114" s="28" t="s">
        <v>425</v>
      </c>
      <c r="AL114" s="276" t="s">
        <v>426</v>
      </c>
      <c r="AM114" s="276" t="s">
        <v>39</v>
      </c>
      <c r="AP114" s="216" t="s">
        <v>479</v>
      </c>
      <c r="AQ114" s="255"/>
      <c r="AR114" s="216" t="s">
        <v>504</v>
      </c>
      <c r="AS114" s="255"/>
      <c r="AT114" s="216" t="s">
        <v>502</v>
      </c>
      <c r="AU114" s="255"/>
      <c r="AV114" s="216" t="s">
        <v>505</v>
      </c>
      <c r="AW114" s="255"/>
      <c r="AX114" s="289" t="s">
        <v>483</v>
      </c>
      <c r="AY114" s="64"/>
      <c r="AZ114" s="255"/>
      <c r="BD114" s="216" t="s">
        <v>433</v>
      </c>
      <c r="BE114" s="255"/>
      <c r="BF114" s="216" t="s">
        <v>479</v>
      </c>
      <c r="BG114" s="255"/>
      <c r="BH114" s="216" t="s">
        <v>504</v>
      </c>
      <c r="BI114" s="255"/>
      <c r="BJ114" s="216" t="s">
        <v>506</v>
      </c>
      <c r="BK114" s="255"/>
      <c r="BL114" s="216" t="s">
        <v>507</v>
      </c>
      <c r="BM114" s="255"/>
      <c r="BN114" s="216" t="s">
        <v>492</v>
      </c>
      <c r="BO114" s="255"/>
      <c r="BP114" s="216" t="s">
        <v>493</v>
      </c>
      <c r="BQ114" s="255"/>
      <c r="BR114" s="216" t="s">
        <v>437</v>
      </c>
      <c r="BS114" s="255"/>
      <c r="BT114" s="216" t="s">
        <v>440</v>
      </c>
      <c r="BU114" s="255"/>
      <c r="BV114" s="216" t="s">
        <v>441</v>
      </c>
      <c r="BW114" s="255"/>
    </row>
    <row r="115" spans="2:83">
      <c r="B115" s="227">
        <v>1</v>
      </c>
      <c r="C115" s="228"/>
      <c r="D115" s="229"/>
      <c r="E115" s="229"/>
      <c r="F115" s="230"/>
      <c r="G115" s="231">
        <f t="shared" ref="G115:G139" si="110">F115*D115</f>
        <v>0</v>
      </c>
      <c r="H115" s="230"/>
      <c r="I115" s="229"/>
      <c r="J115" s="229"/>
      <c r="K115" s="229"/>
      <c r="L115" s="229"/>
      <c r="M115" s="232"/>
      <c r="N115" s="232"/>
      <c r="O115" s="233"/>
      <c r="P115" s="235">
        <f t="shared" ref="P115:P139" si="111">IF($I115="x",IF($D115="",0,INDEX($AQ$116:$AQ$121,MATCH($D115,$AP$116:$AP$121,1))),0)</f>
        <v>0</v>
      </c>
      <c r="Q115" s="235">
        <f>IF($J115="x",IF($D115="",0,INDEX($AS$116:$AS$121,MATCH($D115,$AR$116:$AR$121,1))),0)</f>
        <v>0</v>
      </c>
      <c r="R115" s="235">
        <f>IF($K115="x",IF($D115="",0,INDEX($AU$116:$AU$121,MATCH($D115,$AT$116:$AT$121,1))),0)</f>
        <v>0</v>
      </c>
      <c r="S115" s="235">
        <f>IF($L115="x",IF($D115="",0,INDEX($AW$116:$AW$121,MATCH($D115,$AV$116:$AV$121,1))),0)</f>
        <v>0</v>
      </c>
      <c r="T115" s="235">
        <f>IF($K115="x",IF($D115="",0,INDEX($AY$116:$AY$121,MATCH($D115,$AX$116:$AX$121,1))),0)+IF($L115="x",IF($D115="",0,INDEX($AZ$116:$AZ$121,MATCH($D115,$AX$116:$AX$121,1))),0)</f>
        <v>0</v>
      </c>
      <c r="U115" s="235">
        <f t="shared" ref="U115:U139" si="112">IF($D115="",0,IF(M115="x",$BB$118,0))</f>
        <v>0</v>
      </c>
      <c r="V115" s="235">
        <f t="shared" ref="V115:V139" si="113">IF($D115="",0,IF(N115="x",$BB$120,0))</f>
        <v>0</v>
      </c>
      <c r="W115" s="235">
        <f t="shared" ref="W115:W139" si="114">IF($O115="x",IF($D115="",0,$BA$116),0)</f>
        <v>0</v>
      </c>
      <c r="X115" s="235">
        <f t="shared" ref="X115:X139" si="115">IF($D115="",0,(IF(OR(O115="x",O115="xx"),1,0))*$BB$116)</f>
        <v>0</v>
      </c>
      <c r="Y115" s="235">
        <f t="shared" ref="Y115:Y139" si="116">G115+H115</f>
        <v>0</v>
      </c>
      <c r="Z115" s="235">
        <f t="shared" ref="Z115:Z139" si="117">SUM(P115:X115)</f>
        <v>0</v>
      </c>
      <c r="AA115" s="235">
        <f>IF($E115="xx",(1600*$D115+$Z115),SUM(Y115:Z115))*$AA$113</f>
        <v>0</v>
      </c>
      <c r="AB115" s="277">
        <f>SUM(Y115:AA115)</f>
        <v>0</v>
      </c>
      <c r="AC115" s="235">
        <f t="shared" ref="AC115:AC139" si="118">IF($D115="",0,INDEX($BE$116:$BE$121,MATCH($D115,$BD$116:$BD$121))*$BC$116)</f>
        <v>0</v>
      </c>
      <c r="AD115" s="235">
        <f t="shared" ref="AD115:AD139" si="119">IF($D115="",0,IF(OR($I115="x",$I115="xx"),INDEX($BG$116:$BG$121,MATCH($D115,$BF$116:$BF$121))*$BC$116,0))</f>
        <v>0</v>
      </c>
      <c r="AE115" s="235">
        <f t="shared" ref="AE115:AE139" si="120">IF($D115="",0,IF(OR($J115="x",$J115="xx"),INDEX($BI$116:$BI$121,MATCH($D115,$BH$116:$BH$121))*$BC$116,0))</f>
        <v>0</v>
      </c>
      <c r="AF115" s="235">
        <f t="shared" ref="AF115:AF139" si="121">IF($D115="",0,IF(OR($K115="x",$K115="xx"),INDEX($BK$116:$BK$121,MATCH($D115,$BJ$116:$BJ$121))*$CE$87,0))+IF($D115="",0,IF(OR($L115="x",$L115="xx"),INDEX($BM$116:$BM$121,MATCH($D115,$BL$116:$BL$121))*$CE$87,0))</f>
        <v>0</v>
      </c>
      <c r="AG115" s="235">
        <f t="shared" ref="AG115:AG139" si="122">IF($D115="",0,IF(OR($M115="x",$M115="xx"),INDEX($BO$116:$BO$121,MATCH($D115,$BN$116:$BN$121))*$BC$116,0))</f>
        <v>0</v>
      </c>
      <c r="AH115" s="235">
        <f t="shared" ref="AH115:AH139" si="123">IF($D115="",0,IF(OR($N115="x",$N115="xx"),INDEX($BQ$116:$BQ$121,MATCH($D115,$BP$116:$BP$121))*$BC$116,0))</f>
        <v>0</v>
      </c>
      <c r="AI115" s="235">
        <f t="shared" ref="AI115:AI139" si="124">IF($D115="",0,IF(OR($O115="x",$O115="xx"),INDEX($BS$116:$BS$121,MATCH($D115,$BR$116:$BR$121))*$CE$87,0))</f>
        <v>0</v>
      </c>
      <c r="AJ115" s="235">
        <f t="shared" ref="AJ115:AJ139" si="125">IF($D115="",0,((IF(OR($O115="x",$O115="xx"),1,0))*INDEX($BU$116:$BU$121,MATCH($D115,$BT$116:$BT$121))*$BC$116))</f>
        <v>0</v>
      </c>
      <c r="AK115" s="235">
        <f t="shared" ref="AK115:AK139" si="126">IF($D115="",0,INDEX($BW$116:$BW$121,MATCH($D115,$BV$116:$BV$121))*$BC$116)</f>
        <v>0</v>
      </c>
      <c r="AL115" s="277">
        <f t="shared" ref="AL115:AL139" si="127">SUM(AC115:AK115)</f>
        <v>0</v>
      </c>
      <c r="AM115" s="259"/>
      <c r="AO115" s="150" t="s">
        <v>226</v>
      </c>
      <c r="AP115" s="78" t="s">
        <v>379</v>
      </c>
      <c r="AQ115" s="162" t="s">
        <v>312</v>
      </c>
      <c r="AR115" s="78" t="s">
        <v>379</v>
      </c>
      <c r="AS115" s="162" t="s">
        <v>312</v>
      </c>
      <c r="AT115" s="78" t="s">
        <v>379</v>
      </c>
      <c r="AU115" s="162" t="s">
        <v>312</v>
      </c>
      <c r="AV115" s="78" t="s">
        <v>379</v>
      </c>
      <c r="AW115" s="162" t="s">
        <v>312</v>
      </c>
      <c r="AX115" s="78" t="s">
        <v>379</v>
      </c>
      <c r="AY115" s="75" t="s">
        <v>495</v>
      </c>
      <c r="AZ115" s="162" t="s">
        <v>496</v>
      </c>
      <c r="BA115" s="35" t="s">
        <v>444</v>
      </c>
      <c r="BB115" s="35" t="s">
        <v>445</v>
      </c>
      <c r="BC115" s="78" t="s">
        <v>446</v>
      </c>
      <c r="BD115" s="78" t="s">
        <v>379</v>
      </c>
      <c r="BE115" s="162" t="s">
        <v>447</v>
      </c>
      <c r="BF115" s="78" t="s">
        <v>379</v>
      </c>
      <c r="BG115" s="162" t="s">
        <v>447</v>
      </c>
      <c r="BH115" s="78" t="s">
        <v>379</v>
      </c>
      <c r="BI115" s="162" t="s">
        <v>447</v>
      </c>
      <c r="BJ115" s="78" t="s">
        <v>379</v>
      </c>
      <c r="BK115" s="162" t="s">
        <v>447</v>
      </c>
      <c r="BL115" s="78" t="s">
        <v>379</v>
      </c>
      <c r="BM115" s="162" t="s">
        <v>447</v>
      </c>
      <c r="BN115" s="78" t="s">
        <v>379</v>
      </c>
      <c r="BO115" s="162" t="s">
        <v>447</v>
      </c>
      <c r="BP115" s="78" t="s">
        <v>379</v>
      </c>
      <c r="BQ115" s="162" t="s">
        <v>447</v>
      </c>
      <c r="BR115" s="78" t="s">
        <v>379</v>
      </c>
      <c r="BS115" s="162" t="s">
        <v>447</v>
      </c>
      <c r="BT115" s="78" t="s">
        <v>379</v>
      </c>
      <c r="BU115" s="162" t="s">
        <v>447</v>
      </c>
      <c r="BV115" s="78" t="s">
        <v>379</v>
      </c>
      <c r="BW115" s="162" t="s">
        <v>447</v>
      </c>
    </row>
    <row r="116" spans="2:83">
      <c r="B116" s="236">
        <f>B115+1</f>
        <v>2</v>
      </c>
      <c r="C116" s="237"/>
      <c r="D116" s="238"/>
      <c r="E116" s="238"/>
      <c r="F116" s="239"/>
      <c r="G116" s="240">
        <f t="shared" si="110"/>
        <v>0</v>
      </c>
      <c r="H116" s="239"/>
      <c r="I116" s="238"/>
      <c r="J116" s="238"/>
      <c r="K116" s="238"/>
      <c r="L116" s="238"/>
      <c r="M116" s="241"/>
      <c r="N116" s="241"/>
      <c r="O116" s="242"/>
      <c r="P116" s="244">
        <f t="shared" si="111"/>
        <v>0</v>
      </c>
      <c r="Q116" s="244">
        <f t="shared" ref="Q116:Q139" si="128">IF($J116="x",IF($D116="",0,INDEX($AS$116:$AS$121,MATCH($D116,$AR$116:$AR$121,1))),0)</f>
        <v>0</v>
      </c>
      <c r="R116" s="244">
        <f t="shared" ref="R116:R139" si="129">IF($K116="x",IF($D116="",0,INDEX($AU$116:$AU$121,MATCH($D116,$AT$116:$AT$121,1))),0)</f>
        <v>0</v>
      </c>
      <c r="S116" s="244">
        <f t="shared" ref="S116:S139" si="130">IF($L116="x",IF($D116="",0,INDEX($AW$116:$AW$121,MATCH($D116,$AV$116:$AV$121,1))),0)</f>
        <v>0</v>
      </c>
      <c r="T116" s="244">
        <f t="shared" ref="T116:T139" si="131">IF($K116="x",IF($D116="",0,INDEX($AY$116:$AY$121,MATCH($D116,$AX$116:$AX$121,1))),0)+IF($L116="x",IF($D116="",0,INDEX($AZ$116:$AZ$121,MATCH($D116,$AX$116:$AX$121,1))),0)</f>
        <v>0</v>
      </c>
      <c r="U116" s="244">
        <f t="shared" si="112"/>
        <v>0</v>
      </c>
      <c r="V116" s="244">
        <f t="shared" si="113"/>
        <v>0</v>
      </c>
      <c r="W116" s="244">
        <f t="shared" si="114"/>
        <v>0</v>
      </c>
      <c r="X116" s="244">
        <f t="shared" si="115"/>
        <v>0</v>
      </c>
      <c r="Y116" s="244">
        <f t="shared" si="116"/>
        <v>0</v>
      </c>
      <c r="Z116" s="244">
        <f t="shared" si="117"/>
        <v>0</v>
      </c>
      <c r="AA116" s="244">
        <f t="shared" ref="AA116:AA139" si="132">IF($E116="xx",(1600*$D116+$Z116),SUM(Y116:Z116))*$AA$113</f>
        <v>0</v>
      </c>
      <c r="AB116" s="278">
        <f t="shared" ref="AB116:AB139" si="133">SUM(Y116:AA116)</f>
        <v>0</v>
      </c>
      <c r="AC116" s="244">
        <f t="shared" si="118"/>
        <v>0</v>
      </c>
      <c r="AD116" s="244">
        <f t="shared" si="119"/>
        <v>0</v>
      </c>
      <c r="AE116" s="244">
        <f t="shared" si="120"/>
        <v>0</v>
      </c>
      <c r="AF116" s="244">
        <f t="shared" si="121"/>
        <v>0</v>
      </c>
      <c r="AG116" s="244">
        <f t="shared" si="122"/>
        <v>0</v>
      </c>
      <c r="AH116" s="244">
        <f t="shared" si="123"/>
        <v>0</v>
      </c>
      <c r="AI116" s="244">
        <f t="shared" si="124"/>
        <v>0</v>
      </c>
      <c r="AJ116" s="244">
        <f t="shared" si="125"/>
        <v>0</v>
      </c>
      <c r="AK116" s="244">
        <f t="shared" si="126"/>
        <v>0</v>
      </c>
      <c r="AL116" s="278">
        <f t="shared" si="127"/>
        <v>0</v>
      </c>
      <c r="AM116" s="264"/>
      <c r="AO116" s="214" t="s">
        <v>448</v>
      </c>
      <c r="AP116" s="215">
        <v>0</v>
      </c>
      <c r="AQ116" s="217">
        <v>350</v>
      </c>
      <c r="AR116" s="215">
        <v>0</v>
      </c>
      <c r="AS116" s="217">
        <v>150</v>
      </c>
      <c r="AT116" s="215">
        <v>0</v>
      </c>
      <c r="AU116" s="217">
        <f>2.5*80+2*80</f>
        <v>360</v>
      </c>
      <c r="AV116" s="215">
        <v>0</v>
      </c>
      <c r="AW116" s="217">
        <f>AU116*1.5</f>
        <v>540</v>
      </c>
      <c r="AX116" s="215">
        <v>0</v>
      </c>
      <c r="AY116" s="287">
        <f>5*35</f>
        <v>175</v>
      </c>
      <c r="AZ116" s="217">
        <f>AY116*1.5</f>
        <v>262.5</v>
      </c>
      <c r="BA116" s="219">
        <v>200</v>
      </c>
      <c r="BB116" s="219">
        <f>90/2</f>
        <v>45</v>
      </c>
      <c r="BC116" s="35">
        <v>25</v>
      </c>
      <c r="BD116" s="215">
        <v>0</v>
      </c>
      <c r="BE116" s="281">
        <v>9</v>
      </c>
      <c r="BF116" s="215">
        <v>0</v>
      </c>
      <c r="BG116" s="281">
        <v>3</v>
      </c>
      <c r="BH116" s="215">
        <v>0</v>
      </c>
      <c r="BI116" s="281">
        <v>3</v>
      </c>
      <c r="BJ116" s="215">
        <v>0</v>
      </c>
      <c r="BK116" s="281">
        <v>8</v>
      </c>
      <c r="BL116" s="215">
        <v>0</v>
      </c>
      <c r="BM116" s="281">
        <v>12</v>
      </c>
      <c r="BN116" s="215">
        <v>0</v>
      </c>
      <c r="BO116" s="281">
        <v>5</v>
      </c>
      <c r="BP116" s="215">
        <v>0</v>
      </c>
      <c r="BQ116" s="281">
        <v>14</v>
      </c>
      <c r="BR116" s="215">
        <v>0</v>
      </c>
      <c r="BS116" s="281">
        <v>1</v>
      </c>
      <c r="BT116" s="215">
        <v>0</v>
      </c>
      <c r="BU116" s="281">
        <v>2</v>
      </c>
      <c r="BV116" s="215">
        <v>0</v>
      </c>
      <c r="BW116" s="281">
        <v>6</v>
      </c>
    </row>
    <row r="117" spans="2:83">
      <c r="B117" s="236">
        <f t="shared" ref="B117:B139" si="134">B116+1</f>
        <v>3</v>
      </c>
      <c r="C117" s="237"/>
      <c r="D117" s="238"/>
      <c r="E117" s="238"/>
      <c r="F117" s="239"/>
      <c r="G117" s="240">
        <f t="shared" si="110"/>
        <v>0</v>
      </c>
      <c r="H117" s="239"/>
      <c r="I117" s="238"/>
      <c r="J117" s="238"/>
      <c r="K117" s="238"/>
      <c r="L117" s="238"/>
      <c r="M117" s="241"/>
      <c r="N117" s="241"/>
      <c r="O117" s="242"/>
      <c r="P117" s="244">
        <f t="shared" si="111"/>
        <v>0</v>
      </c>
      <c r="Q117" s="244">
        <f t="shared" si="128"/>
        <v>0</v>
      </c>
      <c r="R117" s="244">
        <f t="shared" si="129"/>
        <v>0</v>
      </c>
      <c r="S117" s="244">
        <f t="shared" si="130"/>
        <v>0</v>
      </c>
      <c r="T117" s="244">
        <f t="shared" si="131"/>
        <v>0</v>
      </c>
      <c r="U117" s="244">
        <f t="shared" si="112"/>
        <v>0</v>
      </c>
      <c r="V117" s="244">
        <f t="shared" si="113"/>
        <v>0</v>
      </c>
      <c r="W117" s="244">
        <f t="shared" si="114"/>
        <v>0</v>
      </c>
      <c r="X117" s="244">
        <f t="shared" si="115"/>
        <v>0</v>
      </c>
      <c r="Y117" s="244">
        <f t="shared" si="116"/>
        <v>0</v>
      </c>
      <c r="Z117" s="244">
        <f t="shared" si="117"/>
        <v>0</v>
      </c>
      <c r="AA117" s="244">
        <f t="shared" si="132"/>
        <v>0</v>
      </c>
      <c r="AB117" s="278">
        <f t="shared" si="133"/>
        <v>0</v>
      </c>
      <c r="AC117" s="244">
        <f t="shared" si="118"/>
        <v>0</v>
      </c>
      <c r="AD117" s="244">
        <f t="shared" si="119"/>
        <v>0</v>
      </c>
      <c r="AE117" s="244">
        <f t="shared" si="120"/>
        <v>0</v>
      </c>
      <c r="AF117" s="244">
        <f t="shared" si="121"/>
        <v>0</v>
      </c>
      <c r="AG117" s="244">
        <f t="shared" si="122"/>
        <v>0</v>
      </c>
      <c r="AH117" s="244">
        <f t="shared" si="123"/>
        <v>0</v>
      </c>
      <c r="AI117" s="244">
        <f t="shared" si="124"/>
        <v>0</v>
      </c>
      <c r="AJ117" s="244">
        <f t="shared" si="125"/>
        <v>0</v>
      </c>
      <c r="AK117" s="244">
        <f t="shared" si="126"/>
        <v>0</v>
      </c>
      <c r="AL117" s="278">
        <f t="shared" si="127"/>
        <v>0</v>
      </c>
      <c r="AM117" s="264"/>
      <c r="AO117" s="214" t="s">
        <v>449</v>
      </c>
      <c r="AP117" s="214">
        <v>5</v>
      </c>
      <c r="AQ117" s="217">
        <v>350</v>
      </c>
      <c r="AR117" s="214">
        <v>5</v>
      </c>
      <c r="AS117" s="217">
        <v>150</v>
      </c>
      <c r="AT117" s="214">
        <v>5</v>
      </c>
      <c r="AU117" s="217">
        <f t="shared" ref="AU117" si="135">2.5*80+2*80</f>
        <v>360</v>
      </c>
      <c r="AV117" s="214">
        <v>5</v>
      </c>
      <c r="AW117" s="217">
        <f t="shared" ref="AW117:AW121" si="136">AU117*1.5</f>
        <v>540</v>
      </c>
      <c r="AX117" s="214">
        <v>5</v>
      </c>
      <c r="AY117" s="287">
        <f>5*35</f>
        <v>175</v>
      </c>
      <c r="AZ117" s="217">
        <f t="shared" ref="AZ117:AZ121" si="137">AY117*1.5</f>
        <v>262.5</v>
      </c>
      <c r="BB117" s="35" t="s">
        <v>435</v>
      </c>
      <c r="BD117" s="214">
        <v>5</v>
      </c>
      <c r="BE117" s="281">
        <v>9</v>
      </c>
      <c r="BF117" s="214">
        <v>5</v>
      </c>
      <c r="BG117" s="281">
        <v>3</v>
      </c>
      <c r="BH117" s="214">
        <v>5</v>
      </c>
      <c r="BI117" s="281">
        <v>3</v>
      </c>
      <c r="BJ117" s="214">
        <v>5</v>
      </c>
      <c r="BK117" s="281">
        <v>8</v>
      </c>
      <c r="BL117" s="214">
        <v>5</v>
      </c>
      <c r="BM117" s="281">
        <v>12</v>
      </c>
      <c r="BN117" s="214">
        <v>5</v>
      </c>
      <c r="BO117" s="281">
        <v>5</v>
      </c>
      <c r="BP117" s="214">
        <v>5</v>
      </c>
      <c r="BQ117" s="281">
        <v>14</v>
      </c>
      <c r="BR117" s="214">
        <v>5</v>
      </c>
      <c r="BS117" s="281">
        <v>1</v>
      </c>
      <c r="BT117" s="214">
        <v>5</v>
      </c>
      <c r="BU117" s="281">
        <v>2</v>
      </c>
      <c r="BV117" s="214">
        <v>5</v>
      </c>
      <c r="BW117" s="281">
        <v>6</v>
      </c>
    </row>
    <row r="118" spans="2:83">
      <c r="B118" s="236">
        <f t="shared" si="134"/>
        <v>4</v>
      </c>
      <c r="C118" s="237"/>
      <c r="D118" s="238"/>
      <c r="E118" s="238"/>
      <c r="F118" s="239"/>
      <c r="G118" s="240">
        <f t="shared" si="110"/>
        <v>0</v>
      </c>
      <c r="H118" s="239"/>
      <c r="I118" s="238"/>
      <c r="J118" s="238"/>
      <c r="K118" s="238"/>
      <c r="L118" s="238"/>
      <c r="M118" s="241"/>
      <c r="N118" s="241"/>
      <c r="O118" s="242"/>
      <c r="P118" s="244">
        <f t="shared" si="111"/>
        <v>0</v>
      </c>
      <c r="Q118" s="244">
        <f t="shared" si="128"/>
        <v>0</v>
      </c>
      <c r="R118" s="244">
        <f t="shared" si="129"/>
        <v>0</v>
      </c>
      <c r="S118" s="244">
        <f t="shared" si="130"/>
        <v>0</v>
      </c>
      <c r="T118" s="244">
        <f t="shared" si="131"/>
        <v>0</v>
      </c>
      <c r="U118" s="244">
        <f t="shared" si="112"/>
        <v>0</v>
      </c>
      <c r="V118" s="244">
        <f t="shared" si="113"/>
        <v>0</v>
      </c>
      <c r="W118" s="244">
        <f t="shared" si="114"/>
        <v>0</v>
      </c>
      <c r="X118" s="244">
        <f t="shared" si="115"/>
        <v>0</v>
      </c>
      <c r="Y118" s="244">
        <f t="shared" si="116"/>
        <v>0</v>
      </c>
      <c r="Z118" s="244">
        <f t="shared" si="117"/>
        <v>0</v>
      </c>
      <c r="AA118" s="244">
        <f t="shared" si="132"/>
        <v>0</v>
      </c>
      <c r="AB118" s="278">
        <f t="shared" si="133"/>
        <v>0</v>
      </c>
      <c r="AC118" s="244">
        <f t="shared" si="118"/>
        <v>0</v>
      </c>
      <c r="AD118" s="244">
        <f t="shared" si="119"/>
        <v>0</v>
      </c>
      <c r="AE118" s="244">
        <f t="shared" si="120"/>
        <v>0</v>
      </c>
      <c r="AF118" s="244">
        <f t="shared" si="121"/>
        <v>0</v>
      </c>
      <c r="AG118" s="244">
        <f t="shared" si="122"/>
        <v>0</v>
      </c>
      <c r="AH118" s="244">
        <f t="shared" si="123"/>
        <v>0</v>
      </c>
      <c r="AI118" s="244">
        <f t="shared" si="124"/>
        <v>0</v>
      </c>
      <c r="AJ118" s="244">
        <f t="shared" si="125"/>
        <v>0</v>
      </c>
      <c r="AK118" s="244">
        <f t="shared" si="126"/>
        <v>0</v>
      </c>
      <c r="AL118" s="278">
        <f t="shared" si="127"/>
        <v>0</v>
      </c>
      <c r="AM118" s="264"/>
      <c r="AO118" s="123"/>
      <c r="AP118" s="214">
        <v>10</v>
      </c>
      <c r="AQ118" s="217">
        <v>380</v>
      </c>
      <c r="AR118" s="214">
        <v>10</v>
      </c>
      <c r="AS118" s="217">
        <v>200</v>
      </c>
      <c r="AT118" s="214">
        <v>10</v>
      </c>
      <c r="AU118" s="217">
        <f>3*80+2.5*80</f>
        <v>440</v>
      </c>
      <c r="AV118" s="214">
        <v>10</v>
      </c>
      <c r="AW118" s="217">
        <f t="shared" si="136"/>
        <v>660</v>
      </c>
      <c r="AX118" s="214">
        <v>10</v>
      </c>
      <c r="AY118" s="287">
        <f>9*35</f>
        <v>315</v>
      </c>
      <c r="AZ118" s="217">
        <f t="shared" si="137"/>
        <v>472.5</v>
      </c>
      <c r="BB118" s="219">
        <f>45+9+75</f>
        <v>129</v>
      </c>
      <c r="BD118" s="214">
        <v>10</v>
      </c>
      <c r="BE118" s="281">
        <v>12</v>
      </c>
      <c r="BF118" s="214">
        <v>10</v>
      </c>
      <c r="BG118" s="281">
        <v>4</v>
      </c>
      <c r="BH118" s="214">
        <v>10</v>
      </c>
      <c r="BI118" s="281">
        <v>4</v>
      </c>
      <c r="BJ118" s="214">
        <v>10</v>
      </c>
      <c r="BK118" s="281">
        <v>10</v>
      </c>
      <c r="BL118" s="214">
        <v>10</v>
      </c>
      <c r="BM118" s="281">
        <v>15</v>
      </c>
      <c r="BN118" s="214">
        <v>10</v>
      </c>
      <c r="BO118" s="281">
        <v>5</v>
      </c>
      <c r="BP118" s="214">
        <v>10</v>
      </c>
      <c r="BQ118" s="281">
        <v>14</v>
      </c>
      <c r="BR118" s="214">
        <v>10</v>
      </c>
      <c r="BS118" s="281">
        <v>1</v>
      </c>
      <c r="BT118" s="214">
        <v>10</v>
      </c>
      <c r="BU118" s="281">
        <v>2</v>
      </c>
      <c r="BV118" s="214">
        <v>10</v>
      </c>
      <c r="BW118" s="281">
        <v>6</v>
      </c>
    </row>
    <row r="119" spans="2:83">
      <c r="B119" s="236">
        <f t="shared" si="134"/>
        <v>5</v>
      </c>
      <c r="C119" s="237"/>
      <c r="D119" s="238"/>
      <c r="E119" s="238"/>
      <c r="F119" s="239"/>
      <c r="G119" s="240">
        <f t="shared" si="110"/>
        <v>0</v>
      </c>
      <c r="H119" s="239"/>
      <c r="I119" s="238"/>
      <c r="J119" s="238"/>
      <c r="K119" s="238"/>
      <c r="L119" s="238"/>
      <c r="M119" s="241"/>
      <c r="N119" s="241"/>
      <c r="O119" s="242"/>
      <c r="P119" s="244">
        <f t="shared" si="111"/>
        <v>0</v>
      </c>
      <c r="Q119" s="244">
        <f t="shared" si="128"/>
        <v>0</v>
      </c>
      <c r="R119" s="244">
        <f t="shared" si="129"/>
        <v>0</v>
      </c>
      <c r="S119" s="244">
        <f t="shared" si="130"/>
        <v>0</v>
      </c>
      <c r="T119" s="244">
        <f t="shared" si="131"/>
        <v>0</v>
      </c>
      <c r="U119" s="244">
        <f t="shared" si="112"/>
        <v>0</v>
      </c>
      <c r="V119" s="244">
        <f t="shared" si="113"/>
        <v>0</v>
      </c>
      <c r="W119" s="244">
        <f t="shared" si="114"/>
        <v>0</v>
      </c>
      <c r="X119" s="244">
        <f t="shared" si="115"/>
        <v>0</v>
      </c>
      <c r="Y119" s="244">
        <f t="shared" si="116"/>
        <v>0</v>
      </c>
      <c r="Z119" s="244">
        <f t="shared" si="117"/>
        <v>0</v>
      </c>
      <c r="AA119" s="244">
        <f t="shared" si="132"/>
        <v>0</v>
      </c>
      <c r="AB119" s="278">
        <f t="shared" si="133"/>
        <v>0</v>
      </c>
      <c r="AC119" s="244">
        <f t="shared" si="118"/>
        <v>0</v>
      </c>
      <c r="AD119" s="244">
        <f t="shared" si="119"/>
        <v>0</v>
      </c>
      <c r="AE119" s="244">
        <f t="shared" si="120"/>
        <v>0</v>
      </c>
      <c r="AF119" s="244">
        <f t="shared" si="121"/>
        <v>0</v>
      </c>
      <c r="AG119" s="244">
        <f t="shared" si="122"/>
        <v>0</v>
      </c>
      <c r="AH119" s="244">
        <f t="shared" si="123"/>
        <v>0</v>
      </c>
      <c r="AI119" s="244">
        <f t="shared" si="124"/>
        <v>0</v>
      </c>
      <c r="AJ119" s="244">
        <f t="shared" si="125"/>
        <v>0</v>
      </c>
      <c r="AK119" s="244">
        <f t="shared" si="126"/>
        <v>0</v>
      </c>
      <c r="AL119" s="278">
        <f t="shared" si="127"/>
        <v>0</v>
      </c>
      <c r="AM119" s="264"/>
      <c r="AO119" s="393" t="s">
        <v>451</v>
      </c>
      <c r="AP119" s="214">
        <v>20</v>
      </c>
      <c r="AQ119" s="217">
        <v>450</v>
      </c>
      <c r="AR119" s="214">
        <v>20</v>
      </c>
      <c r="AS119" s="217">
        <v>250</v>
      </c>
      <c r="AT119" s="214">
        <v>20</v>
      </c>
      <c r="AU119" s="217">
        <f>3.5*80+3*80</f>
        <v>520</v>
      </c>
      <c r="AV119" s="214">
        <v>20</v>
      </c>
      <c r="AW119" s="217">
        <f t="shared" si="136"/>
        <v>780</v>
      </c>
      <c r="AX119" s="214">
        <v>20</v>
      </c>
      <c r="AY119" s="287">
        <f>14*35</f>
        <v>490</v>
      </c>
      <c r="AZ119" s="217">
        <f t="shared" si="137"/>
        <v>735</v>
      </c>
      <c r="BB119" s="35" t="s">
        <v>436</v>
      </c>
      <c r="BD119" s="214">
        <v>20</v>
      </c>
      <c r="BE119" s="281">
        <v>15</v>
      </c>
      <c r="BF119" s="214">
        <v>20</v>
      </c>
      <c r="BG119" s="281">
        <v>8</v>
      </c>
      <c r="BH119" s="214">
        <v>20</v>
      </c>
      <c r="BI119" s="281">
        <v>5</v>
      </c>
      <c r="BJ119" s="214">
        <v>20</v>
      </c>
      <c r="BK119" s="281">
        <v>14</v>
      </c>
      <c r="BL119" s="214">
        <v>20</v>
      </c>
      <c r="BM119" s="281">
        <v>21</v>
      </c>
      <c r="BN119" s="214">
        <v>20</v>
      </c>
      <c r="BO119" s="281">
        <v>6</v>
      </c>
      <c r="BP119" s="214">
        <v>20</v>
      </c>
      <c r="BQ119" s="281">
        <v>16</v>
      </c>
      <c r="BR119" s="214">
        <v>20</v>
      </c>
      <c r="BS119" s="281">
        <v>1</v>
      </c>
      <c r="BT119" s="214">
        <v>20</v>
      </c>
      <c r="BU119" s="281">
        <v>2</v>
      </c>
      <c r="BV119" s="214">
        <v>20</v>
      </c>
      <c r="BW119" s="281">
        <v>7</v>
      </c>
    </row>
    <row r="120" spans="2:83">
      <c r="B120" s="236">
        <f t="shared" si="134"/>
        <v>6</v>
      </c>
      <c r="C120" s="237"/>
      <c r="D120" s="238"/>
      <c r="E120" s="238"/>
      <c r="F120" s="239"/>
      <c r="G120" s="240">
        <f t="shared" si="110"/>
        <v>0</v>
      </c>
      <c r="H120" s="239"/>
      <c r="I120" s="238"/>
      <c r="J120" s="238"/>
      <c r="K120" s="238"/>
      <c r="L120" s="238"/>
      <c r="M120" s="241"/>
      <c r="N120" s="241"/>
      <c r="O120" s="242"/>
      <c r="P120" s="244">
        <f t="shared" si="111"/>
        <v>0</v>
      </c>
      <c r="Q120" s="244">
        <f t="shared" si="128"/>
        <v>0</v>
      </c>
      <c r="R120" s="244">
        <f t="shared" si="129"/>
        <v>0</v>
      </c>
      <c r="S120" s="244">
        <f t="shared" si="130"/>
        <v>0</v>
      </c>
      <c r="T120" s="244">
        <f t="shared" si="131"/>
        <v>0</v>
      </c>
      <c r="U120" s="244">
        <f t="shared" si="112"/>
        <v>0</v>
      </c>
      <c r="V120" s="244">
        <f t="shared" si="113"/>
        <v>0</v>
      </c>
      <c r="W120" s="244">
        <f t="shared" si="114"/>
        <v>0</v>
      </c>
      <c r="X120" s="244">
        <f t="shared" si="115"/>
        <v>0</v>
      </c>
      <c r="Y120" s="244">
        <f t="shared" si="116"/>
        <v>0</v>
      </c>
      <c r="Z120" s="244">
        <f t="shared" si="117"/>
        <v>0</v>
      </c>
      <c r="AA120" s="244">
        <f t="shared" si="132"/>
        <v>0</v>
      </c>
      <c r="AB120" s="278">
        <f t="shared" si="133"/>
        <v>0</v>
      </c>
      <c r="AC120" s="244">
        <f t="shared" si="118"/>
        <v>0</v>
      </c>
      <c r="AD120" s="244">
        <f t="shared" si="119"/>
        <v>0</v>
      </c>
      <c r="AE120" s="244">
        <f t="shared" si="120"/>
        <v>0</v>
      </c>
      <c r="AF120" s="244">
        <f t="shared" si="121"/>
        <v>0</v>
      </c>
      <c r="AG120" s="244">
        <f t="shared" si="122"/>
        <v>0</v>
      </c>
      <c r="AH120" s="244">
        <f t="shared" si="123"/>
        <v>0</v>
      </c>
      <c r="AI120" s="244">
        <f t="shared" si="124"/>
        <v>0</v>
      </c>
      <c r="AJ120" s="244">
        <f t="shared" si="125"/>
        <v>0</v>
      </c>
      <c r="AK120" s="244">
        <f t="shared" si="126"/>
        <v>0</v>
      </c>
      <c r="AL120" s="278">
        <f t="shared" si="127"/>
        <v>0</v>
      </c>
      <c r="AM120" s="264"/>
      <c r="AO120" s="195" t="s">
        <v>449</v>
      </c>
      <c r="AP120" s="214">
        <v>50</v>
      </c>
      <c r="AQ120" s="217">
        <v>1200</v>
      </c>
      <c r="AR120" s="214">
        <v>50</v>
      </c>
      <c r="AS120" s="217">
        <v>350</v>
      </c>
      <c r="AT120" s="214">
        <v>50</v>
      </c>
      <c r="AU120" s="217">
        <f>4.5*80+4*80</f>
        <v>680</v>
      </c>
      <c r="AV120" s="214">
        <v>50</v>
      </c>
      <c r="AW120" s="217">
        <f t="shared" si="136"/>
        <v>1020</v>
      </c>
      <c r="AX120" s="214">
        <v>50</v>
      </c>
      <c r="AY120" s="287">
        <f>30*35</f>
        <v>1050</v>
      </c>
      <c r="AZ120" s="217">
        <f t="shared" si="137"/>
        <v>1575</v>
      </c>
      <c r="BB120" s="219">
        <f>(50*4+15+50)*1.5</f>
        <v>397.5</v>
      </c>
      <c r="BD120" s="214">
        <v>50</v>
      </c>
      <c r="BE120" s="281">
        <v>25</v>
      </c>
      <c r="BF120" s="214">
        <v>50</v>
      </c>
      <c r="BG120" s="281">
        <v>15</v>
      </c>
      <c r="BH120" s="214">
        <v>50</v>
      </c>
      <c r="BI120" s="281">
        <v>8</v>
      </c>
      <c r="BJ120" s="214">
        <v>50</v>
      </c>
      <c r="BK120" s="281">
        <v>20</v>
      </c>
      <c r="BL120" s="214">
        <v>50</v>
      </c>
      <c r="BM120" s="281">
        <v>30</v>
      </c>
      <c r="BN120" s="214">
        <v>50</v>
      </c>
      <c r="BO120" s="281">
        <v>7</v>
      </c>
      <c r="BP120" s="214">
        <v>50</v>
      </c>
      <c r="BQ120" s="281">
        <v>20</v>
      </c>
      <c r="BR120" s="214">
        <v>50</v>
      </c>
      <c r="BS120" s="281">
        <v>2</v>
      </c>
      <c r="BT120" s="214">
        <v>50</v>
      </c>
      <c r="BU120" s="281">
        <v>2</v>
      </c>
      <c r="BV120" s="214">
        <v>50</v>
      </c>
      <c r="BW120" s="281">
        <v>9</v>
      </c>
    </row>
    <row r="121" spans="2:83">
      <c r="B121" s="236">
        <f t="shared" si="134"/>
        <v>7</v>
      </c>
      <c r="C121" s="237"/>
      <c r="D121" s="238"/>
      <c r="E121" s="238"/>
      <c r="F121" s="239"/>
      <c r="G121" s="240">
        <f t="shared" si="110"/>
        <v>0</v>
      </c>
      <c r="H121" s="239"/>
      <c r="I121" s="238"/>
      <c r="J121" s="238"/>
      <c r="K121" s="238"/>
      <c r="L121" s="238"/>
      <c r="M121" s="241"/>
      <c r="N121" s="241"/>
      <c r="O121" s="242"/>
      <c r="P121" s="244">
        <f t="shared" si="111"/>
        <v>0</v>
      </c>
      <c r="Q121" s="244">
        <f t="shared" si="128"/>
        <v>0</v>
      </c>
      <c r="R121" s="244">
        <f t="shared" si="129"/>
        <v>0</v>
      </c>
      <c r="S121" s="244">
        <f t="shared" si="130"/>
        <v>0</v>
      </c>
      <c r="T121" s="244">
        <f t="shared" si="131"/>
        <v>0</v>
      </c>
      <c r="U121" s="244">
        <f t="shared" si="112"/>
        <v>0</v>
      </c>
      <c r="V121" s="244">
        <f t="shared" si="113"/>
        <v>0</v>
      </c>
      <c r="W121" s="244">
        <f t="shared" si="114"/>
        <v>0</v>
      </c>
      <c r="X121" s="244">
        <f t="shared" si="115"/>
        <v>0</v>
      </c>
      <c r="Y121" s="244">
        <f t="shared" si="116"/>
        <v>0</v>
      </c>
      <c r="Z121" s="244">
        <f t="shared" si="117"/>
        <v>0</v>
      </c>
      <c r="AA121" s="244">
        <f t="shared" si="132"/>
        <v>0</v>
      </c>
      <c r="AB121" s="278">
        <f t="shared" si="133"/>
        <v>0</v>
      </c>
      <c r="AC121" s="244">
        <f t="shared" si="118"/>
        <v>0</v>
      </c>
      <c r="AD121" s="244">
        <f t="shared" si="119"/>
        <v>0</v>
      </c>
      <c r="AE121" s="244">
        <f t="shared" si="120"/>
        <v>0</v>
      </c>
      <c r="AF121" s="244">
        <f t="shared" si="121"/>
        <v>0</v>
      </c>
      <c r="AG121" s="244">
        <f t="shared" si="122"/>
        <v>0</v>
      </c>
      <c r="AH121" s="244">
        <f t="shared" si="123"/>
        <v>0</v>
      </c>
      <c r="AI121" s="244">
        <f t="shared" si="124"/>
        <v>0</v>
      </c>
      <c r="AJ121" s="244">
        <f t="shared" si="125"/>
        <v>0</v>
      </c>
      <c r="AK121" s="244">
        <f t="shared" si="126"/>
        <v>0</v>
      </c>
      <c r="AL121" s="278">
        <f t="shared" si="127"/>
        <v>0</v>
      </c>
      <c r="AM121" s="264"/>
      <c r="AO121" s="115"/>
      <c r="AP121" s="216">
        <v>75</v>
      </c>
      <c r="AQ121" s="218">
        <v>4000</v>
      </c>
      <c r="AR121" s="216">
        <v>75</v>
      </c>
      <c r="AS121" s="218">
        <v>500</v>
      </c>
      <c r="AT121" s="216">
        <v>75</v>
      </c>
      <c r="AU121" s="218">
        <f>6*80+5*80</f>
        <v>880</v>
      </c>
      <c r="AV121" s="216">
        <v>75</v>
      </c>
      <c r="AW121" s="218">
        <f t="shared" si="136"/>
        <v>1320</v>
      </c>
      <c r="AX121" s="216">
        <v>75</v>
      </c>
      <c r="AY121" s="288">
        <f>60*35</f>
        <v>2100</v>
      </c>
      <c r="AZ121" s="218">
        <f t="shared" si="137"/>
        <v>3150</v>
      </c>
      <c r="BA121" s="6"/>
      <c r="BB121" s="6"/>
      <c r="BD121" s="216">
        <v>75</v>
      </c>
      <c r="BE121" s="282">
        <f>BE120*2</f>
        <v>50</v>
      </c>
      <c r="BF121" s="216">
        <v>75</v>
      </c>
      <c r="BG121" s="282">
        <v>30</v>
      </c>
      <c r="BH121" s="216">
        <v>75</v>
      </c>
      <c r="BI121" s="282">
        <v>12</v>
      </c>
      <c r="BJ121" s="216">
        <v>75</v>
      </c>
      <c r="BK121" s="282">
        <v>40</v>
      </c>
      <c r="BL121" s="216">
        <v>75</v>
      </c>
      <c r="BM121" s="282">
        <v>60</v>
      </c>
      <c r="BN121" s="216">
        <v>75</v>
      </c>
      <c r="BO121" s="282">
        <v>9</v>
      </c>
      <c r="BP121" s="216">
        <v>75</v>
      </c>
      <c r="BQ121" s="282">
        <v>24</v>
      </c>
      <c r="BR121" s="216">
        <v>75</v>
      </c>
      <c r="BS121" s="282">
        <v>3</v>
      </c>
      <c r="BT121" s="216">
        <v>75</v>
      </c>
      <c r="BU121" s="282">
        <v>2</v>
      </c>
      <c r="BV121" s="216">
        <v>75</v>
      </c>
      <c r="BW121" s="282">
        <v>14</v>
      </c>
    </row>
    <row r="122" spans="2:83">
      <c r="B122" s="236">
        <f t="shared" si="134"/>
        <v>8</v>
      </c>
      <c r="C122" s="237"/>
      <c r="D122" s="238"/>
      <c r="E122" s="238"/>
      <c r="F122" s="239"/>
      <c r="G122" s="240">
        <f t="shared" si="110"/>
        <v>0</v>
      </c>
      <c r="H122" s="239"/>
      <c r="I122" s="238"/>
      <c r="J122" s="238"/>
      <c r="K122" s="238"/>
      <c r="L122" s="238"/>
      <c r="M122" s="241"/>
      <c r="N122" s="241"/>
      <c r="O122" s="242"/>
      <c r="P122" s="244">
        <f t="shared" si="111"/>
        <v>0</v>
      </c>
      <c r="Q122" s="244">
        <f t="shared" si="128"/>
        <v>0</v>
      </c>
      <c r="R122" s="244">
        <f t="shared" si="129"/>
        <v>0</v>
      </c>
      <c r="S122" s="244">
        <f t="shared" si="130"/>
        <v>0</v>
      </c>
      <c r="T122" s="244">
        <f t="shared" si="131"/>
        <v>0</v>
      </c>
      <c r="U122" s="244">
        <f t="shared" si="112"/>
        <v>0</v>
      </c>
      <c r="V122" s="244">
        <f t="shared" si="113"/>
        <v>0</v>
      </c>
      <c r="W122" s="244">
        <f t="shared" si="114"/>
        <v>0</v>
      </c>
      <c r="X122" s="244">
        <f t="shared" si="115"/>
        <v>0</v>
      </c>
      <c r="Y122" s="244">
        <f t="shared" si="116"/>
        <v>0</v>
      </c>
      <c r="Z122" s="244">
        <f t="shared" si="117"/>
        <v>0</v>
      </c>
      <c r="AA122" s="244">
        <f t="shared" si="132"/>
        <v>0</v>
      </c>
      <c r="AB122" s="278">
        <f t="shared" si="133"/>
        <v>0</v>
      </c>
      <c r="AC122" s="244">
        <f t="shared" si="118"/>
        <v>0</v>
      </c>
      <c r="AD122" s="244">
        <f t="shared" si="119"/>
        <v>0</v>
      </c>
      <c r="AE122" s="244">
        <f t="shared" si="120"/>
        <v>0</v>
      </c>
      <c r="AF122" s="244">
        <f t="shared" si="121"/>
        <v>0</v>
      </c>
      <c r="AG122" s="244">
        <f t="shared" si="122"/>
        <v>0</v>
      </c>
      <c r="AH122" s="244">
        <f t="shared" si="123"/>
        <v>0</v>
      </c>
      <c r="AI122" s="244">
        <f t="shared" si="124"/>
        <v>0</v>
      </c>
      <c r="AJ122" s="244">
        <f t="shared" si="125"/>
        <v>0</v>
      </c>
      <c r="AK122" s="244">
        <f t="shared" si="126"/>
        <v>0</v>
      </c>
      <c r="AL122" s="278">
        <f t="shared" si="127"/>
        <v>0</v>
      </c>
      <c r="AM122" s="264"/>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row>
    <row r="123" spans="2:83">
      <c r="B123" s="236">
        <f t="shared" si="134"/>
        <v>9</v>
      </c>
      <c r="C123" s="237"/>
      <c r="D123" s="238"/>
      <c r="E123" s="238"/>
      <c r="F123" s="239"/>
      <c r="G123" s="240">
        <f t="shared" si="110"/>
        <v>0</v>
      </c>
      <c r="H123" s="239"/>
      <c r="I123" s="238"/>
      <c r="J123" s="238"/>
      <c r="K123" s="238"/>
      <c r="L123" s="238"/>
      <c r="M123" s="241"/>
      <c r="N123" s="241"/>
      <c r="O123" s="242"/>
      <c r="P123" s="244">
        <f t="shared" si="111"/>
        <v>0</v>
      </c>
      <c r="Q123" s="244">
        <f t="shared" si="128"/>
        <v>0</v>
      </c>
      <c r="R123" s="244">
        <f t="shared" si="129"/>
        <v>0</v>
      </c>
      <c r="S123" s="244">
        <f t="shared" si="130"/>
        <v>0</v>
      </c>
      <c r="T123" s="244">
        <f t="shared" si="131"/>
        <v>0</v>
      </c>
      <c r="U123" s="244">
        <f t="shared" si="112"/>
        <v>0</v>
      </c>
      <c r="V123" s="244">
        <f t="shared" si="113"/>
        <v>0</v>
      </c>
      <c r="W123" s="244">
        <f t="shared" si="114"/>
        <v>0</v>
      </c>
      <c r="X123" s="244">
        <f t="shared" si="115"/>
        <v>0</v>
      </c>
      <c r="Y123" s="244">
        <f t="shared" si="116"/>
        <v>0</v>
      </c>
      <c r="Z123" s="244">
        <f t="shared" si="117"/>
        <v>0</v>
      </c>
      <c r="AA123" s="244">
        <f t="shared" si="132"/>
        <v>0</v>
      </c>
      <c r="AB123" s="278">
        <f t="shared" si="133"/>
        <v>0</v>
      </c>
      <c r="AC123" s="244">
        <f t="shared" si="118"/>
        <v>0</v>
      </c>
      <c r="AD123" s="244">
        <f t="shared" si="119"/>
        <v>0</v>
      </c>
      <c r="AE123" s="244">
        <f t="shared" si="120"/>
        <v>0</v>
      </c>
      <c r="AF123" s="244">
        <f t="shared" si="121"/>
        <v>0</v>
      </c>
      <c r="AG123" s="244">
        <f t="shared" si="122"/>
        <v>0</v>
      </c>
      <c r="AH123" s="244">
        <f t="shared" si="123"/>
        <v>0</v>
      </c>
      <c r="AI123" s="244">
        <f t="shared" si="124"/>
        <v>0</v>
      </c>
      <c r="AJ123" s="244">
        <f t="shared" si="125"/>
        <v>0</v>
      </c>
      <c r="AK123" s="244">
        <f t="shared" si="126"/>
        <v>0</v>
      </c>
      <c r="AL123" s="278">
        <f t="shared" si="127"/>
        <v>0</v>
      </c>
      <c r="AM123" s="264"/>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row>
    <row r="124" spans="2:83">
      <c r="B124" s="236">
        <f t="shared" si="134"/>
        <v>10</v>
      </c>
      <c r="C124" s="237"/>
      <c r="D124" s="238"/>
      <c r="E124" s="238"/>
      <c r="F124" s="239"/>
      <c r="G124" s="240">
        <f t="shared" si="110"/>
        <v>0</v>
      </c>
      <c r="H124" s="239"/>
      <c r="I124" s="238"/>
      <c r="J124" s="238"/>
      <c r="K124" s="238"/>
      <c r="L124" s="238"/>
      <c r="M124" s="241"/>
      <c r="N124" s="241"/>
      <c r="O124" s="242"/>
      <c r="P124" s="244">
        <f t="shared" si="111"/>
        <v>0</v>
      </c>
      <c r="Q124" s="244">
        <f t="shared" si="128"/>
        <v>0</v>
      </c>
      <c r="R124" s="244">
        <f t="shared" si="129"/>
        <v>0</v>
      </c>
      <c r="S124" s="244">
        <f t="shared" si="130"/>
        <v>0</v>
      </c>
      <c r="T124" s="244">
        <f t="shared" si="131"/>
        <v>0</v>
      </c>
      <c r="U124" s="244">
        <f t="shared" si="112"/>
        <v>0</v>
      </c>
      <c r="V124" s="244">
        <f t="shared" si="113"/>
        <v>0</v>
      </c>
      <c r="W124" s="244">
        <f t="shared" si="114"/>
        <v>0</v>
      </c>
      <c r="X124" s="244">
        <f t="shared" si="115"/>
        <v>0</v>
      </c>
      <c r="Y124" s="244">
        <f t="shared" si="116"/>
        <v>0</v>
      </c>
      <c r="Z124" s="244">
        <f t="shared" si="117"/>
        <v>0</v>
      </c>
      <c r="AA124" s="244">
        <f t="shared" si="132"/>
        <v>0</v>
      </c>
      <c r="AB124" s="278">
        <f t="shared" si="133"/>
        <v>0</v>
      </c>
      <c r="AC124" s="244">
        <f t="shared" si="118"/>
        <v>0</v>
      </c>
      <c r="AD124" s="244">
        <f t="shared" si="119"/>
        <v>0</v>
      </c>
      <c r="AE124" s="244">
        <f t="shared" si="120"/>
        <v>0</v>
      </c>
      <c r="AF124" s="244">
        <f t="shared" si="121"/>
        <v>0</v>
      </c>
      <c r="AG124" s="244">
        <f t="shared" si="122"/>
        <v>0</v>
      </c>
      <c r="AH124" s="244">
        <f t="shared" si="123"/>
        <v>0</v>
      </c>
      <c r="AI124" s="244">
        <f t="shared" si="124"/>
        <v>0</v>
      </c>
      <c r="AJ124" s="244">
        <f t="shared" si="125"/>
        <v>0</v>
      </c>
      <c r="AK124" s="244">
        <f t="shared" si="126"/>
        <v>0</v>
      </c>
      <c r="AL124" s="278">
        <f t="shared" si="127"/>
        <v>0</v>
      </c>
      <c r="AM124" s="264"/>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c r="BX124" s="6"/>
      <c r="BY124" s="6"/>
    </row>
    <row r="125" spans="2:83">
      <c r="B125" s="236">
        <f t="shared" si="134"/>
        <v>11</v>
      </c>
      <c r="C125" s="237"/>
      <c r="D125" s="238"/>
      <c r="E125" s="238"/>
      <c r="F125" s="239"/>
      <c r="G125" s="240">
        <f t="shared" si="110"/>
        <v>0</v>
      </c>
      <c r="H125" s="239"/>
      <c r="I125" s="238"/>
      <c r="J125" s="238"/>
      <c r="K125" s="238"/>
      <c r="L125" s="238"/>
      <c r="M125" s="241"/>
      <c r="N125" s="241"/>
      <c r="O125" s="242"/>
      <c r="P125" s="244">
        <f t="shared" si="111"/>
        <v>0</v>
      </c>
      <c r="Q125" s="244">
        <f t="shared" si="128"/>
        <v>0</v>
      </c>
      <c r="R125" s="244">
        <f t="shared" si="129"/>
        <v>0</v>
      </c>
      <c r="S125" s="244">
        <f t="shared" si="130"/>
        <v>0</v>
      </c>
      <c r="T125" s="244">
        <f t="shared" si="131"/>
        <v>0</v>
      </c>
      <c r="U125" s="244">
        <f t="shared" si="112"/>
        <v>0</v>
      </c>
      <c r="V125" s="244">
        <f t="shared" si="113"/>
        <v>0</v>
      </c>
      <c r="W125" s="244">
        <f t="shared" si="114"/>
        <v>0</v>
      </c>
      <c r="X125" s="244">
        <f t="shared" si="115"/>
        <v>0</v>
      </c>
      <c r="Y125" s="244">
        <f t="shared" si="116"/>
        <v>0</v>
      </c>
      <c r="Z125" s="244">
        <f t="shared" si="117"/>
        <v>0</v>
      </c>
      <c r="AA125" s="244">
        <f t="shared" si="132"/>
        <v>0</v>
      </c>
      <c r="AB125" s="278">
        <f t="shared" si="133"/>
        <v>0</v>
      </c>
      <c r="AC125" s="244">
        <f t="shared" si="118"/>
        <v>0</v>
      </c>
      <c r="AD125" s="244">
        <f t="shared" si="119"/>
        <v>0</v>
      </c>
      <c r="AE125" s="244">
        <f t="shared" si="120"/>
        <v>0</v>
      </c>
      <c r="AF125" s="244">
        <f t="shared" si="121"/>
        <v>0</v>
      </c>
      <c r="AG125" s="244">
        <f t="shared" si="122"/>
        <v>0</v>
      </c>
      <c r="AH125" s="244">
        <f t="shared" si="123"/>
        <v>0</v>
      </c>
      <c r="AI125" s="244">
        <f t="shared" si="124"/>
        <v>0</v>
      </c>
      <c r="AJ125" s="244">
        <f t="shared" si="125"/>
        <v>0</v>
      </c>
      <c r="AK125" s="244">
        <f t="shared" si="126"/>
        <v>0</v>
      </c>
      <c r="AL125" s="278">
        <f t="shared" si="127"/>
        <v>0</v>
      </c>
      <c r="AM125" s="264"/>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c r="BX125" s="6"/>
      <c r="BY125" s="6"/>
      <c r="BZ125" s="6"/>
      <c r="CA125" s="6"/>
      <c r="CB125" s="6"/>
      <c r="CC125" s="6"/>
      <c r="CD125" s="6"/>
      <c r="CE125" s="6"/>
    </row>
    <row r="126" spans="2:83">
      <c r="B126" s="236">
        <f t="shared" si="134"/>
        <v>12</v>
      </c>
      <c r="C126" s="237"/>
      <c r="D126" s="238"/>
      <c r="E126" s="238"/>
      <c r="F126" s="239"/>
      <c r="G126" s="240">
        <f t="shared" si="110"/>
        <v>0</v>
      </c>
      <c r="H126" s="239"/>
      <c r="I126" s="238"/>
      <c r="J126" s="238"/>
      <c r="K126" s="238"/>
      <c r="L126" s="238"/>
      <c r="M126" s="241"/>
      <c r="N126" s="241"/>
      <c r="O126" s="242"/>
      <c r="P126" s="244">
        <f t="shared" si="111"/>
        <v>0</v>
      </c>
      <c r="Q126" s="244">
        <f t="shared" si="128"/>
        <v>0</v>
      </c>
      <c r="R126" s="244">
        <f t="shared" si="129"/>
        <v>0</v>
      </c>
      <c r="S126" s="244">
        <f t="shared" si="130"/>
        <v>0</v>
      </c>
      <c r="T126" s="244">
        <f t="shared" si="131"/>
        <v>0</v>
      </c>
      <c r="U126" s="244">
        <f t="shared" si="112"/>
        <v>0</v>
      </c>
      <c r="V126" s="244">
        <f t="shared" si="113"/>
        <v>0</v>
      </c>
      <c r="W126" s="244">
        <f t="shared" si="114"/>
        <v>0</v>
      </c>
      <c r="X126" s="244">
        <f t="shared" si="115"/>
        <v>0</v>
      </c>
      <c r="Y126" s="244">
        <f t="shared" si="116"/>
        <v>0</v>
      </c>
      <c r="Z126" s="244">
        <f t="shared" si="117"/>
        <v>0</v>
      </c>
      <c r="AA126" s="244">
        <f t="shared" si="132"/>
        <v>0</v>
      </c>
      <c r="AB126" s="278">
        <f t="shared" si="133"/>
        <v>0</v>
      </c>
      <c r="AC126" s="244">
        <f t="shared" si="118"/>
        <v>0</v>
      </c>
      <c r="AD126" s="244">
        <f t="shared" si="119"/>
        <v>0</v>
      </c>
      <c r="AE126" s="244">
        <f t="shared" si="120"/>
        <v>0</v>
      </c>
      <c r="AF126" s="244">
        <f t="shared" si="121"/>
        <v>0</v>
      </c>
      <c r="AG126" s="244">
        <f t="shared" si="122"/>
        <v>0</v>
      </c>
      <c r="AH126" s="244">
        <f t="shared" si="123"/>
        <v>0</v>
      </c>
      <c r="AI126" s="244">
        <f t="shared" si="124"/>
        <v>0</v>
      </c>
      <c r="AJ126" s="244">
        <f t="shared" si="125"/>
        <v>0</v>
      </c>
      <c r="AK126" s="244">
        <f t="shared" si="126"/>
        <v>0</v>
      </c>
      <c r="AL126" s="278">
        <f t="shared" si="127"/>
        <v>0</v>
      </c>
      <c r="AM126" s="264"/>
    </row>
    <row r="127" spans="2:83">
      <c r="B127" s="236">
        <f t="shared" si="134"/>
        <v>13</v>
      </c>
      <c r="C127" s="237"/>
      <c r="D127" s="238"/>
      <c r="E127" s="238"/>
      <c r="F127" s="239"/>
      <c r="G127" s="240">
        <f t="shared" si="110"/>
        <v>0</v>
      </c>
      <c r="H127" s="239"/>
      <c r="I127" s="238"/>
      <c r="J127" s="238"/>
      <c r="K127" s="238"/>
      <c r="L127" s="238"/>
      <c r="M127" s="241"/>
      <c r="N127" s="241"/>
      <c r="O127" s="242"/>
      <c r="P127" s="244">
        <f t="shared" si="111"/>
        <v>0</v>
      </c>
      <c r="Q127" s="244">
        <f t="shared" si="128"/>
        <v>0</v>
      </c>
      <c r="R127" s="244">
        <f t="shared" si="129"/>
        <v>0</v>
      </c>
      <c r="S127" s="244">
        <f t="shared" si="130"/>
        <v>0</v>
      </c>
      <c r="T127" s="244">
        <f t="shared" si="131"/>
        <v>0</v>
      </c>
      <c r="U127" s="244">
        <f t="shared" si="112"/>
        <v>0</v>
      </c>
      <c r="V127" s="244">
        <f t="shared" si="113"/>
        <v>0</v>
      </c>
      <c r="W127" s="244">
        <f t="shared" si="114"/>
        <v>0</v>
      </c>
      <c r="X127" s="244">
        <f t="shared" si="115"/>
        <v>0</v>
      </c>
      <c r="Y127" s="244">
        <f t="shared" si="116"/>
        <v>0</v>
      </c>
      <c r="Z127" s="244">
        <f t="shared" si="117"/>
        <v>0</v>
      </c>
      <c r="AA127" s="244">
        <f t="shared" si="132"/>
        <v>0</v>
      </c>
      <c r="AB127" s="278">
        <f t="shared" si="133"/>
        <v>0</v>
      </c>
      <c r="AC127" s="244">
        <f t="shared" si="118"/>
        <v>0</v>
      </c>
      <c r="AD127" s="244">
        <f t="shared" si="119"/>
        <v>0</v>
      </c>
      <c r="AE127" s="244">
        <f t="shared" si="120"/>
        <v>0</v>
      </c>
      <c r="AF127" s="244">
        <f t="shared" si="121"/>
        <v>0</v>
      </c>
      <c r="AG127" s="244">
        <f t="shared" si="122"/>
        <v>0</v>
      </c>
      <c r="AH127" s="244">
        <f t="shared" si="123"/>
        <v>0</v>
      </c>
      <c r="AI127" s="244">
        <f t="shared" si="124"/>
        <v>0</v>
      </c>
      <c r="AJ127" s="244">
        <f t="shared" si="125"/>
        <v>0</v>
      </c>
      <c r="AK127" s="244">
        <f t="shared" si="126"/>
        <v>0</v>
      </c>
      <c r="AL127" s="278">
        <f t="shared" si="127"/>
        <v>0</v>
      </c>
      <c r="AM127" s="264"/>
    </row>
    <row r="128" spans="2:83">
      <c r="B128" s="236">
        <f t="shared" si="134"/>
        <v>14</v>
      </c>
      <c r="C128" s="237"/>
      <c r="D128" s="238"/>
      <c r="E128" s="238"/>
      <c r="F128" s="239"/>
      <c r="G128" s="240">
        <f t="shared" si="110"/>
        <v>0</v>
      </c>
      <c r="H128" s="239"/>
      <c r="I128" s="238"/>
      <c r="J128" s="238"/>
      <c r="K128" s="238"/>
      <c r="L128" s="238"/>
      <c r="M128" s="241"/>
      <c r="N128" s="241"/>
      <c r="O128" s="242"/>
      <c r="P128" s="244">
        <f t="shared" si="111"/>
        <v>0</v>
      </c>
      <c r="Q128" s="244">
        <f t="shared" si="128"/>
        <v>0</v>
      </c>
      <c r="R128" s="244">
        <f t="shared" si="129"/>
        <v>0</v>
      </c>
      <c r="S128" s="244">
        <f t="shared" si="130"/>
        <v>0</v>
      </c>
      <c r="T128" s="244">
        <f t="shared" si="131"/>
        <v>0</v>
      </c>
      <c r="U128" s="244">
        <f t="shared" si="112"/>
        <v>0</v>
      </c>
      <c r="V128" s="244">
        <f t="shared" si="113"/>
        <v>0</v>
      </c>
      <c r="W128" s="244">
        <f t="shared" si="114"/>
        <v>0</v>
      </c>
      <c r="X128" s="244">
        <f t="shared" si="115"/>
        <v>0</v>
      </c>
      <c r="Y128" s="244">
        <f t="shared" si="116"/>
        <v>0</v>
      </c>
      <c r="Z128" s="244">
        <f t="shared" si="117"/>
        <v>0</v>
      </c>
      <c r="AA128" s="244">
        <f t="shared" si="132"/>
        <v>0</v>
      </c>
      <c r="AB128" s="278">
        <f t="shared" si="133"/>
        <v>0</v>
      </c>
      <c r="AC128" s="244">
        <f t="shared" si="118"/>
        <v>0</v>
      </c>
      <c r="AD128" s="244">
        <f t="shared" si="119"/>
        <v>0</v>
      </c>
      <c r="AE128" s="244">
        <f t="shared" si="120"/>
        <v>0</v>
      </c>
      <c r="AF128" s="244">
        <f t="shared" si="121"/>
        <v>0</v>
      </c>
      <c r="AG128" s="244">
        <f t="shared" si="122"/>
        <v>0</v>
      </c>
      <c r="AH128" s="244">
        <f t="shared" si="123"/>
        <v>0</v>
      </c>
      <c r="AI128" s="244">
        <f t="shared" si="124"/>
        <v>0</v>
      </c>
      <c r="AJ128" s="244">
        <f t="shared" si="125"/>
        <v>0</v>
      </c>
      <c r="AK128" s="244">
        <f t="shared" si="126"/>
        <v>0</v>
      </c>
      <c r="AL128" s="278">
        <f t="shared" si="127"/>
        <v>0</v>
      </c>
      <c r="AM128" s="264"/>
    </row>
    <row r="129" spans="2:81">
      <c r="B129" s="236">
        <f t="shared" si="134"/>
        <v>15</v>
      </c>
      <c r="C129" s="237"/>
      <c r="D129" s="238"/>
      <c r="E129" s="238"/>
      <c r="F129" s="239"/>
      <c r="G129" s="240">
        <f t="shared" si="110"/>
        <v>0</v>
      </c>
      <c r="H129" s="239"/>
      <c r="I129" s="238"/>
      <c r="J129" s="238"/>
      <c r="K129" s="238"/>
      <c r="L129" s="238"/>
      <c r="M129" s="241"/>
      <c r="N129" s="241"/>
      <c r="O129" s="242"/>
      <c r="P129" s="244">
        <f t="shared" si="111"/>
        <v>0</v>
      </c>
      <c r="Q129" s="244">
        <f t="shared" si="128"/>
        <v>0</v>
      </c>
      <c r="R129" s="244">
        <f t="shared" si="129"/>
        <v>0</v>
      </c>
      <c r="S129" s="244">
        <f t="shared" si="130"/>
        <v>0</v>
      </c>
      <c r="T129" s="244">
        <f t="shared" si="131"/>
        <v>0</v>
      </c>
      <c r="U129" s="244">
        <f t="shared" si="112"/>
        <v>0</v>
      </c>
      <c r="V129" s="244">
        <f t="shared" si="113"/>
        <v>0</v>
      </c>
      <c r="W129" s="244">
        <f t="shared" si="114"/>
        <v>0</v>
      </c>
      <c r="X129" s="244">
        <f t="shared" si="115"/>
        <v>0</v>
      </c>
      <c r="Y129" s="244">
        <f t="shared" si="116"/>
        <v>0</v>
      </c>
      <c r="Z129" s="244">
        <f t="shared" si="117"/>
        <v>0</v>
      </c>
      <c r="AA129" s="244">
        <f t="shared" si="132"/>
        <v>0</v>
      </c>
      <c r="AB129" s="278">
        <f t="shared" si="133"/>
        <v>0</v>
      </c>
      <c r="AC129" s="244">
        <f t="shared" si="118"/>
        <v>0</v>
      </c>
      <c r="AD129" s="244">
        <f t="shared" si="119"/>
        <v>0</v>
      </c>
      <c r="AE129" s="244">
        <f t="shared" si="120"/>
        <v>0</v>
      </c>
      <c r="AF129" s="244">
        <f t="shared" si="121"/>
        <v>0</v>
      </c>
      <c r="AG129" s="244">
        <f t="shared" si="122"/>
        <v>0</v>
      </c>
      <c r="AH129" s="244">
        <f t="shared" si="123"/>
        <v>0</v>
      </c>
      <c r="AI129" s="244">
        <f t="shared" si="124"/>
        <v>0</v>
      </c>
      <c r="AJ129" s="244">
        <f t="shared" si="125"/>
        <v>0</v>
      </c>
      <c r="AK129" s="244">
        <f t="shared" si="126"/>
        <v>0</v>
      </c>
      <c r="AL129" s="278">
        <f t="shared" si="127"/>
        <v>0</v>
      </c>
      <c r="AM129" s="264"/>
    </row>
    <row r="130" spans="2:81">
      <c r="B130" s="236">
        <f t="shared" si="134"/>
        <v>16</v>
      </c>
      <c r="C130" s="237"/>
      <c r="D130" s="238"/>
      <c r="E130" s="238"/>
      <c r="F130" s="239"/>
      <c r="G130" s="240">
        <f t="shared" si="110"/>
        <v>0</v>
      </c>
      <c r="H130" s="239"/>
      <c r="I130" s="238"/>
      <c r="J130" s="238"/>
      <c r="K130" s="238"/>
      <c r="L130" s="238"/>
      <c r="M130" s="241"/>
      <c r="N130" s="241"/>
      <c r="O130" s="242"/>
      <c r="P130" s="244">
        <f t="shared" si="111"/>
        <v>0</v>
      </c>
      <c r="Q130" s="244">
        <f t="shared" si="128"/>
        <v>0</v>
      </c>
      <c r="R130" s="244">
        <f t="shared" si="129"/>
        <v>0</v>
      </c>
      <c r="S130" s="244">
        <f t="shared" si="130"/>
        <v>0</v>
      </c>
      <c r="T130" s="244">
        <f t="shared" si="131"/>
        <v>0</v>
      </c>
      <c r="U130" s="244">
        <f t="shared" si="112"/>
        <v>0</v>
      </c>
      <c r="V130" s="244">
        <f t="shared" si="113"/>
        <v>0</v>
      </c>
      <c r="W130" s="244">
        <f t="shared" si="114"/>
        <v>0</v>
      </c>
      <c r="X130" s="244">
        <f t="shared" si="115"/>
        <v>0</v>
      </c>
      <c r="Y130" s="244">
        <f t="shared" si="116"/>
        <v>0</v>
      </c>
      <c r="Z130" s="244">
        <f t="shared" si="117"/>
        <v>0</v>
      </c>
      <c r="AA130" s="244">
        <f t="shared" si="132"/>
        <v>0</v>
      </c>
      <c r="AB130" s="278">
        <f t="shared" si="133"/>
        <v>0</v>
      </c>
      <c r="AC130" s="244">
        <f t="shared" si="118"/>
        <v>0</v>
      </c>
      <c r="AD130" s="244">
        <f t="shared" si="119"/>
        <v>0</v>
      </c>
      <c r="AE130" s="244">
        <f t="shared" si="120"/>
        <v>0</v>
      </c>
      <c r="AF130" s="244">
        <f t="shared" si="121"/>
        <v>0</v>
      </c>
      <c r="AG130" s="244">
        <f t="shared" si="122"/>
        <v>0</v>
      </c>
      <c r="AH130" s="244">
        <f t="shared" si="123"/>
        <v>0</v>
      </c>
      <c r="AI130" s="244">
        <f t="shared" si="124"/>
        <v>0</v>
      </c>
      <c r="AJ130" s="244">
        <f t="shared" si="125"/>
        <v>0</v>
      </c>
      <c r="AK130" s="244">
        <f t="shared" si="126"/>
        <v>0</v>
      </c>
      <c r="AL130" s="278">
        <f t="shared" si="127"/>
        <v>0</v>
      </c>
      <c r="AM130" s="264"/>
    </row>
    <row r="131" spans="2:81">
      <c r="B131" s="236">
        <f t="shared" si="134"/>
        <v>17</v>
      </c>
      <c r="C131" s="237"/>
      <c r="D131" s="238"/>
      <c r="E131" s="238"/>
      <c r="F131" s="239"/>
      <c r="G131" s="240">
        <f t="shared" si="110"/>
        <v>0</v>
      </c>
      <c r="H131" s="239"/>
      <c r="I131" s="238"/>
      <c r="J131" s="238"/>
      <c r="K131" s="238"/>
      <c r="L131" s="238"/>
      <c r="M131" s="241"/>
      <c r="N131" s="241"/>
      <c r="O131" s="242"/>
      <c r="P131" s="244">
        <f t="shared" si="111"/>
        <v>0</v>
      </c>
      <c r="Q131" s="244">
        <f t="shared" si="128"/>
        <v>0</v>
      </c>
      <c r="R131" s="244">
        <f t="shared" si="129"/>
        <v>0</v>
      </c>
      <c r="S131" s="244">
        <f t="shared" si="130"/>
        <v>0</v>
      </c>
      <c r="T131" s="244">
        <f t="shared" si="131"/>
        <v>0</v>
      </c>
      <c r="U131" s="244">
        <f t="shared" si="112"/>
        <v>0</v>
      </c>
      <c r="V131" s="244">
        <f t="shared" si="113"/>
        <v>0</v>
      </c>
      <c r="W131" s="244">
        <f t="shared" si="114"/>
        <v>0</v>
      </c>
      <c r="X131" s="244">
        <f t="shared" si="115"/>
        <v>0</v>
      </c>
      <c r="Y131" s="244">
        <f t="shared" si="116"/>
        <v>0</v>
      </c>
      <c r="Z131" s="244">
        <f t="shared" si="117"/>
        <v>0</v>
      </c>
      <c r="AA131" s="244">
        <f t="shared" si="132"/>
        <v>0</v>
      </c>
      <c r="AB131" s="278">
        <f t="shared" si="133"/>
        <v>0</v>
      </c>
      <c r="AC131" s="244">
        <f t="shared" si="118"/>
        <v>0</v>
      </c>
      <c r="AD131" s="244">
        <f t="shared" si="119"/>
        <v>0</v>
      </c>
      <c r="AE131" s="244">
        <f t="shared" si="120"/>
        <v>0</v>
      </c>
      <c r="AF131" s="244">
        <f t="shared" si="121"/>
        <v>0</v>
      </c>
      <c r="AG131" s="244">
        <f t="shared" si="122"/>
        <v>0</v>
      </c>
      <c r="AH131" s="244">
        <f t="shared" si="123"/>
        <v>0</v>
      </c>
      <c r="AI131" s="244">
        <f t="shared" si="124"/>
        <v>0</v>
      </c>
      <c r="AJ131" s="244">
        <f t="shared" si="125"/>
        <v>0</v>
      </c>
      <c r="AK131" s="244">
        <f t="shared" si="126"/>
        <v>0</v>
      </c>
      <c r="AL131" s="278">
        <f t="shared" si="127"/>
        <v>0</v>
      </c>
      <c r="AM131" s="264"/>
    </row>
    <row r="132" spans="2:81">
      <c r="B132" s="236">
        <f t="shared" si="134"/>
        <v>18</v>
      </c>
      <c r="C132" s="237"/>
      <c r="D132" s="238"/>
      <c r="E132" s="238"/>
      <c r="F132" s="239"/>
      <c r="G132" s="240">
        <f t="shared" si="110"/>
        <v>0</v>
      </c>
      <c r="H132" s="239"/>
      <c r="I132" s="238"/>
      <c r="J132" s="238"/>
      <c r="K132" s="238"/>
      <c r="L132" s="238"/>
      <c r="M132" s="241"/>
      <c r="N132" s="241"/>
      <c r="O132" s="242"/>
      <c r="P132" s="244">
        <f t="shared" si="111"/>
        <v>0</v>
      </c>
      <c r="Q132" s="244">
        <f t="shared" si="128"/>
        <v>0</v>
      </c>
      <c r="R132" s="244">
        <f t="shared" si="129"/>
        <v>0</v>
      </c>
      <c r="S132" s="244">
        <f t="shared" si="130"/>
        <v>0</v>
      </c>
      <c r="T132" s="244">
        <f t="shared" si="131"/>
        <v>0</v>
      </c>
      <c r="U132" s="244">
        <f t="shared" si="112"/>
        <v>0</v>
      </c>
      <c r="V132" s="244">
        <f t="shared" si="113"/>
        <v>0</v>
      </c>
      <c r="W132" s="244">
        <f t="shared" si="114"/>
        <v>0</v>
      </c>
      <c r="X132" s="244">
        <f t="shared" si="115"/>
        <v>0</v>
      </c>
      <c r="Y132" s="244">
        <f t="shared" si="116"/>
        <v>0</v>
      </c>
      <c r="Z132" s="244">
        <f t="shared" si="117"/>
        <v>0</v>
      </c>
      <c r="AA132" s="244">
        <f t="shared" si="132"/>
        <v>0</v>
      </c>
      <c r="AB132" s="278">
        <f t="shared" si="133"/>
        <v>0</v>
      </c>
      <c r="AC132" s="244">
        <f t="shared" si="118"/>
        <v>0</v>
      </c>
      <c r="AD132" s="244">
        <f t="shared" si="119"/>
        <v>0</v>
      </c>
      <c r="AE132" s="244">
        <f t="shared" si="120"/>
        <v>0</v>
      </c>
      <c r="AF132" s="244">
        <f t="shared" si="121"/>
        <v>0</v>
      </c>
      <c r="AG132" s="244">
        <f t="shared" si="122"/>
        <v>0</v>
      </c>
      <c r="AH132" s="244">
        <f t="shared" si="123"/>
        <v>0</v>
      </c>
      <c r="AI132" s="244">
        <f t="shared" si="124"/>
        <v>0</v>
      </c>
      <c r="AJ132" s="244">
        <f t="shared" si="125"/>
        <v>0</v>
      </c>
      <c r="AK132" s="244">
        <f t="shared" si="126"/>
        <v>0</v>
      </c>
      <c r="AL132" s="278">
        <f t="shared" si="127"/>
        <v>0</v>
      </c>
      <c r="AM132" s="264"/>
    </row>
    <row r="133" spans="2:81">
      <c r="B133" s="236">
        <f t="shared" si="134"/>
        <v>19</v>
      </c>
      <c r="C133" s="237"/>
      <c r="D133" s="238"/>
      <c r="E133" s="238"/>
      <c r="F133" s="239"/>
      <c r="G133" s="240">
        <f t="shared" si="110"/>
        <v>0</v>
      </c>
      <c r="H133" s="239"/>
      <c r="I133" s="238"/>
      <c r="J133" s="238"/>
      <c r="K133" s="238"/>
      <c r="L133" s="238"/>
      <c r="M133" s="241"/>
      <c r="N133" s="241"/>
      <c r="O133" s="242"/>
      <c r="P133" s="244">
        <f t="shared" si="111"/>
        <v>0</v>
      </c>
      <c r="Q133" s="244">
        <f t="shared" si="128"/>
        <v>0</v>
      </c>
      <c r="R133" s="244">
        <f t="shared" si="129"/>
        <v>0</v>
      </c>
      <c r="S133" s="244">
        <f t="shared" si="130"/>
        <v>0</v>
      </c>
      <c r="T133" s="244">
        <f t="shared" si="131"/>
        <v>0</v>
      </c>
      <c r="U133" s="244">
        <f t="shared" si="112"/>
        <v>0</v>
      </c>
      <c r="V133" s="244">
        <f t="shared" si="113"/>
        <v>0</v>
      </c>
      <c r="W133" s="244">
        <f t="shared" si="114"/>
        <v>0</v>
      </c>
      <c r="X133" s="244">
        <f t="shared" si="115"/>
        <v>0</v>
      </c>
      <c r="Y133" s="244">
        <f t="shared" si="116"/>
        <v>0</v>
      </c>
      <c r="Z133" s="244">
        <f t="shared" si="117"/>
        <v>0</v>
      </c>
      <c r="AA133" s="244">
        <f t="shared" si="132"/>
        <v>0</v>
      </c>
      <c r="AB133" s="278">
        <f t="shared" si="133"/>
        <v>0</v>
      </c>
      <c r="AC133" s="244">
        <f t="shared" si="118"/>
        <v>0</v>
      </c>
      <c r="AD133" s="244">
        <f t="shared" si="119"/>
        <v>0</v>
      </c>
      <c r="AE133" s="244">
        <f t="shared" si="120"/>
        <v>0</v>
      </c>
      <c r="AF133" s="244">
        <f t="shared" si="121"/>
        <v>0</v>
      </c>
      <c r="AG133" s="244">
        <f t="shared" si="122"/>
        <v>0</v>
      </c>
      <c r="AH133" s="244">
        <f t="shared" si="123"/>
        <v>0</v>
      </c>
      <c r="AI133" s="244">
        <f t="shared" si="124"/>
        <v>0</v>
      </c>
      <c r="AJ133" s="244">
        <f t="shared" si="125"/>
        <v>0</v>
      </c>
      <c r="AK133" s="244">
        <f t="shared" si="126"/>
        <v>0</v>
      </c>
      <c r="AL133" s="278">
        <f t="shared" si="127"/>
        <v>0</v>
      </c>
      <c r="AM133" s="264"/>
    </row>
    <row r="134" spans="2:81">
      <c r="B134" s="236">
        <f t="shared" si="134"/>
        <v>20</v>
      </c>
      <c r="C134" s="237"/>
      <c r="D134" s="238"/>
      <c r="E134" s="238"/>
      <c r="F134" s="239"/>
      <c r="G134" s="240">
        <f t="shared" si="110"/>
        <v>0</v>
      </c>
      <c r="H134" s="239"/>
      <c r="I134" s="238"/>
      <c r="J134" s="238"/>
      <c r="K134" s="238"/>
      <c r="L134" s="238"/>
      <c r="M134" s="241"/>
      <c r="N134" s="241"/>
      <c r="O134" s="242"/>
      <c r="P134" s="244">
        <f t="shared" si="111"/>
        <v>0</v>
      </c>
      <c r="Q134" s="244">
        <f t="shared" si="128"/>
        <v>0</v>
      </c>
      <c r="R134" s="244">
        <f t="shared" si="129"/>
        <v>0</v>
      </c>
      <c r="S134" s="244">
        <f t="shared" si="130"/>
        <v>0</v>
      </c>
      <c r="T134" s="244">
        <f t="shared" si="131"/>
        <v>0</v>
      </c>
      <c r="U134" s="244">
        <f t="shared" si="112"/>
        <v>0</v>
      </c>
      <c r="V134" s="244">
        <f t="shared" si="113"/>
        <v>0</v>
      </c>
      <c r="W134" s="244">
        <f t="shared" si="114"/>
        <v>0</v>
      </c>
      <c r="X134" s="244">
        <f t="shared" si="115"/>
        <v>0</v>
      </c>
      <c r="Y134" s="244">
        <f t="shared" si="116"/>
        <v>0</v>
      </c>
      <c r="Z134" s="244">
        <f t="shared" si="117"/>
        <v>0</v>
      </c>
      <c r="AA134" s="244">
        <f t="shared" si="132"/>
        <v>0</v>
      </c>
      <c r="AB134" s="278">
        <f t="shared" si="133"/>
        <v>0</v>
      </c>
      <c r="AC134" s="244">
        <f t="shared" si="118"/>
        <v>0</v>
      </c>
      <c r="AD134" s="244">
        <f t="shared" si="119"/>
        <v>0</v>
      </c>
      <c r="AE134" s="244">
        <f t="shared" si="120"/>
        <v>0</v>
      </c>
      <c r="AF134" s="244">
        <f t="shared" si="121"/>
        <v>0</v>
      </c>
      <c r="AG134" s="244">
        <f t="shared" si="122"/>
        <v>0</v>
      </c>
      <c r="AH134" s="244">
        <f t="shared" si="123"/>
        <v>0</v>
      </c>
      <c r="AI134" s="244">
        <f t="shared" si="124"/>
        <v>0</v>
      </c>
      <c r="AJ134" s="244">
        <f t="shared" si="125"/>
        <v>0</v>
      </c>
      <c r="AK134" s="244">
        <f t="shared" si="126"/>
        <v>0</v>
      </c>
      <c r="AL134" s="278">
        <f t="shared" si="127"/>
        <v>0</v>
      </c>
      <c r="AM134" s="264"/>
    </row>
    <row r="135" spans="2:81">
      <c r="B135" s="236">
        <f t="shared" si="134"/>
        <v>21</v>
      </c>
      <c r="C135" s="237"/>
      <c r="D135" s="238"/>
      <c r="E135" s="238"/>
      <c r="F135" s="239"/>
      <c r="G135" s="240">
        <f t="shared" si="110"/>
        <v>0</v>
      </c>
      <c r="H135" s="239"/>
      <c r="I135" s="238"/>
      <c r="J135" s="238"/>
      <c r="K135" s="238"/>
      <c r="L135" s="238"/>
      <c r="M135" s="241"/>
      <c r="N135" s="241"/>
      <c r="O135" s="242"/>
      <c r="P135" s="244">
        <f t="shared" si="111"/>
        <v>0</v>
      </c>
      <c r="Q135" s="244">
        <f t="shared" si="128"/>
        <v>0</v>
      </c>
      <c r="R135" s="244">
        <f t="shared" si="129"/>
        <v>0</v>
      </c>
      <c r="S135" s="244">
        <f t="shared" si="130"/>
        <v>0</v>
      </c>
      <c r="T135" s="244">
        <f t="shared" si="131"/>
        <v>0</v>
      </c>
      <c r="U135" s="244">
        <f t="shared" si="112"/>
        <v>0</v>
      </c>
      <c r="V135" s="244">
        <f t="shared" si="113"/>
        <v>0</v>
      </c>
      <c r="W135" s="244">
        <f t="shared" si="114"/>
        <v>0</v>
      </c>
      <c r="X135" s="244">
        <f t="shared" si="115"/>
        <v>0</v>
      </c>
      <c r="Y135" s="244">
        <f t="shared" si="116"/>
        <v>0</v>
      </c>
      <c r="Z135" s="244">
        <f t="shared" si="117"/>
        <v>0</v>
      </c>
      <c r="AA135" s="244">
        <f t="shared" si="132"/>
        <v>0</v>
      </c>
      <c r="AB135" s="278">
        <f t="shared" si="133"/>
        <v>0</v>
      </c>
      <c r="AC135" s="244">
        <f t="shared" si="118"/>
        <v>0</v>
      </c>
      <c r="AD135" s="244">
        <f t="shared" si="119"/>
        <v>0</v>
      </c>
      <c r="AE135" s="244">
        <f t="shared" si="120"/>
        <v>0</v>
      </c>
      <c r="AF135" s="244">
        <f t="shared" si="121"/>
        <v>0</v>
      </c>
      <c r="AG135" s="244">
        <f t="shared" si="122"/>
        <v>0</v>
      </c>
      <c r="AH135" s="244">
        <f t="shared" si="123"/>
        <v>0</v>
      </c>
      <c r="AI135" s="244">
        <f t="shared" si="124"/>
        <v>0</v>
      </c>
      <c r="AJ135" s="244">
        <f t="shared" si="125"/>
        <v>0</v>
      </c>
      <c r="AK135" s="244">
        <f t="shared" si="126"/>
        <v>0</v>
      </c>
      <c r="AL135" s="278">
        <f t="shared" si="127"/>
        <v>0</v>
      </c>
      <c r="AM135" s="264"/>
    </row>
    <row r="136" spans="2:81">
      <c r="B136" s="236">
        <f t="shared" si="134"/>
        <v>22</v>
      </c>
      <c r="C136" s="237"/>
      <c r="D136" s="238"/>
      <c r="E136" s="238"/>
      <c r="F136" s="239"/>
      <c r="G136" s="240">
        <f t="shared" si="110"/>
        <v>0</v>
      </c>
      <c r="H136" s="239"/>
      <c r="I136" s="238"/>
      <c r="J136" s="238"/>
      <c r="K136" s="238"/>
      <c r="L136" s="238"/>
      <c r="M136" s="241"/>
      <c r="N136" s="241"/>
      <c r="O136" s="242"/>
      <c r="P136" s="244">
        <f t="shared" si="111"/>
        <v>0</v>
      </c>
      <c r="Q136" s="244">
        <f t="shared" si="128"/>
        <v>0</v>
      </c>
      <c r="R136" s="244">
        <f t="shared" si="129"/>
        <v>0</v>
      </c>
      <c r="S136" s="244">
        <f t="shared" si="130"/>
        <v>0</v>
      </c>
      <c r="T136" s="244">
        <f t="shared" si="131"/>
        <v>0</v>
      </c>
      <c r="U136" s="244">
        <f t="shared" si="112"/>
        <v>0</v>
      </c>
      <c r="V136" s="244">
        <f t="shared" si="113"/>
        <v>0</v>
      </c>
      <c r="W136" s="244">
        <f t="shared" si="114"/>
        <v>0</v>
      </c>
      <c r="X136" s="244">
        <f t="shared" si="115"/>
        <v>0</v>
      </c>
      <c r="Y136" s="244">
        <f t="shared" si="116"/>
        <v>0</v>
      </c>
      <c r="Z136" s="244">
        <f t="shared" si="117"/>
        <v>0</v>
      </c>
      <c r="AA136" s="244">
        <f t="shared" si="132"/>
        <v>0</v>
      </c>
      <c r="AB136" s="278">
        <f t="shared" si="133"/>
        <v>0</v>
      </c>
      <c r="AC136" s="244">
        <f t="shared" si="118"/>
        <v>0</v>
      </c>
      <c r="AD136" s="244">
        <f t="shared" si="119"/>
        <v>0</v>
      </c>
      <c r="AE136" s="244">
        <f t="shared" si="120"/>
        <v>0</v>
      </c>
      <c r="AF136" s="244">
        <f t="shared" si="121"/>
        <v>0</v>
      </c>
      <c r="AG136" s="244">
        <f t="shared" si="122"/>
        <v>0</v>
      </c>
      <c r="AH136" s="244">
        <f t="shared" si="123"/>
        <v>0</v>
      </c>
      <c r="AI136" s="244">
        <f t="shared" si="124"/>
        <v>0</v>
      </c>
      <c r="AJ136" s="244">
        <f t="shared" si="125"/>
        <v>0</v>
      </c>
      <c r="AK136" s="244">
        <f t="shared" si="126"/>
        <v>0</v>
      </c>
      <c r="AL136" s="278">
        <f t="shared" si="127"/>
        <v>0</v>
      </c>
      <c r="AM136" s="264"/>
    </row>
    <row r="137" spans="2:81">
      <c r="B137" s="236">
        <f t="shared" si="134"/>
        <v>23</v>
      </c>
      <c r="C137" s="237"/>
      <c r="D137" s="238"/>
      <c r="E137" s="238"/>
      <c r="F137" s="239"/>
      <c r="G137" s="240">
        <f t="shared" si="110"/>
        <v>0</v>
      </c>
      <c r="H137" s="239"/>
      <c r="I137" s="238"/>
      <c r="J137" s="238"/>
      <c r="K137" s="238"/>
      <c r="L137" s="238"/>
      <c r="M137" s="241"/>
      <c r="N137" s="241"/>
      <c r="O137" s="242"/>
      <c r="P137" s="244">
        <f t="shared" si="111"/>
        <v>0</v>
      </c>
      <c r="Q137" s="244">
        <f t="shared" si="128"/>
        <v>0</v>
      </c>
      <c r="R137" s="244">
        <f t="shared" si="129"/>
        <v>0</v>
      </c>
      <c r="S137" s="244">
        <f t="shared" si="130"/>
        <v>0</v>
      </c>
      <c r="T137" s="244">
        <f t="shared" si="131"/>
        <v>0</v>
      </c>
      <c r="U137" s="244">
        <f t="shared" si="112"/>
        <v>0</v>
      </c>
      <c r="V137" s="244">
        <f t="shared" si="113"/>
        <v>0</v>
      </c>
      <c r="W137" s="244">
        <f t="shared" si="114"/>
        <v>0</v>
      </c>
      <c r="X137" s="244">
        <f t="shared" si="115"/>
        <v>0</v>
      </c>
      <c r="Y137" s="244">
        <f t="shared" si="116"/>
        <v>0</v>
      </c>
      <c r="Z137" s="244">
        <f t="shared" si="117"/>
        <v>0</v>
      </c>
      <c r="AA137" s="244">
        <f t="shared" si="132"/>
        <v>0</v>
      </c>
      <c r="AB137" s="278">
        <f t="shared" si="133"/>
        <v>0</v>
      </c>
      <c r="AC137" s="244">
        <f t="shared" si="118"/>
        <v>0</v>
      </c>
      <c r="AD137" s="244">
        <f t="shared" si="119"/>
        <v>0</v>
      </c>
      <c r="AE137" s="244">
        <f t="shared" si="120"/>
        <v>0</v>
      </c>
      <c r="AF137" s="244">
        <f t="shared" si="121"/>
        <v>0</v>
      </c>
      <c r="AG137" s="244">
        <f t="shared" si="122"/>
        <v>0</v>
      </c>
      <c r="AH137" s="244">
        <f t="shared" si="123"/>
        <v>0</v>
      </c>
      <c r="AI137" s="244">
        <f t="shared" si="124"/>
        <v>0</v>
      </c>
      <c r="AJ137" s="244">
        <f t="shared" si="125"/>
        <v>0</v>
      </c>
      <c r="AK137" s="244">
        <f t="shared" si="126"/>
        <v>0</v>
      </c>
      <c r="AL137" s="278">
        <f t="shared" si="127"/>
        <v>0</v>
      </c>
      <c r="AM137" s="264"/>
    </row>
    <row r="138" spans="2:81">
      <c r="B138" s="236">
        <f t="shared" si="134"/>
        <v>24</v>
      </c>
      <c r="C138" s="237"/>
      <c r="D138" s="238"/>
      <c r="E138" s="238"/>
      <c r="F138" s="239"/>
      <c r="G138" s="240">
        <f t="shared" si="110"/>
        <v>0</v>
      </c>
      <c r="H138" s="239"/>
      <c r="I138" s="238"/>
      <c r="J138" s="238"/>
      <c r="K138" s="238"/>
      <c r="L138" s="238"/>
      <c r="M138" s="241"/>
      <c r="N138" s="241"/>
      <c r="O138" s="242"/>
      <c r="P138" s="244">
        <f t="shared" si="111"/>
        <v>0</v>
      </c>
      <c r="Q138" s="244">
        <f t="shared" si="128"/>
        <v>0</v>
      </c>
      <c r="R138" s="244">
        <f t="shared" si="129"/>
        <v>0</v>
      </c>
      <c r="S138" s="244">
        <f t="shared" si="130"/>
        <v>0</v>
      </c>
      <c r="T138" s="244">
        <f t="shared" si="131"/>
        <v>0</v>
      </c>
      <c r="U138" s="244">
        <f t="shared" si="112"/>
        <v>0</v>
      </c>
      <c r="V138" s="244">
        <f t="shared" si="113"/>
        <v>0</v>
      </c>
      <c r="W138" s="244">
        <f t="shared" si="114"/>
        <v>0</v>
      </c>
      <c r="X138" s="244">
        <f t="shared" si="115"/>
        <v>0</v>
      </c>
      <c r="Y138" s="244">
        <f t="shared" si="116"/>
        <v>0</v>
      </c>
      <c r="Z138" s="244">
        <f t="shared" si="117"/>
        <v>0</v>
      </c>
      <c r="AA138" s="244">
        <f t="shared" si="132"/>
        <v>0</v>
      </c>
      <c r="AB138" s="278">
        <f t="shared" si="133"/>
        <v>0</v>
      </c>
      <c r="AC138" s="244">
        <f t="shared" si="118"/>
        <v>0</v>
      </c>
      <c r="AD138" s="244">
        <f t="shared" si="119"/>
        <v>0</v>
      </c>
      <c r="AE138" s="244">
        <f t="shared" si="120"/>
        <v>0</v>
      </c>
      <c r="AF138" s="244">
        <f t="shared" si="121"/>
        <v>0</v>
      </c>
      <c r="AG138" s="244">
        <f t="shared" si="122"/>
        <v>0</v>
      </c>
      <c r="AH138" s="244">
        <f t="shared" si="123"/>
        <v>0</v>
      </c>
      <c r="AI138" s="244">
        <f t="shared" si="124"/>
        <v>0</v>
      </c>
      <c r="AJ138" s="244">
        <f t="shared" si="125"/>
        <v>0</v>
      </c>
      <c r="AK138" s="244">
        <f t="shared" si="126"/>
        <v>0</v>
      </c>
      <c r="AL138" s="278">
        <f t="shared" si="127"/>
        <v>0</v>
      </c>
      <c r="AM138" s="264"/>
    </row>
    <row r="139" spans="2:81">
      <c r="B139" s="245">
        <f t="shared" si="134"/>
        <v>25</v>
      </c>
      <c r="C139" s="246"/>
      <c r="D139" s="247"/>
      <c r="E139" s="247"/>
      <c r="F139" s="248"/>
      <c r="G139" s="249">
        <f t="shared" si="110"/>
        <v>0</v>
      </c>
      <c r="H139" s="248"/>
      <c r="I139" s="247"/>
      <c r="J139" s="247"/>
      <c r="K139" s="247"/>
      <c r="L139" s="247"/>
      <c r="M139" s="250"/>
      <c r="N139" s="250"/>
      <c r="O139" s="251"/>
      <c r="P139" s="253">
        <f t="shared" si="111"/>
        <v>0</v>
      </c>
      <c r="Q139" s="253">
        <f t="shared" si="128"/>
        <v>0</v>
      </c>
      <c r="R139" s="253">
        <f t="shared" si="129"/>
        <v>0</v>
      </c>
      <c r="S139" s="253">
        <f t="shared" si="130"/>
        <v>0</v>
      </c>
      <c r="T139" s="253">
        <f t="shared" si="131"/>
        <v>0</v>
      </c>
      <c r="U139" s="253">
        <f t="shared" si="112"/>
        <v>0</v>
      </c>
      <c r="V139" s="253">
        <f t="shared" si="113"/>
        <v>0</v>
      </c>
      <c r="W139" s="253">
        <f t="shared" si="114"/>
        <v>0</v>
      </c>
      <c r="X139" s="253">
        <f t="shared" si="115"/>
        <v>0</v>
      </c>
      <c r="Y139" s="253">
        <f t="shared" si="116"/>
        <v>0</v>
      </c>
      <c r="Z139" s="253">
        <f t="shared" si="117"/>
        <v>0</v>
      </c>
      <c r="AA139" s="253">
        <f t="shared" si="132"/>
        <v>0</v>
      </c>
      <c r="AB139" s="279">
        <f t="shared" si="133"/>
        <v>0</v>
      </c>
      <c r="AC139" s="253">
        <f t="shared" si="118"/>
        <v>0</v>
      </c>
      <c r="AD139" s="253">
        <f t="shared" si="119"/>
        <v>0</v>
      </c>
      <c r="AE139" s="253">
        <f t="shared" si="120"/>
        <v>0</v>
      </c>
      <c r="AF139" s="253">
        <f t="shared" si="121"/>
        <v>0</v>
      </c>
      <c r="AG139" s="253">
        <f t="shared" si="122"/>
        <v>0</v>
      </c>
      <c r="AH139" s="253">
        <f t="shared" si="123"/>
        <v>0</v>
      </c>
      <c r="AI139" s="253">
        <f t="shared" si="124"/>
        <v>0</v>
      </c>
      <c r="AJ139" s="253">
        <f t="shared" si="125"/>
        <v>0</v>
      </c>
      <c r="AK139" s="253">
        <f t="shared" si="126"/>
        <v>0</v>
      </c>
      <c r="AL139" s="279">
        <f t="shared" si="127"/>
        <v>0</v>
      </c>
      <c r="AM139" s="269"/>
    </row>
    <row r="140" spans="2:81">
      <c r="B140" s="75" t="s">
        <v>225</v>
      </c>
      <c r="C140" s="60"/>
      <c r="D140" s="75">
        <f>SUM(D115:D139)</f>
        <v>0</v>
      </c>
      <c r="E140" s="60"/>
      <c r="F140" s="60"/>
      <c r="G140" s="29">
        <f>SUM(G115:G139)</f>
        <v>0</v>
      </c>
      <c r="H140" s="29">
        <f>SUM(H115:H139)</f>
        <v>0</v>
      </c>
      <c r="I140" s="60"/>
      <c r="J140" s="60"/>
      <c r="K140" s="28"/>
      <c r="L140" s="60"/>
      <c r="M140" s="61"/>
      <c r="N140" s="62"/>
      <c r="O140" s="62"/>
      <c r="P140" s="29">
        <f>SUM(P115:P139)</f>
        <v>0</v>
      </c>
      <c r="Q140" s="29">
        <f t="shared" ref="Q140:T140" si="138">SUM(Q115:Q139)</f>
        <v>0</v>
      </c>
      <c r="R140" s="29">
        <f t="shared" si="138"/>
        <v>0</v>
      </c>
      <c r="S140" s="29">
        <f t="shared" si="138"/>
        <v>0</v>
      </c>
      <c r="T140" s="29">
        <f t="shared" si="138"/>
        <v>0</v>
      </c>
      <c r="U140" s="29">
        <f t="shared" ref="U140:AD140" si="139">SUM(U115:U139)</f>
        <v>0</v>
      </c>
      <c r="V140" s="29">
        <f t="shared" si="139"/>
        <v>0</v>
      </c>
      <c r="W140" s="29">
        <f t="shared" si="139"/>
        <v>0</v>
      </c>
      <c r="X140" s="29">
        <f t="shared" si="139"/>
        <v>0</v>
      </c>
      <c r="Y140" s="29">
        <f t="shared" si="139"/>
        <v>0</v>
      </c>
      <c r="Z140" s="256">
        <f t="shared" si="139"/>
        <v>0</v>
      </c>
      <c r="AA140" s="29">
        <f t="shared" si="139"/>
        <v>0</v>
      </c>
      <c r="AB140" s="29">
        <f t="shared" si="139"/>
        <v>0</v>
      </c>
      <c r="AC140" s="290">
        <f t="shared" si="139"/>
        <v>0</v>
      </c>
      <c r="AD140" s="29">
        <f t="shared" si="139"/>
        <v>0</v>
      </c>
      <c r="AE140" s="29">
        <f t="shared" ref="AE140:AF140" si="140">SUM(AE115:AE139)</f>
        <v>0</v>
      </c>
      <c r="AF140" s="29">
        <f t="shared" si="140"/>
        <v>0</v>
      </c>
      <c r="AG140" s="29">
        <f t="shared" ref="AG140:AL140" si="141">SUM(AG115:AG139)</f>
        <v>0</v>
      </c>
      <c r="AH140" s="29">
        <f t="shared" si="141"/>
        <v>0</v>
      </c>
      <c r="AI140" s="29">
        <f t="shared" si="141"/>
        <v>0</v>
      </c>
      <c r="AJ140" s="29">
        <f t="shared" si="141"/>
        <v>0</v>
      </c>
      <c r="AK140" s="29">
        <f t="shared" si="141"/>
        <v>0</v>
      </c>
      <c r="AL140" s="256">
        <f t="shared" si="141"/>
        <v>0</v>
      </c>
    </row>
    <row r="141" spans="2:81">
      <c r="H141" s="293" t="s">
        <v>380</v>
      </c>
      <c r="L141" s="293" t="s">
        <v>381</v>
      </c>
      <c r="Q141"/>
      <c r="T141" s="6"/>
      <c r="U141" s="6"/>
      <c r="V141" s="6"/>
      <c r="W141" s="6"/>
      <c r="X141" s="6"/>
      <c r="Y141"/>
      <c r="Z141"/>
      <c r="AA141"/>
      <c r="AW141" t="s">
        <v>508</v>
      </c>
      <c r="AY141" t="s">
        <v>508</v>
      </c>
      <c r="BA141" t="s">
        <v>508</v>
      </c>
      <c r="BC141" t="s">
        <v>508</v>
      </c>
      <c r="BD141" s="19"/>
    </row>
    <row r="142" spans="2:81">
      <c r="B142" s="222" t="s">
        <v>509</v>
      </c>
      <c r="C142" s="223"/>
      <c r="D142" s="223"/>
      <c r="E142" s="223"/>
      <c r="F142" s="223"/>
      <c r="G142" s="223"/>
      <c r="H142" s="223"/>
      <c r="I142" s="222" t="s">
        <v>383</v>
      </c>
      <c r="J142" s="223"/>
      <c r="K142" s="222" t="s">
        <v>384</v>
      </c>
      <c r="L142" s="223"/>
      <c r="M142" s="223"/>
      <c r="N142" s="223"/>
      <c r="O142" s="224"/>
      <c r="P142" s="224"/>
      <c r="Q142" s="225"/>
      <c r="R142" s="226"/>
      <c r="S142" s="226"/>
      <c r="T142" s="280" t="s">
        <v>453</v>
      </c>
      <c r="U142" s="223"/>
      <c r="V142" s="223"/>
      <c r="W142" s="224"/>
      <c r="X142" s="224"/>
      <c r="Y142" s="224"/>
      <c r="Z142" s="225"/>
      <c r="AA142" s="226"/>
      <c r="AB142" s="226"/>
      <c r="AC142" s="226"/>
      <c r="AD142" s="226"/>
      <c r="AE142" s="220" t="s">
        <v>387</v>
      </c>
      <c r="AF142" s="221">
        <v>0.05</v>
      </c>
      <c r="AG142" s="275"/>
      <c r="AH142" s="280" t="s">
        <v>455</v>
      </c>
      <c r="AI142" s="223"/>
      <c r="AJ142" s="223"/>
      <c r="AK142" s="223"/>
      <c r="AL142" s="223"/>
      <c r="AM142" s="223"/>
      <c r="AN142" s="223"/>
      <c r="AO142" s="223"/>
      <c r="AP142" s="223"/>
      <c r="AQ142" s="223"/>
      <c r="AR142" s="223"/>
      <c r="AS142" s="283"/>
      <c r="AT142" s="283"/>
      <c r="AV142" s="284" t="s">
        <v>14</v>
      </c>
      <c r="AW142" s="285"/>
      <c r="AX142" s="285"/>
      <c r="AY142" s="285"/>
      <c r="AZ142" s="285"/>
      <c r="BA142" s="285"/>
      <c r="BB142" s="285"/>
      <c r="BC142" s="285"/>
      <c r="BD142" s="285"/>
      <c r="BE142" s="285"/>
      <c r="BF142" s="285"/>
      <c r="BG142" s="284" t="s">
        <v>15</v>
      </c>
      <c r="BH142" s="285"/>
      <c r="BI142" s="285"/>
      <c r="BJ142" s="285"/>
      <c r="BK142" s="285"/>
      <c r="BL142" s="285"/>
      <c r="BM142" s="285"/>
      <c r="BN142" s="285"/>
      <c r="BO142" s="285"/>
      <c r="BP142" s="285"/>
      <c r="BQ142" s="285"/>
      <c r="BR142" s="285"/>
      <c r="BS142" s="285"/>
      <c r="BT142" s="285"/>
      <c r="BU142" s="285"/>
      <c r="BV142" s="285"/>
      <c r="BW142" s="285"/>
      <c r="BX142" s="285"/>
      <c r="BY142" s="285"/>
      <c r="BZ142" s="285"/>
      <c r="CA142" s="285"/>
      <c r="CB142" s="285"/>
      <c r="CC142" s="286"/>
    </row>
    <row r="143" spans="2:81">
      <c r="B143" s="75" t="s">
        <v>31</v>
      </c>
      <c r="C143" s="75" t="s">
        <v>369</v>
      </c>
      <c r="D143" s="75" t="s">
        <v>370</v>
      </c>
      <c r="E143" s="75" t="s">
        <v>510</v>
      </c>
      <c r="F143" s="75" t="s">
        <v>511</v>
      </c>
      <c r="G143" s="75" t="s">
        <v>512</v>
      </c>
      <c r="H143" s="75" t="s">
        <v>393</v>
      </c>
      <c r="I143" s="75" t="s">
        <v>394</v>
      </c>
      <c r="J143" s="75" t="s">
        <v>395</v>
      </c>
      <c r="K143" s="75" t="s">
        <v>396</v>
      </c>
      <c r="L143" s="75" t="s">
        <v>513</v>
      </c>
      <c r="M143" s="75" t="s">
        <v>457</v>
      </c>
      <c r="N143" s="75" t="s">
        <v>458</v>
      </c>
      <c r="O143" s="28" t="s">
        <v>465</v>
      </c>
      <c r="P143" s="28" t="s">
        <v>466</v>
      </c>
      <c r="Q143" s="28" t="s">
        <v>403</v>
      </c>
      <c r="R143" s="28" t="s">
        <v>404</v>
      </c>
      <c r="S143" s="28" t="s">
        <v>405</v>
      </c>
      <c r="T143" s="75" t="s">
        <v>468</v>
      </c>
      <c r="U143" s="75" t="s">
        <v>469</v>
      </c>
      <c r="V143" s="75" t="s">
        <v>514</v>
      </c>
      <c r="W143" s="75" t="s">
        <v>474</v>
      </c>
      <c r="X143" s="28" t="s">
        <v>412</v>
      </c>
      <c r="Y143" s="28" t="s">
        <v>413</v>
      </c>
      <c r="Z143" s="28" t="s">
        <v>414</v>
      </c>
      <c r="AA143" s="28" t="s">
        <v>415</v>
      </c>
      <c r="AB143" s="28" t="s">
        <v>416</v>
      </c>
      <c r="AC143" s="28" t="s">
        <v>417</v>
      </c>
      <c r="AD143" s="28" t="s">
        <v>418</v>
      </c>
      <c r="AE143" s="28" t="s">
        <v>419</v>
      </c>
      <c r="AF143" s="28" t="s">
        <v>420</v>
      </c>
      <c r="AG143" s="276" t="s">
        <v>421</v>
      </c>
      <c r="AH143" s="75" t="s">
        <v>424</v>
      </c>
      <c r="AI143" s="75" t="s">
        <v>468</v>
      </c>
      <c r="AJ143" s="75" t="s">
        <v>469</v>
      </c>
      <c r="AK143" s="28" t="s">
        <v>478</v>
      </c>
      <c r="AL143" s="28" t="s">
        <v>412</v>
      </c>
      <c r="AM143" s="28" t="s">
        <v>413</v>
      </c>
      <c r="AN143" s="28" t="s">
        <v>414</v>
      </c>
      <c r="AO143" s="28" t="s">
        <v>415</v>
      </c>
      <c r="AP143" s="28" t="s">
        <v>416</v>
      </c>
      <c r="AQ143" s="28" t="s">
        <v>417</v>
      </c>
      <c r="AR143" s="28" t="s">
        <v>425</v>
      </c>
      <c r="AS143" s="276" t="s">
        <v>426</v>
      </c>
      <c r="AT143" s="276" t="s">
        <v>39</v>
      </c>
      <c r="AW143" s="216" t="s">
        <v>479</v>
      </c>
      <c r="AX143" s="255"/>
      <c r="AY143" s="216" t="s">
        <v>480</v>
      </c>
      <c r="AZ143" s="255"/>
      <c r="BA143" s="216" t="s">
        <v>515</v>
      </c>
      <c r="BB143" s="255"/>
      <c r="BC143" s="289" t="s">
        <v>483</v>
      </c>
      <c r="BD143" s="64"/>
      <c r="BH143" s="216" t="s">
        <v>433</v>
      </c>
      <c r="BI143" s="255"/>
      <c r="BJ143" s="216" t="s">
        <v>479</v>
      </c>
      <c r="BK143" s="255"/>
      <c r="BL143" s="216" t="s">
        <v>480</v>
      </c>
      <c r="BM143" s="255"/>
      <c r="BN143" s="216" t="s">
        <v>515</v>
      </c>
      <c r="BO143" s="255"/>
      <c r="BP143" s="216" t="s">
        <v>492</v>
      </c>
      <c r="BQ143" s="255"/>
      <c r="BR143" s="216" t="s">
        <v>493</v>
      </c>
      <c r="BS143" s="255"/>
      <c r="BT143" s="216" t="s">
        <v>437</v>
      </c>
      <c r="BU143" s="255"/>
      <c r="BV143" s="216" t="s">
        <v>438</v>
      </c>
      <c r="BW143" s="255"/>
      <c r="BX143" s="216" t="s">
        <v>439</v>
      </c>
      <c r="BY143" s="255"/>
      <c r="BZ143" s="216" t="s">
        <v>440</v>
      </c>
      <c r="CA143" s="255"/>
      <c r="CB143" s="216" t="s">
        <v>441</v>
      </c>
      <c r="CC143" s="255"/>
    </row>
    <row r="144" spans="2:81">
      <c r="B144" s="227">
        <v>1</v>
      </c>
      <c r="C144" s="228"/>
      <c r="D144" s="229"/>
      <c r="E144" s="229"/>
      <c r="F144" s="229"/>
      <c r="G144" s="398">
        <f>IF($F144="",0,$D144/$F144)</f>
        <v>0</v>
      </c>
      <c r="H144" s="229"/>
      <c r="I144" s="230"/>
      <c r="J144" s="231">
        <f t="shared" ref="J144:J168" si="142">I144*D144</f>
        <v>0</v>
      </c>
      <c r="K144" s="230"/>
      <c r="L144" s="338"/>
      <c r="M144" s="229"/>
      <c r="N144" s="229"/>
      <c r="O144" s="232"/>
      <c r="P144" s="232"/>
      <c r="Q144" s="233"/>
      <c r="R144" s="233"/>
      <c r="S144" s="234"/>
      <c r="T144" s="235">
        <f t="shared" ref="T144:T168" si="143">IF($M144="x",IF($D144="",0,INDEX($AX$145:$AX$150,MATCH($D144,$AW$145:$AW$150,1))),0)</f>
        <v>0</v>
      </c>
      <c r="U144" s="235">
        <f>IF($N144="x",IF($G144="",0,INDEX($AZ$145:$AZ$150,MATCH($G144,$AY$145:$AY$150,1))*$F144),0)</f>
        <v>0</v>
      </c>
      <c r="V144" s="235">
        <f>IF($L144&gt;0,IF($F144="",0,INDEX($BB$145:$BB$150,MATCH($G144,$BA$145:$BA$150,1)))*$L144*$F144,0)</f>
        <v>0</v>
      </c>
      <c r="W144" s="235">
        <f>IF($L144&gt;0,IF($G144="",0,INDEX($BD$145:$BD$150,MATCH($G144,$BC$145:$BC$150,1))*$G144*$F144*$L144),0)</f>
        <v>0</v>
      </c>
      <c r="X144" s="235">
        <f>IF($G144="",0,IF(O144="x",$BF$147*$F144,0))</f>
        <v>0</v>
      </c>
      <c r="Y144" s="235">
        <f>IF($G144="",0,IF(P144="x",$BF$149*$F144,0))</f>
        <v>0</v>
      </c>
      <c r="Z144" s="235">
        <f>IF($Q144="x",IF($G144="",0,$BE$145*$F144),0)</f>
        <v>0</v>
      </c>
      <c r="AA144" s="235">
        <f>IF($R144="x",IF($G144="",0,IF($G144&gt;4,$BE$147*$F144,0)),0)</f>
        <v>0</v>
      </c>
      <c r="AB144" s="235">
        <f>IF($D144="",0,$S144*$BE$149*$F144)</f>
        <v>0</v>
      </c>
      <c r="AC144" s="235">
        <f>IF($D144="",0,(S144+IF(Z144&gt;0,1,0))*$BF$145*$F144)</f>
        <v>0</v>
      </c>
      <c r="AD144" s="235">
        <f t="shared" ref="AD144:AD168" si="144">J144+K144</f>
        <v>0</v>
      </c>
      <c r="AE144" s="235">
        <f t="shared" ref="AE144:AE168" si="145">SUM(T144:AC144)</f>
        <v>0</v>
      </c>
      <c r="AF144" s="235">
        <f t="shared" ref="AF144:AF168" si="146">IF($H144="xx",(2500*$D144+$AE144),SUM(AD144:AE144))*$AF$142</f>
        <v>0</v>
      </c>
      <c r="AG144" s="277">
        <f>SUM(AD144:AF144)</f>
        <v>0</v>
      </c>
      <c r="AH144" s="235">
        <f t="shared" ref="AH144:AH168" si="147">IF($D144="",0,INDEX($BI$145:$BI$150,MATCH($D144,$BH$145:$BH$150))*$BG$145)</f>
        <v>0</v>
      </c>
      <c r="AI144" s="235">
        <f t="shared" ref="AI144:AI168" si="148">IF($D144="",0,IF(OR($M144="x",$M144="xx"),INDEX($BK$145:$BK$150,MATCH($D144,$BJ$145:$BJ$150))*$BG$145,0))</f>
        <v>0</v>
      </c>
      <c r="AJ144" s="235">
        <f>IF($G144="",0,IF(OR($N144="x",$N144="xx"),INDEX($BM$145:$BM$150,MATCH($G144,$BL$145:$BL$150))*$BG$145*$F144,0))</f>
        <v>0</v>
      </c>
      <c r="AK144" s="235">
        <f>IF($G144="",0,IF($L144&gt;0,INDEX($BO$145:$BO$150,MATCH($G144,$BN$145:$BN$150))*$BG$145*$L144*$F144,0))</f>
        <v>0</v>
      </c>
      <c r="AL144" s="235">
        <f>IF($G144="",0,IF(OR($O144="x",$O144="xx"),INDEX($BQ$145:$BQ$150,MATCH($G144,$BP$145:$BP$150))*$BG$145*$F144,0))</f>
        <v>0</v>
      </c>
      <c r="AM144" s="235">
        <f>IF($G144="",0,IF(OR($P144="x",$P144="xx"),INDEX($BS$145:$BS$150,MATCH($G144,$BR$145:$BR$150))*$BG$145*$F144,0))</f>
        <v>0</v>
      </c>
      <c r="AN144" s="235">
        <f>IF($G144="",0,IF(OR($Q144="x",$Q144="xx"),INDEX($BU$145:$BU$150,MATCH($G144,$BT$145:$BT$150))*$BG$145*$F144,0))</f>
        <v>0</v>
      </c>
      <c r="AO144" s="235">
        <f>IF($G144="",0,IF(OR($R144="x",$R144="xx"),IF($G144&gt;4,INDEX($BW$145:$BW$150,MATCH($G144,$BV$145:$BV$150))*$BG$145*$F144,0),0))</f>
        <v>0</v>
      </c>
      <c r="AP144" s="235">
        <f>IF($G144="",0,($S144*INDEX($BY$145:$BY$150,MATCH($G144,$BX$145:$BX$150))*$BG$145*$F144))</f>
        <v>0</v>
      </c>
      <c r="AQ144" s="235">
        <f>IF($G144="",0,(($S144+IF(OR($Q144="x",$Q144="xx"),1,0))*INDEX($CA$145:$CA$150,MATCH($G144,$BZ$145:$BZ$150))*$BG$145*$F144))</f>
        <v>0</v>
      </c>
      <c r="AR144" s="235">
        <f>IF($G144="",0,INDEX($CC$145:$CC$150,MATCH($G144,$CB$145:$CB$150))*$BG$145*$F144)</f>
        <v>0</v>
      </c>
      <c r="AS144" s="277">
        <f t="shared" ref="AS144:AS168" si="149">SUM(AH144:AR144)</f>
        <v>0</v>
      </c>
      <c r="AT144" s="259"/>
      <c r="AV144" s="150" t="s">
        <v>226</v>
      </c>
      <c r="AW144" s="78" t="s">
        <v>379</v>
      </c>
      <c r="AX144" s="162" t="s">
        <v>312</v>
      </c>
      <c r="AY144" s="78" t="s">
        <v>379</v>
      </c>
      <c r="AZ144" s="162" t="s">
        <v>312</v>
      </c>
      <c r="BA144" s="78" t="s">
        <v>379</v>
      </c>
      <c r="BB144" s="162" t="s">
        <v>516</v>
      </c>
      <c r="BC144" s="78" t="s">
        <v>379</v>
      </c>
      <c r="BD144" s="162" t="s">
        <v>517</v>
      </c>
      <c r="BE144" s="162" t="s">
        <v>444</v>
      </c>
      <c r="BF144" s="35" t="s">
        <v>445</v>
      </c>
      <c r="BG144" s="78" t="s">
        <v>446</v>
      </c>
      <c r="BH144" s="78" t="s">
        <v>379</v>
      </c>
      <c r="BI144" s="162" t="s">
        <v>447</v>
      </c>
      <c r="BJ144" s="78" t="s">
        <v>379</v>
      </c>
      <c r="BK144" s="162" t="s">
        <v>447</v>
      </c>
      <c r="BL144" s="78" t="s">
        <v>379</v>
      </c>
      <c r="BM144" s="162" t="s">
        <v>447</v>
      </c>
      <c r="BN144" s="78" t="s">
        <v>379</v>
      </c>
      <c r="BO144" s="162" t="s">
        <v>518</v>
      </c>
      <c r="BP144" s="78" t="s">
        <v>379</v>
      </c>
      <c r="BQ144" s="162" t="s">
        <v>447</v>
      </c>
      <c r="BR144" s="78" t="s">
        <v>379</v>
      </c>
      <c r="BS144" s="162" t="s">
        <v>447</v>
      </c>
      <c r="BT144" s="78" t="s">
        <v>379</v>
      </c>
      <c r="BU144" s="162" t="s">
        <v>447</v>
      </c>
      <c r="BV144" s="78" t="s">
        <v>379</v>
      </c>
      <c r="BW144" s="162" t="s">
        <v>447</v>
      </c>
      <c r="BX144" s="78" t="s">
        <v>379</v>
      </c>
      <c r="BY144" s="162" t="s">
        <v>447</v>
      </c>
      <c r="BZ144" s="78" t="s">
        <v>379</v>
      </c>
      <c r="CA144" s="162" t="s">
        <v>447</v>
      </c>
      <c r="CB144" s="78" t="s">
        <v>379</v>
      </c>
      <c r="CC144" s="162" t="s">
        <v>447</v>
      </c>
    </row>
    <row r="145" spans="2:87">
      <c r="B145" s="236">
        <f>B144+1</f>
        <v>2</v>
      </c>
      <c r="C145" s="237"/>
      <c r="D145" s="238"/>
      <c r="E145" s="238"/>
      <c r="F145" s="238"/>
      <c r="G145" s="399">
        <f t="shared" ref="G145:G168" si="150">IF($F145="",0,$D145/$F145)</f>
        <v>0</v>
      </c>
      <c r="H145" s="238"/>
      <c r="I145" s="239"/>
      <c r="J145" s="240">
        <f t="shared" si="142"/>
        <v>0</v>
      </c>
      <c r="K145" s="239"/>
      <c r="L145" s="339"/>
      <c r="M145" s="238"/>
      <c r="N145" s="238"/>
      <c r="O145" s="241"/>
      <c r="P145" s="241"/>
      <c r="Q145" s="242"/>
      <c r="R145" s="242"/>
      <c r="S145" s="243"/>
      <c r="T145" s="244">
        <f t="shared" si="143"/>
        <v>0</v>
      </c>
      <c r="U145" s="244">
        <f t="shared" ref="U145:U168" si="151">IF($N145="x",IF($G145="",0,INDEX($AZ$145:$AZ$150,MATCH($G145,$AY$145:$AY$150,1))*$F145),0)</f>
        <v>0</v>
      </c>
      <c r="V145" s="244">
        <f t="shared" ref="V145:V168" si="152">IF($L145&gt;0,IF($F145="",0,INDEX($BB$145:$BB$150,MATCH($G145,$BA$145:$BA$150,1)))*$L145*$F145,0)</f>
        <v>0</v>
      </c>
      <c r="W145" s="244">
        <f t="shared" ref="W145:W168" si="153">IF($L145&gt;0,IF($G145="",0,INDEX($BD$145:$BD$150,MATCH($G145,$BC$145:$BC$150,1))*$G145*$F145*$L145),0)</f>
        <v>0</v>
      </c>
      <c r="X145" s="244">
        <f t="shared" ref="X145:X168" si="154">IF($G145="",0,IF(O145="x",$BF$147*$F145,0))</f>
        <v>0</v>
      </c>
      <c r="Y145" s="244">
        <f t="shared" ref="Y145:Y168" si="155">IF($G145="",0,IF(P145="x",$BF$149*$F145,0))</f>
        <v>0</v>
      </c>
      <c r="Z145" s="244">
        <f t="shared" ref="Z145:Z168" si="156">IF($Q145="x",IF($G145="",0,$BE$145*$F145),0)</f>
        <v>0</v>
      </c>
      <c r="AA145" s="244">
        <f t="shared" ref="AA145:AA168" si="157">IF($R145="x",IF($G145="",0,IF($G145&gt;4,$BE$147*$F145,0)),0)</f>
        <v>0</v>
      </c>
      <c r="AB145" s="244">
        <f t="shared" ref="AB145:AB168" si="158">IF($D145="",0,$S145*$BE$149*$F145)</f>
        <v>0</v>
      </c>
      <c r="AC145" s="244">
        <f t="shared" ref="AC145:AC168" si="159">IF($D145="",0,(S145+IF(Z145&gt;0,1,0))*$BF$145*$F145)</f>
        <v>0</v>
      </c>
      <c r="AD145" s="244">
        <f t="shared" si="144"/>
        <v>0</v>
      </c>
      <c r="AE145" s="244">
        <f t="shared" si="145"/>
        <v>0</v>
      </c>
      <c r="AF145" s="244">
        <f t="shared" si="146"/>
        <v>0</v>
      </c>
      <c r="AG145" s="278">
        <f t="shared" ref="AG145:AG168" si="160">SUM(AD145:AF145)</f>
        <v>0</v>
      </c>
      <c r="AH145" s="244">
        <f t="shared" si="147"/>
        <v>0</v>
      </c>
      <c r="AI145" s="244">
        <f t="shared" si="148"/>
        <v>0</v>
      </c>
      <c r="AJ145" s="244">
        <f t="shared" ref="AJ145:AJ168" si="161">IF($G145="",0,IF(OR($N145="x",$N145="xx"),INDEX($BM$145:$BM$150,MATCH($G145,$BL$145:$BL$150))*$BG$145*$F145,0))</f>
        <v>0</v>
      </c>
      <c r="AK145" s="244">
        <f t="shared" ref="AK145:AK168" si="162">IF($G145="",0,IF($L145&gt;0,INDEX($BO$145:$BO$150,MATCH($G145,$BN$145:$BN$150))*$BG$145*$L145*$F145,0))</f>
        <v>0</v>
      </c>
      <c r="AL145" s="244">
        <f t="shared" ref="AL145:AL168" si="163">IF($G145="",0,IF(OR($O145="x",$O145="xx"),INDEX($BQ$145:$BQ$150,MATCH($G145,$BP$145:$BP$150))*$BG$145*$F145,0))</f>
        <v>0</v>
      </c>
      <c r="AM145" s="244">
        <f t="shared" ref="AM145:AM168" si="164">IF($G145="",0,IF(OR($P145="x",$P145="xx"),INDEX($BS$145:$BS$150,MATCH($G145,$BR$145:$BR$150))*$BG$145*$F145,0))</f>
        <v>0</v>
      </c>
      <c r="AN145" s="244">
        <f t="shared" ref="AN145:AN168" si="165">IF($G145="",0,IF(OR($Q145="x",$Q145="xx"),INDEX($BU$145:$BU$150,MATCH($G145,$BT$145:$BT$150))*$BG$145*$F145,0))</f>
        <v>0</v>
      </c>
      <c r="AO145" s="244">
        <f t="shared" ref="AO145:AO168" si="166">IF($G145="",0,IF(OR($R145="x",$R145="xx"),IF($G145&gt;4,INDEX($BW$145:$BW$150,MATCH($G145,$BV$145:$BV$150))*$BG$145*$F145,0),0))</f>
        <v>0</v>
      </c>
      <c r="AP145" s="244">
        <f t="shared" ref="AP145:AP168" si="167">IF($G145="",0,($S145*INDEX($BY$145:$BY$150,MATCH($G145,$BX$145:$BX$150))*$BG$145*$F145))</f>
        <v>0</v>
      </c>
      <c r="AQ145" s="244">
        <f t="shared" ref="AQ145:AQ168" si="168">IF($G145="",0,(($S145+IF(OR($Q145="x",$Q145="xx"),1,0))*INDEX($CA$145:$CA$150,MATCH($G145,$BZ$145:$BZ$150))*$BG$145*$F145))</f>
        <v>0</v>
      </c>
      <c r="AR145" s="244">
        <f t="shared" ref="AR145:AR168" si="169">IF($G145="",0,INDEX($CC$145:$CC$150,MATCH($G145,$CB$145:$CB$150))*$BG$145*$F145)</f>
        <v>0</v>
      </c>
      <c r="AS145" s="278">
        <f t="shared" si="149"/>
        <v>0</v>
      </c>
      <c r="AT145" s="264"/>
      <c r="AV145" s="214" t="s">
        <v>448</v>
      </c>
      <c r="AW145" s="215">
        <v>0</v>
      </c>
      <c r="AX145" s="217">
        <v>350</v>
      </c>
      <c r="AY145" s="215">
        <v>0</v>
      </c>
      <c r="AZ145" s="217">
        <v>70</v>
      </c>
      <c r="BA145" s="215">
        <v>0</v>
      </c>
      <c r="BB145" s="217">
        <f>(3+4+1)*0.65</f>
        <v>5.2</v>
      </c>
      <c r="BC145" s="215">
        <v>0</v>
      </c>
      <c r="BD145" s="344">
        <f>(38/6/(40*6))*(700/20)</f>
        <v>0.92361111111111116</v>
      </c>
      <c r="BE145" s="343">
        <v>160</v>
      </c>
      <c r="BF145" s="219">
        <f>90/2</f>
        <v>45</v>
      </c>
      <c r="BG145" s="35">
        <v>25</v>
      </c>
      <c r="BH145" s="215">
        <v>0</v>
      </c>
      <c r="BI145" s="281">
        <v>24</v>
      </c>
      <c r="BJ145" s="215">
        <v>0</v>
      </c>
      <c r="BK145" s="281">
        <v>3</v>
      </c>
      <c r="BL145" s="215">
        <v>0</v>
      </c>
      <c r="BM145" s="281">
        <v>3</v>
      </c>
      <c r="BN145" s="215">
        <v>0</v>
      </c>
      <c r="BO145" s="346">
        <v>0.5</v>
      </c>
      <c r="BP145" s="215">
        <v>0</v>
      </c>
      <c r="BQ145" s="281">
        <v>5</v>
      </c>
      <c r="BR145" s="215">
        <v>0</v>
      </c>
      <c r="BS145" s="281">
        <v>14</v>
      </c>
      <c r="BT145" s="215">
        <v>0</v>
      </c>
      <c r="BU145" s="281">
        <v>2</v>
      </c>
      <c r="BV145" s="215">
        <v>0</v>
      </c>
      <c r="BW145" s="281">
        <v>2</v>
      </c>
      <c r="BX145" s="215">
        <v>0</v>
      </c>
      <c r="BY145" s="281">
        <v>2</v>
      </c>
      <c r="BZ145" s="215">
        <v>0</v>
      </c>
      <c r="CA145" s="281">
        <v>3</v>
      </c>
      <c r="CB145" s="215">
        <v>0</v>
      </c>
      <c r="CC145" s="281">
        <v>16</v>
      </c>
    </row>
    <row r="146" spans="2:87">
      <c r="B146" s="236">
        <f t="shared" ref="B146:B168" si="170">B145+1</f>
        <v>3</v>
      </c>
      <c r="C146" s="237"/>
      <c r="D146" s="238"/>
      <c r="E146" s="238"/>
      <c r="F146" s="238"/>
      <c r="G146" s="399">
        <f t="shared" si="150"/>
        <v>0</v>
      </c>
      <c r="H146" s="238"/>
      <c r="I146" s="239"/>
      <c r="J146" s="240">
        <f t="shared" si="142"/>
        <v>0</v>
      </c>
      <c r="K146" s="239"/>
      <c r="L146" s="339"/>
      <c r="M146" s="238"/>
      <c r="N146" s="238"/>
      <c r="O146" s="241"/>
      <c r="P146" s="241"/>
      <c r="Q146" s="242"/>
      <c r="R146" s="242"/>
      <c r="S146" s="243"/>
      <c r="T146" s="244">
        <f t="shared" si="143"/>
        <v>0</v>
      </c>
      <c r="U146" s="244">
        <f t="shared" si="151"/>
        <v>0</v>
      </c>
      <c r="V146" s="244">
        <f t="shared" si="152"/>
        <v>0</v>
      </c>
      <c r="W146" s="244">
        <f t="shared" si="153"/>
        <v>0</v>
      </c>
      <c r="X146" s="244">
        <f t="shared" si="154"/>
        <v>0</v>
      </c>
      <c r="Y146" s="244">
        <f t="shared" si="155"/>
        <v>0</v>
      </c>
      <c r="Z146" s="244">
        <f t="shared" si="156"/>
        <v>0</v>
      </c>
      <c r="AA146" s="244">
        <f t="shared" si="157"/>
        <v>0</v>
      </c>
      <c r="AB146" s="244">
        <f t="shared" si="158"/>
        <v>0</v>
      </c>
      <c r="AC146" s="244">
        <f t="shared" si="159"/>
        <v>0</v>
      </c>
      <c r="AD146" s="244">
        <f t="shared" si="144"/>
        <v>0</v>
      </c>
      <c r="AE146" s="244">
        <f t="shared" si="145"/>
        <v>0</v>
      </c>
      <c r="AF146" s="244">
        <f t="shared" si="146"/>
        <v>0</v>
      </c>
      <c r="AG146" s="278">
        <f t="shared" si="160"/>
        <v>0</v>
      </c>
      <c r="AH146" s="244">
        <f t="shared" si="147"/>
        <v>0</v>
      </c>
      <c r="AI146" s="244">
        <f t="shared" si="148"/>
        <v>0</v>
      </c>
      <c r="AJ146" s="244">
        <f t="shared" si="161"/>
        <v>0</v>
      </c>
      <c r="AK146" s="244">
        <f t="shared" si="162"/>
        <v>0</v>
      </c>
      <c r="AL146" s="244">
        <f t="shared" si="163"/>
        <v>0</v>
      </c>
      <c r="AM146" s="244">
        <f t="shared" si="164"/>
        <v>0</v>
      </c>
      <c r="AN146" s="244">
        <f t="shared" si="165"/>
        <v>0</v>
      </c>
      <c r="AO146" s="244">
        <f t="shared" si="166"/>
        <v>0</v>
      </c>
      <c r="AP146" s="244">
        <f t="shared" si="167"/>
        <v>0</v>
      </c>
      <c r="AQ146" s="244">
        <f t="shared" si="168"/>
        <v>0</v>
      </c>
      <c r="AR146" s="244">
        <f t="shared" si="169"/>
        <v>0</v>
      </c>
      <c r="AS146" s="278">
        <f t="shared" si="149"/>
        <v>0</v>
      </c>
      <c r="AT146" s="264"/>
      <c r="AV146" s="214" t="s">
        <v>449</v>
      </c>
      <c r="AW146" s="214">
        <v>5</v>
      </c>
      <c r="AX146" s="217">
        <v>350</v>
      </c>
      <c r="AY146" s="214">
        <v>5</v>
      </c>
      <c r="AZ146" s="217">
        <v>80</v>
      </c>
      <c r="BA146" s="214">
        <v>5</v>
      </c>
      <c r="BB146" s="217">
        <f>(7.5+4+1)*0.65</f>
        <v>8.125</v>
      </c>
      <c r="BC146" s="214">
        <v>5</v>
      </c>
      <c r="BD146" s="344">
        <f t="shared" ref="BD146:BD150" si="171">(38/6/(40*6))*(700/20)</f>
        <v>0.92361111111111116</v>
      </c>
      <c r="BE146" s="162" t="s">
        <v>450</v>
      </c>
      <c r="BF146" s="35" t="s">
        <v>435</v>
      </c>
      <c r="BH146" s="214">
        <v>5</v>
      </c>
      <c r="BI146" s="281">
        <v>24</v>
      </c>
      <c r="BJ146" s="214">
        <v>5</v>
      </c>
      <c r="BK146" s="281">
        <v>3</v>
      </c>
      <c r="BL146" s="214">
        <v>5</v>
      </c>
      <c r="BM146" s="281">
        <v>3</v>
      </c>
      <c r="BN146" s="214">
        <v>5</v>
      </c>
      <c r="BO146" s="346">
        <v>0.6</v>
      </c>
      <c r="BP146" s="214">
        <v>5</v>
      </c>
      <c r="BQ146" s="281">
        <v>5</v>
      </c>
      <c r="BR146" s="214">
        <v>5</v>
      </c>
      <c r="BS146" s="281">
        <v>14</v>
      </c>
      <c r="BT146" s="214">
        <v>5</v>
      </c>
      <c r="BU146" s="281">
        <v>2</v>
      </c>
      <c r="BV146" s="214">
        <v>5</v>
      </c>
      <c r="BW146" s="281">
        <v>2</v>
      </c>
      <c r="BX146" s="214">
        <v>5</v>
      </c>
      <c r="BY146" s="281">
        <v>2</v>
      </c>
      <c r="BZ146" s="214">
        <v>5</v>
      </c>
      <c r="CA146" s="281">
        <v>3</v>
      </c>
      <c r="CB146" s="214">
        <v>5</v>
      </c>
      <c r="CC146" s="281">
        <v>16</v>
      </c>
    </row>
    <row r="147" spans="2:87">
      <c r="B147" s="236">
        <f t="shared" si="170"/>
        <v>4</v>
      </c>
      <c r="C147" s="237"/>
      <c r="D147" s="238"/>
      <c r="E147" s="238"/>
      <c r="F147" s="238"/>
      <c r="G147" s="399">
        <f t="shared" si="150"/>
        <v>0</v>
      </c>
      <c r="H147" s="238"/>
      <c r="I147" s="239"/>
      <c r="J147" s="240">
        <f t="shared" si="142"/>
        <v>0</v>
      </c>
      <c r="K147" s="239"/>
      <c r="L147" s="339"/>
      <c r="M147" s="238"/>
      <c r="N147" s="238"/>
      <c r="O147" s="241"/>
      <c r="P147" s="241"/>
      <c r="Q147" s="242"/>
      <c r="R147" s="242"/>
      <c r="S147" s="243"/>
      <c r="T147" s="244">
        <f t="shared" si="143"/>
        <v>0</v>
      </c>
      <c r="U147" s="244">
        <f t="shared" si="151"/>
        <v>0</v>
      </c>
      <c r="V147" s="244">
        <f t="shared" si="152"/>
        <v>0</v>
      </c>
      <c r="W147" s="244">
        <f t="shared" si="153"/>
        <v>0</v>
      </c>
      <c r="X147" s="244">
        <f t="shared" si="154"/>
        <v>0</v>
      </c>
      <c r="Y147" s="244">
        <f t="shared" si="155"/>
        <v>0</v>
      </c>
      <c r="Z147" s="244">
        <f t="shared" si="156"/>
        <v>0</v>
      </c>
      <c r="AA147" s="244">
        <f t="shared" si="157"/>
        <v>0</v>
      </c>
      <c r="AB147" s="244">
        <f t="shared" si="158"/>
        <v>0</v>
      </c>
      <c r="AC147" s="244">
        <f t="shared" si="159"/>
        <v>0</v>
      </c>
      <c r="AD147" s="244">
        <f t="shared" si="144"/>
        <v>0</v>
      </c>
      <c r="AE147" s="244">
        <f t="shared" si="145"/>
        <v>0</v>
      </c>
      <c r="AF147" s="244">
        <f t="shared" si="146"/>
        <v>0</v>
      </c>
      <c r="AG147" s="278">
        <f t="shared" si="160"/>
        <v>0</v>
      </c>
      <c r="AH147" s="244">
        <f t="shared" si="147"/>
        <v>0</v>
      </c>
      <c r="AI147" s="244">
        <f t="shared" si="148"/>
        <v>0</v>
      </c>
      <c r="AJ147" s="244">
        <f t="shared" si="161"/>
        <v>0</v>
      </c>
      <c r="AK147" s="244">
        <f t="shared" si="162"/>
        <v>0</v>
      </c>
      <c r="AL147" s="244">
        <f t="shared" si="163"/>
        <v>0</v>
      </c>
      <c r="AM147" s="244">
        <f t="shared" si="164"/>
        <v>0</v>
      </c>
      <c r="AN147" s="244">
        <f t="shared" si="165"/>
        <v>0</v>
      </c>
      <c r="AO147" s="244">
        <f t="shared" si="166"/>
        <v>0</v>
      </c>
      <c r="AP147" s="244">
        <f t="shared" si="167"/>
        <v>0</v>
      </c>
      <c r="AQ147" s="244">
        <f t="shared" si="168"/>
        <v>0</v>
      </c>
      <c r="AR147" s="244">
        <f t="shared" si="169"/>
        <v>0</v>
      </c>
      <c r="AS147" s="278">
        <f t="shared" si="149"/>
        <v>0</v>
      </c>
      <c r="AT147" s="264"/>
      <c r="AV147" s="123"/>
      <c r="AW147" s="214">
        <v>10</v>
      </c>
      <c r="AX147" s="217">
        <v>380</v>
      </c>
      <c r="AY147" s="214">
        <v>10</v>
      </c>
      <c r="AZ147" s="217">
        <v>120</v>
      </c>
      <c r="BA147" s="214">
        <v>10</v>
      </c>
      <c r="BB147" s="217">
        <f>(9.5+7.6+1.5)*0.65</f>
        <v>12.090000000000002</v>
      </c>
      <c r="BC147" s="214">
        <v>10</v>
      </c>
      <c r="BD147" s="344">
        <f t="shared" si="171"/>
        <v>0.92361111111111116</v>
      </c>
      <c r="BE147" s="343">
        <v>170</v>
      </c>
      <c r="BF147" s="219">
        <f>45+9+75</f>
        <v>129</v>
      </c>
      <c r="BH147" s="214">
        <v>10</v>
      </c>
      <c r="BI147" s="281">
        <v>32</v>
      </c>
      <c r="BJ147" s="214">
        <v>10</v>
      </c>
      <c r="BK147" s="281">
        <v>4</v>
      </c>
      <c r="BL147" s="214">
        <v>10</v>
      </c>
      <c r="BM147" s="281">
        <v>4</v>
      </c>
      <c r="BN147" s="214">
        <v>10</v>
      </c>
      <c r="BO147" s="346">
        <v>0.8</v>
      </c>
      <c r="BP147" s="214">
        <v>10</v>
      </c>
      <c r="BQ147" s="281">
        <v>5</v>
      </c>
      <c r="BR147" s="214">
        <v>10</v>
      </c>
      <c r="BS147" s="281">
        <v>14</v>
      </c>
      <c r="BT147" s="214">
        <v>10</v>
      </c>
      <c r="BU147" s="281">
        <v>2</v>
      </c>
      <c r="BV147" s="214">
        <v>10</v>
      </c>
      <c r="BW147" s="281">
        <v>2</v>
      </c>
      <c r="BX147" s="214">
        <v>10</v>
      </c>
      <c r="BY147" s="281">
        <v>2</v>
      </c>
      <c r="BZ147" s="214">
        <v>10</v>
      </c>
      <c r="CA147" s="281">
        <v>3</v>
      </c>
      <c r="CB147" s="214">
        <v>10</v>
      </c>
      <c r="CC147" s="281">
        <v>16</v>
      </c>
    </row>
    <row r="148" spans="2:87">
      <c r="B148" s="236">
        <f t="shared" si="170"/>
        <v>5</v>
      </c>
      <c r="C148" s="237"/>
      <c r="D148" s="238"/>
      <c r="E148" s="238"/>
      <c r="F148" s="238"/>
      <c r="G148" s="399">
        <f t="shared" si="150"/>
        <v>0</v>
      </c>
      <c r="H148" s="238"/>
      <c r="I148" s="239"/>
      <c r="J148" s="240">
        <f t="shared" si="142"/>
        <v>0</v>
      </c>
      <c r="K148" s="239"/>
      <c r="L148" s="339"/>
      <c r="M148" s="238"/>
      <c r="N148" s="238"/>
      <c r="O148" s="241"/>
      <c r="P148" s="241"/>
      <c r="Q148" s="242"/>
      <c r="R148" s="242"/>
      <c r="S148" s="243"/>
      <c r="T148" s="244">
        <f t="shared" si="143"/>
        <v>0</v>
      </c>
      <c r="U148" s="244">
        <f t="shared" si="151"/>
        <v>0</v>
      </c>
      <c r="V148" s="244">
        <f t="shared" si="152"/>
        <v>0</v>
      </c>
      <c r="W148" s="244">
        <f t="shared" si="153"/>
        <v>0</v>
      </c>
      <c r="X148" s="244">
        <f t="shared" si="154"/>
        <v>0</v>
      </c>
      <c r="Y148" s="244">
        <f t="shared" si="155"/>
        <v>0</v>
      </c>
      <c r="Z148" s="244">
        <f t="shared" si="156"/>
        <v>0</v>
      </c>
      <c r="AA148" s="244">
        <f t="shared" si="157"/>
        <v>0</v>
      </c>
      <c r="AB148" s="244">
        <f t="shared" si="158"/>
        <v>0</v>
      </c>
      <c r="AC148" s="244">
        <f t="shared" si="159"/>
        <v>0</v>
      </c>
      <c r="AD148" s="244">
        <f t="shared" si="144"/>
        <v>0</v>
      </c>
      <c r="AE148" s="244">
        <f t="shared" si="145"/>
        <v>0</v>
      </c>
      <c r="AF148" s="244">
        <f t="shared" si="146"/>
        <v>0</v>
      </c>
      <c r="AG148" s="278">
        <f t="shared" si="160"/>
        <v>0</v>
      </c>
      <c r="AH148" s="244">
        <f t="shared" si="147"/>
        <v>0</v>
      </c>
      <c r="AI148" s="244">
        <f t="shared" si="148"/>
        <v>0</v>
      </c>
      <c r="AJ148" s="244">
        <f t="shared" si="161"/>
        <v>0</v>
      </c>
      <c r="AK148" s="244">
        <f t="shared" si="162"/>
        <v>0</v>
      </c>
      <c r="AL148" s="244">
        <f t="shared" si="163"/>
        <v>0</v>
      </c>
      <c r="AM148" s="244">
        <f t="shared" si="164"/>
        <v>0</v>
      </c>
      <c r="AN148" s="244">
        <f t="shared" si="165"/>
        <v>0</v>
      </c>
      <c r="AO148" s="244">
        <f t="shared" si="166"/>
        <v>0</v>
      </c>
      <c r="AP148" s="244">
        <f t="shared" si="167"/>
        <v>0</v>
      </c>
      <c r="AQ148" s="244">
        <f t="shared" si="168"/>
        <v>0</v>
      </c>
      <c r="AR148" s="244">
        <f t="shared" si="169"/>
        <v>0</v>
      </c>
      <c r="AS148" s="278">
        <f t="shared" si="149"/>
        <v>0</v>
      </c>
      <c r="AT148" s="264"/>
      <c r="AV148" s="393" t="s">
        <v>451</v>
      </c>
      <c r="AW148" s="214">
        <v>20</v>
      </c>
      <c r="AX148" s="217">
        <v>450</v>
      </c>
      <c r="AY148" s="214">
        <v>20</v>
      </c>
      <c r="AZ148" s="217">
        <v>180</v>
      </c>
      <c r="BA148" s="214">
        <v>20</v>
      </c>
      <c r="BB148" s="217">
        <f>(16.7+9.5+2)*0.65</f>
        <v>18.330000000000002</v>
      </c>
      <c r="BC148" s="214">
        <v>20</v>
      </c>
      <c r="BD148" s="344">
        <f t="shared" si="171"/>
        <v>0.92361111111111116</v>
      </c>
      <c r="BE148" s="162" t="s">
        <v>439</v>
      </c>
      <c r="BF148" s="35" t="s">
        <v>436</v>
      </c>
      <c r="BH148" s="214">
        <v>20</v>
      </c>
      <c r="BI148" s="281">
        <v>40</v>
      </c>
      <c r="BJ148" s="214">
        <v>20</v>
      </c>
      <c r="BK148" s="281">
        <v>8</v>
      </c>
      <c r="BL148" s="214">
        <v>20</v>
      </c>
      <c r="BM148" s="281">
        <v>5</v>
      </c>
      <c r="BN148" s="214">
        <v>20</v>
      </c>
      <c r="BO148" s="346">
        <v>1</v>
      </c>
      <c r="BP148" s="214">
        <v>20</v>
      </c>
      <c r="BQ148" s="281">
        <v>6</v>
      </c>
      <c r="BR148" s="214">
        <v>20</v>
      </c>
      <c r="BS148" s="281">
        <v>16</v>
      </c>
      <c r="BT148" s="214">
        <v>20</v>
      </c>
      <c r="BU148" s="281">
        <v>2</v>
      </c>
      <c r="BV148" s="214">
        <v>20</v>
      </c>
      <c r="BW148" s="281">
        <v>2</v>
      </c>
      <c r="BX148" s="214">
        <v>20</v>
      </c>
      <c r="BY148" s="281">
        <v>2</v>
      </c>
      <c r="BZ148" s="214">
        <v>20</v>
      </c>
      <c r="CA148" s="281">
        <v>3</v>
      </c>
      <c r="CB148" s="214">
        <v>20</v>
      </c>
      <c r="CC148" s="281">
        <v>18</v>
      </c>
    </row>
    <row r="149" spans="2:87">
      <c r="B149" s="236">
        <f t="shared" si="170"/>
        <v>6</v>
      </c>
      <c r="C149" s="237"/>
      <c r="D149" s="238"/>
      <c r="E149" s="238"/>
      <c r="F149" s="238"/>
      <c r="G149" s="399">
        <f t="shared" si="150"/>
        <v>0</v>
      </c>
      <c r="H149" s="238"/>
      <c r="I149" s="239"/>
      <c r="J149" s="240">
        <f t="shared" si="142"/>
        <v>0</v>
      </c>
      <c r="K149" s="239"/>
      <c r="L149" s="339"/>
      <c r="M149" s="238"/>
      <c r="N149" s="238"/>
      <c r="O149" s="241"/>
      <c r="P149" s="241"/>
      <c r="Q149" s="242"/>
      <c r="R149" s="242"/>
      <c r="S149" s="243"/>
      <c r="T149" s="244">
        <f t="shared" si="143"/>
        <v>0</v>
      </c>
      <c r="U149" s="244">
        <f t="shared" si="151"/>
        <v>0</v>
      </c>
      <c r="V149" s="244">
        <f t="shared" si="152"/>
        <v>0</v>
      </c>
      <c r="W149" s="244">
        <f t="shared" si="153"/>
        <v>0</v>
      </c>
      <c r="X149" s="244">
        <f t="shared" si="154"/>
        <v>0</v>
      </c>
      <c r="Y149" s="244">
        <f t="shared" si="155"/>
        <v>0</v>
      </c>
      <c r="Z149" s="244">
        <f t="shared" si="156"/>
        <v>0</v>
      </c>
      <c r="AA149" s="244">
        <f t="shared" si="157"/>
        <v>0</v>
      </c>
      <c r="AB149" s="244">
        <f t="shared" si="158"/>
        <v>0</v>
      </c>
      <c r="AC149" s="244">
        <f t="shared" si="159"/>
        <v>0</v>
      </c>
      <c r="AD149" s="244">
        <f t="shared" si="144"/>
        <v>0</v>
      </c>
      <c r="AE149" s="244">
        <f t="shared" si="145"/>
        <v>0</v>
      </c>
      <c r="AF149" s="244">
        <f t="shared" si="146"/>
        <v>0</v>
      </c>
      <c r="AG149" s="278">
        <f t="shared" si="160"/>
        <v>0</v>
      </c>
      <c r="AH149" s="244">
        <f t="shared" si="147"/>
        <v>0</v>
      </c>
      <c r="AI149" s="244">
        <f t="shared" si="148"/>
        <v>0</v>
      </c>
      <c r="AJ149" s="244">
        <f t="shared" si="161"/>
        <v>0</v>
      </c>
      <c r="AK149" s="244">
        <f t="shared" si="162"/>
        <v>0</v>
      </c>
      <c r="AL149" s="244">
        <f t="shared" si="163"/>
        <v>0</v>
      </c>
      <c r="AM149" s="244">
        <f t="shared" si="164"/>
        <v>0</v>
      </c>
      <c r="AN149" s="244">
        <f t="shared" si="165"/>
        <v>0</v>
      </c>
      <c r="AO149" s="244">
        <f t="shared" si="166"/>
        <v>0</v>
      </c>
      <c r="AP149" s="244">
        <f t="shared" si="167"/>
        <v>0</v>
      </c>
      <c r="AQ149" s="244">
        <f t="shared" si="168"/>
        <v>0</v>
      </c>
      <c r="AR149" s="244">
        <f t="shared" si="169"/>
        <v>0</v>
      </c>
      <c r="AS149" s="278">
        <f t="shared" si="149"/>
        <v>0</v>
      </c>
      <c r="AT149" s="264"/>
      <c r="AV149" s="195" t="s">
        <v>449</v>
      </c>
      <c r="AW149" s="214">
        <v>50</v>
      </c>
      <c r="AX149" s="217">
        <v>1200</v>
      </c>
      <c r="AY149" s="214">
        <v>50</v>
      </c>
      <c r="AZ149" s="217">
        <v>600</v>
      </c>
      <c r="BA149" s="214">
        <v>50</v>
      </c>
      <c r="BB149" s="217">
        <f>(32+16.7+2.5)*0.65</f>
        <v>33.28</v>
      </c>
      <c r="BC149" s="214">
        <v>50</v>
      </c>
      <c r="BD149" s="344">
        <f t="shared" si="171"/>
        <v>0.92361111111111116</v>
      </c>
      <c r="BE149" s="343">
        <v>125</v>
      </c>
      <c r="BF149" s="219">
        <f>(50*4+15+50)*1.5</f>
        <v>397.5</v>
      </c>
      <c r="BH149" s="214">
        <v>50</v>
      </c>
      <c r="BI149" s="281">
        <v>60</v>
      </c>
      <c r="BJ149" s="214">
        <v>50</v>
      </c>
      <c r="BK149" s="281">
        <v>15</v>
      </c>
      <c r="BL149" s="214">
        <v>50</v>
      </c>
      <c r="BM149" s="281">
        <v>8</v>
      </c>
      <c r="BN149" s="214">
        <v>50</v>
      </c>
      <c r="BO149" s="346">
        <v>1.5</v>
      </c>
      <c r="BP149" s="214">
        <v>50</v>
      </c>
      <c r="BQ149" s="281">
        <v>7</v>
      </c>
      <c r="BR149" s="214">
        <v>50</v>
      </c>
      <c r="BS149" s="281">
        <v>20</v>
      </c>
      <c r="BT149" s="214">
        <v>50</v>
      </c>
      <c r="BU149" s="281">
        <v>3</v>
      </c>
      <c r="BV149" s="214">
        <v>50</v>
      </c>
      <c r="BW149" s="281">
        <v>3</v>
      </c>
      <c r="BX149" s="214">
        <v>50</v>
      </c>
      <c r="BY149" s="281">
        <v>2</v>
      </c>
      <c r="BZ149" s="214">
        <v>50</v>
      </c>
      <c r="CA149" s="281">
        <v>3</v>
      </c>
      <c r="CB149" s="214">
        <v>50</v>
      </c>
      <c r="CC149" s="281">
        <v>20</v>
      </c>
    </row>
    <row r="150" spans="2:87">
      <c r="B150" s="236">
        <f t="shared" si="170"/>
        <v>7</v>
      </c>
      <c r="C150" s="237"/>
      <c r="D150" s="238"/>
      <c r="E150" s="238"/>
      <c r="F150" s="238"/>
      <c r="G150" s="399">
        <f t="shared" si="150"/>
        <v>0</v>
      </c>
      <c r="H150" s="238"/>
      <c r="I150" s="239"/>
      <c r="J150" s="240">
        <f t="shared" si="142"/>
        <v>0</v>
      </c>
      <c r="K150" s="239"/>
      <c r="L150" s="339"/>
      <c r="M150" s="238"/>
      <c r="N150" s="238"/>
      <c r="O150" s="241"/>
      <c r="P150" s="241"/>
      <c r="Q150" s="242"/>
      <c r="R150" s="242"/>
      <c r="S150" s="243"/>
      <c r="T150" s="244">
        <f t="shared" si="143"/>
        <v>0</v>
      </c>
      <c r="U150" s="244">
        <f t="shared" si="151"/>
        <v>0</v>
      </c>
      <c r="V150" s="244">
        <f t="shared" si="152"/>
        <v>0</v>
      </c>
      <c r="W150" s="244">
        <f t="shared" si="153"/>
        <v>0</v>
      </c>
      <c r="X150" s="244">
        <f t="shared" si="154"/>
        <v>0</v>
      </c>
      <c r="Y150" s="244">
        <f t="shared" si="155"/>
        <v>0</v>
      </c>
      <c r="Z150" s="244">
        <f t="shared" si="156"/>
        <v>0</v>
      </c>
      <c r="AA150" s="244">
        <f t="shared" si="157"/>
        <v>0</v>
      </c>
      <c r="AB150" s="244">
        <f t="shared" si="158"/>
        <v>0</v>
      </c>
      <c r="AC150" s="244">
        <f t="shared" si="159"/>
        <v>0</v>
      </c>
      <c r="AD150" s="244">
        <f t="shared" si="144"/>
        <v>0</v>
      </c>
      <c r="AE150" s="244">
        <f t="shared" si="145"/>
        <v>0</v>
      </c>
      <c r="AF150" s="244">
        <f t="shared" si="146"/>
        <v>0</v>
      </c>
      <c r="AG150" s="278">
        <f t="shared" si="160"/>
        <v>0</v>
      </c>
      <c r="AH150" s="244">
        <f t="shared" si="147"/>
        <v>0</v>
      </c>
      <c r="AI150" s="244">
        <f t="shared" si="148"/>
        <v>0</v>
      </c>
      <c r="AJ150" s="244">
        <f t="shared" si="161"/>
        <v>0</v>
      </c>
      <c r="AK150" s="244">
        <f t="shared" si="162"/>
        <v>0</v>
      </c>
      <c r="AL150" s="244">
        <f t="shared" si="163"/>
        <v>0</v>
      </c>
      <c r="AM150" s="244">
        <f t="shared" si="164"/>
        <v>0</v>
      </c>
      <c r="AN150" s="244">
        <f t="shared" si="165"/>
        <v>0</v>
      </c>
      <c r="AO150" s="244">
        <f t="shared" si="166"/>
        <v>0</v>
      </c>
      <c r="AP150" s="244">
        <f t="shared" si="167"/>
        <v>0</v>
      </c>
      <c r="AQ150" s="244">
        <f t="shared" si="168"/>
        <v>0</v>
      </c>
      <c r="AR150" s="244">
        <f t="shared" si="169"/>
        <v>0</v>
      </c>
      <c r="AS150" s="278">
        <f t="shared" si="149"/>
        <v>0</v>
      </c>
      <c r="AT150" s="264"/>
      <c r="AV150" s="115"/>
      <c r="AW150" s="216">
        <v>75</v>
      </c>
      <c r="AX150" s="218">
        <v>4000</v>
      </c>
      <c r="AY150" s="216">
        <v>75</v>
      </c>
      <c r="AZ150" s="218">
        <v>1500</v>
      </c>
      <c r="BA150" s="216">
        <v>75</v>
      </c>
      <c r="BB150" s="218">
        <f>(32+32+2.5)*0.65</f>
        <v>43.225000000000001</v>
      </c>
      <c r="BC150" s="216">
        <v>75</v>
      </c>
      <c r="BD150" s="345">
        <f t="shared" si="171"/>
        <v>0.92361111111111116</v>
      </c>
      <c r="BE150" s="6"/>
      <c r="BF150" s="6"/>
      <c r="BH150" s="216">
        <v>75</v>
      </c>
      <c r="BI150" s="282">
        <f>BI149*2</f>
        <v>120</v>
      </c>
      <c r="BJ150" s="216">
        <v>75</v>
      </c>
      <c r="BK150" s="282">
        <v>30</v>
      </c>
      <c r="BL150" s="216">
        <v>75</v>
      </c>
      <c r="BM150" s="282">
        <v>12</v>
      </c>
      <c r="BN150" s="216">
        <v>75</v>
      </c>
      <c r="BO150" s="347">
        <v>2</v>
      </c>
      <c r="BP150" s="216">
        <v>75</v>
      </c>
      <c r="BQ150" s="282">
        <v>9</v>
      </c>
      <c r="BR150" s="216">
        <v>75</v>
      </c>
      <c r="BS150" s="282">
        <v>24</v>
      </c>
      <c r="BT150" s="216">
        <v>75</v>
      </c>
      <c r="BU150" s="282">
        <v>4</v>
      </c>
      <c r="BV150" s="216">
        <v>75</v>
      </c>
      <c r="BW150" s="282">
        <v>3</v>
      </c>
      <c r="BX150" s="216">
        <v>75</v>
      </c>
      <c r="BY150" s="282">
        <v>2</v>
      </c>
      <c r="BZ150" s="216">
        <v>75</v>
      </c>
      <c r="CA150" s="282">
        <v>3</v>
      </c>
      <c r="CB150" s="216">
        <v>75</v>
      </c>
      <c r="CC150" s="282">
        <v>24</v>
      </c>
    </row>
    <row r="151" spans="2:87">
      <c r="B151" s="236">
        <f t="shared" si="170"/>
        <v>8</v>
      </c>
      <c r="C151" s="237"/>
      <c r="D151" s="238"/>
      <c r="E151" s="238"/>
      <c r="F151" s="238"/>
      <c r="G151" s="399">
        <f t="shared" si="150"/>
        <v>0</v>
      </c>
      <c r="H151" s="238"/>
      <c r="I151" s="239"/>
      <c r="J151" s="240">
        <f t="shared" si="142"/>
        <v>0</v>
      </c>
      <c r="K151" s="239"/>
      <c r="L151" s="339"/>
      <c r="M151" s="238"/>
      <c r="N151" s="238"/>
      <c r="O151" s="241"/>
      <c r="P151" s="241"/>
      <c r="Q151" s="242"/>
      <c r="R151" s="243"/>
      <c r="S151" s="243"/>
      <c r="T151" s="244">
        <f t="shared" si="143"/>
        <v>0</v>
      </c>
      <c r="U151" s="244">
        <f t="shared" si="151"/>
        <v>0</v>
      </c>
      <c r="V151" s="244">
        <f t="shared" si="152"/>
        <v>0</v>
      </c>
      <c r="W151" s="244">
        <f t="shared" si="153"/>
        <v>0</v>
      </c>
      <c r="X151" s="244">
        <f t="shared" si="154"/>
        <v>0</v>
      </c>
      <c r="Y151" s="244">
        <f t="shared" si="155"/>
        <v>0</v>
      </c>
      <c r="Z151" s="244">
        <f t="shared" si="156"/>
        <v>0</v>
      </c>
      <c r="AA151" s="244">
        <f t="shared" si="157"/>
        <v>0</v>
      </c>
      <c r="AB151" s="244">
        <f t="shared" si="158"/>
        <v>0</v>
      </c>
      <c r="AC151" s="244">
        <f t="shared" si="159"/>
        <v>0</v>
      </c>
      <c r="AD151" s="244">
        <f t="shared" si="144"/>
        <v>0</v>
      </c>
      <c r="AE151" s="244">
        <f t="shared" si="145"/>
        <v>0</v>
      </c>
      <c r="AF151" s="244">
        <f t="shared" si="146"/>
        <v>0</v>
      </c>
      <c r="AG151" s="278">
        <f t="shared" si="160"/>
        <v>0</v>
      </c>
      <c r="AH151" s="244">
        <f t="shared" si="147"/>
        <v>0</v>
      </c>
      <c r="AI151" s="244">
        <f t="shared" si="148"/>
        <v>0</v>
      </c>
      <c r="AJ151" s="244">
        <f t="shared" si="161"/>
        <v>0</v>
      </c>
      <c r="AK151" s="244">
        <f t="shared" si="162"/>
        <v>0</v>
      </c>
      <c r="AL151" s="244">
        <f t="shared" si="163"/>
        <v>0</v>
      </c>
      <c r="AM151" s="244">
        <f t="shared" si="164"/>
        <v>0</v>
      </c>
      <c r="AN151" s="244">
        <f t="shared" si="165"/>
        <v>0</v>
      </c>
      <c r="AO151" s="244">
        <f t="shared" si="166"/>
        <v>0</v>
      </c>
      <c r="AP151" s="244">
        <f t="shared" si="167"/>
        <v>0</v>
      </c>
      <c r="AQ151" s="244">
        <f t="shared" si="168"/>
        <v>0</v>
      </c>
      <c r="AR151" s="244">
        <f t="shared" si="169"/>
        <v>0</v>
      </c>
      <c r="AS151" s="278">
        <f t="shared" si="149"/>
        <v>0</v>
      </c>
      <c r="AT151" s="264"/>
      <c r="AX151" s="6"/>
      <c r="AY151" s="6"/>
      <c r="AZ151" s="6"/>
      <c r="BA151" s="6" t="s">
        <v>519</v>
      </c>
      <c r="BB151" s="6" t="s">
        <v>520</v>
      </c>
      <c r="BC151" s="341" t="s">
        <v>521</v>
      </c>
      <c r="BD151" s="17"/>
      <c r="BE151" s="6"/>
      <c r="BF151" s="6"/>
      <c r="BG151" s="6"/>
      <c r="BH151" s="6"/>
      <c r="BI151" s="6"/>
      <c r="BJ151" s="6"/>
      <c r="BK151" s="6"/>
      <c r="BL151" s="6"/>
      <c r="BM151" s="6"/>
      <c r="BN151" s="17" t="s">
        <v>522</v>
      </c>
      <c r="BO151" s="4"/>
      <c r="BP151" s="6"/>
      <c r="BQ151" s="6"/>
      <c r="BR151" s="6"/>
      <c r="BS151" s="6"/>
      <c r="BT151" s="6"/>
      <c r="BU151" s="6"/>
      <c r="BV151" s="6"/>
      <c r="BW151" s="6"/>
      <c r="BX151" s="6"/>
      <c r="BY151" s="6"/>
      <c r="BZ151" s="6"/>
      <c r="CA151" s="6"/>
      <c r="CB151" s="6"/>
      <c r="CC151" s="6"/>
    </row>
    <row r="152" spans="2:87">
      <c r="B152" s="236">
        <f t="shared" si="170"/>
        <v>9</v>
      </c>
      <c r="C152" s="237"/>
      <c r="D152" s="238"/>
      <c r="E152" s="238"/>
      <c r="F152" s="238"/>
      <c r="G152" s="399">
        <f t="shared" si="150"/>
        <v>0</v>
      </c>
      <c r="H152" s="238"/>
      <c r="I152" s="239"/>
      <c r="J152" s="240">
        <f t="shared" si="142"/>
        <v>0</v>
      </c>
      <c r="K152" s="239"/>
      <c r="L152" s="339"/>
      <c r="M152" s="238"/>
      <c r="N152" s="238"/>
      <c r="O152" s="241"/>
      <c r="P152" s="241"/>
      <c r="Q152" s="242"/>
      <c r="R152" s="243"/>
      <c r="S152" s="243"/>
      <c r="T152" s="244">
        <f t="shared" si="143"/>
        <v>0</v>
      </c>
      <c r="U152" s="244">
        <f t="shared" si="151"/>
        <v>0</v>
      </c>
      <c r="V152" s="244">
        <f t="shared" si="152"/>
        <v>0</v>
      </c>
      <c r="W152" s="244">
        <f t="shared" si="153"/>
        <v>0</v>
      </c>
      <c r="X152" s="244">
        <f t="shared" si="154"/>
        <v>0</v>
      </c>
      <c r="Y152" s="244">
        <f t="shared" si="155"/>
        <v>0</v>
      </c>
      <c r="Z152" s="244">
        <f t="shared" si="156"/>
        <v>0</v>
      </c>
      <c r="AA152" s="244">
        <f t="shared" si="157"/>
        <v>0</v>
      </c>
      <c r="AB152" s="244">
        <f t="shared" si="158"/>
        <v>0</v>
      </c>
      <c r="AC152" s="244">
        <f t="shared" si="159"/>
        <v>0</v>
      </c>
      <c r="AD152" s="244">
        <f t="shared" si="144"/>
        <v>0</v>
      </c>
      <c r="AE152" s="244">
        <f t="shared" si="145"/>
        <v>0</v>
      </c>
      <c r="AF152" s="244">
        <f t="shared" si="146"/>
        <v>0</v>
      </c>
      <c r="AG152" s="278">
        <f t="shared" si="160"/>
        <v>0</v>
      </c>
      <c r="AH152" s="244">
        <f t="shared" si="147"/>
        <v>0</v>
      </c>
      <c r="AI152" s="244">
        <f t="shared" si="148"/>
        <v>0</v>
      </c>
      <c r="AJ152" s="244">
        <f t="shared" si="161"/>
        <v>0</v>
      </c>
      <c r="AK152" s="244">
        <f t="shared" si="162"/>
        <v>0</v>
      </c>
      <c r="AL152" s="244">
        <f t="shared" si="163"/>
        <v>0</v>
      </c>
      <c r="AM152" s="244">
        <f t="shared" si="164"/>
        <v>0</v>
      </c>
      <c r="AN152" s="244">
        <f t="shared" si="165"/>
        <v>0</v>
      </c>
      <c r="AO152" s="244">
        <f t="shared" si="166"/>
        <v>0</v>
      </c>
      <c r="AP152" s="244">
        <f t="shared" si="167"/>
        <v>0</v>
      </c>
      <c r="AQ152" s="244">
        <f t="shared" si="168"/>
        <v>0</v>
      </c>
      <c r="AR152" s="244">
        <f t="shared" si="169"/>
        <v>0</v>
      </c>
      <c r="AS152" s="278">
        <f t="shared" si="149"/>
        <v>0</v>
      </c>
      <c r="AT152" s="264"/>
      <c r="AX152" s="6"/>
      <c r="AY152" s="6"/>
      <c r="AZ152" s="6"/>
      <c r="BA152" s="6" t="s">
        <v>523</v>
      </c>
      <c r="BB152" s="6" t="s">
        <v>524</v>
      </c>
      <c r="BC152" s="6" t="s">
        <v>525</v>
      </c>
      <c r="BD152" s="17"/>
      <c r="BE152" s="6"/>
      <c r="BF152" s="6"/>
      <c r="BG152" s="6"/>
      <c r="BH152" s="6"/>
      <c r="BI152" s="6"/>
      <c r="BJ152" s="6"/>
      <c r="BK152" s="6"/>
      <c r="BL152" s="6"/>
      <c r="BM152" s="6"/>
      <c r="BN152" s="6" t="s">
        <v>526</v>
      </c>
      <c r="BO152" s="4"/>
      <c r="BP152" s="6"/>
      <c r="BQ152" s="6"/>
      <c r="BR152" s="6"/>
      <c r="BS152" s="6"/>
      <c r="BT152" s="6"/>
      <c r="BU152" s="6"/>
      <c r="BV152" s="6"/>
      <c r="BW152" s="6"/>
      <c r="BX152" s="6"/>
      <c r="BY152" s="6"/>
      <c r="BZ152" s="6"/>
      <c r="CA152" s="6"/>
      <c r="CB152" s="6"/>
      <c r="CC152" s="6"/>
    </row>
    <row r="153" spans="2:87">
      <c r="B153" s="236">
        <f t="shared" si="170"/>
        <v>10</v>
      </c>
      <c r="C153" s="237"/>
      <c r="D153" s="238"/>
      <c r="E153" s="238"/>
      <c r="F153" s="238"/>
      <c r="G153" s="399">
        <f t="shared" si="150"/>
        <v>0</v>
      </c>
      <c r="H153" s="238"/>
      <c r="I153" s="239"/>
      <c r="J153" s="240">
        <f t="shared" si="142"/>
        <v>0</v>
      </c>
      <c r="K153" s="239"/>
      <c r="L153" s="339"/>
      <c r="M153" s="238"/>
      <c r="N153" s="238"/>
      <c r="O153" s="241"/>
      <c r="P153" s="241"/>
      <c r="Q153" s="242"/>
      <c r="R153" s="243"/>
      <c r="S153" s="243"/>
      <c r="T153" s="244">
        <f t="shared" si="143"/>
        <v>0</v>
      </c>
      <c r="U153" s="244">
        <f t="shared" si="151"/>
        <v>0</v>
      </c>
      <c r="V153" s="244">
        <f t="shared" si="152"/>
        <v>0</v>
      </c>
      <c r="W153" s="244">
        <f t="shared" si="153"/>
        <v>0</v>
      </c>
      <c r="X153" s="244">
        <f t="shared" si="154"/>
        <v>0</v>
      </c>
      <c r="Y153" s="244">
        <f t="shared" si="155"/>
        <v>0</v>
      </c>
      <c r="Z153" s="244">
        <f t="shared" si="156"/>
        <v>0</v>
      </c>
      <c r="AA153" s="244">
        <f t="shared" si="157"/>
        <v>0</v>
      </c>
      <c r="AB153" s="244">
        <f t="shared" si="158"/>
        <v>0</v>
      </c>
      <c r="AC153" s="244">
        <f t="shared" si="159"/>
        <v>0</v>
      </c>
      <c r="AD153" s="244">
        <f t="shared" si="144"/>
        <v>0</v>
      </c>
      <c r="AE153" s="244">
        <f t="shared" si="145"/>
        <v>0</v>
      </c>
      <c r="AF153" s="244">
        <f t="shared" si="146"/>
        <v>0</v>
      </c>
      <c r="AG153" s="278">
        <f t="shared" si="160"/>
        <v>0</v>
      </c>
      <c r="AH153" s="244">
        <f t="shared" si="147"/>
        <v>0</v>
      </c>
      <c r="AI153" s="244">
        <f t="shared" si="148"/>
        <v>0</v>
      </c>
      <c r="AJ153" s="244">
        <f t="shared" si="161"/>
        <v>0</v>
      </c>
      <c r="AK153" s="244">
        <f t="shared" si="162"/>
        <v>0</v>
      </c>
      <c r="AL153" s="244">
        <f t="shared" si="163"/>
        <v>0</v>
      </c>
      <c r="AM153" s="244">
        <f t="shared" si="164"/>
        <v>0</v>
      </c>
      <c r="AN153" s="244">
        <f t="shared" si="165"/>
        <v>0</v>
      </c>
      <c r="AO153" s="244">
        <f t="shared" si="166"/>
        <v>0</v>
      </c>
      <c r="AP153" s="244">
        <f t="shared" si="167"/>
        <v>0</v>
      </c>
      <c r="AQ153" s="244">
        <f t="shared" si="168"/>
        <v>0</v>
      </c>
      <c r="AR153" s="244">
        <f t="shared" si="169"/>
        <v>0</v>
      </c>
      <c r="AS153" s="278">
        <f t="shared" si="149"/>
        <v>0</v>
      </c>
      <c r="AT153" s="264"/>
      <c r="AX153" s="6"/>
      <c r="AY153" s="6"/>
      <c r="AZ153" s="6"/>
      <c r="BA153" s="6" t="s">
        <v>527</v>
      </c>
      <c r="BB153" s="6" t="s">
        <v>524</v>
      </c>
      <c r="BC153" s="6" t="s">
        <v>528</v>
      </c>
      <c r="BD153" s="17"/>
      <c r="BE153" s="6"/>
      <c r="BF153" s="6"/>
      <c r="BG153" s="6"/>
      <c r="BH153" s="6"/>
      <c r="BI153" s="6"/>
      <c r="BJ153" s="6"/>
      <c r="BK153" s="6"/>
      <c r="BL153" s="6"/>
      <c r="BM153" s="6"/>
      <c r="BN153" s="6"/>
      <c r="BO153" s="4"/>
      <c r="BP153" s="6"/>
      <c r="BQ153" s="6"/>
      <c r="BR153" s="6"/>
      <c r="BS153" s="6"/>
      <c r="BT153" s="6"/>
      <c r="BU153" s="6"/>
      <c r="BV153" s="6"/>
      <c r="BW153" s="6"/>
      <c r="BX153" s="6"/>
      <c r="BY153" s="6"/>
      <c r="BZ153" s="6"/>
      <c r="CA153" s="6"/>
      <c r="CB153" s="6"/>
      <c r="CC153" s="6"/>
    </row>
    <row r="154" spans="2:87">
      <c r="B154" s="236">
        <f t="shared" si="170"/>
        <v>11</v>
      </c>
      <c r="C154" s="237"/>
      <c r="D154" s="238"/>
      <c r="E154" s="238"/>
      <c r="F154" s="238"/>
      <c r="G154" s="399">
        <f t="shared" si="150"/>
        <v>0</v>
      </c>
      <c r="H154" s="238"/>
      <c r="I154" s="239"/>
      <c r="J154" s="240">
        <f t="shared" si="142"/>
        <v>0</v>
      </c>
      <c r="K154" s="239"/>
      <c r="L154" s="339"/>
      <c r="M154" s="238"/>
      <c r="N154" s="238"/>
      <c r="O154" s="241"/>
      <c r="P154" s="241"/>
      <c r="Q154" s="242"/>
      <c r="R154" s="243"/>
      <c r="S154" s="243"/>
      <c r="T154" s="244">
        <f t="shared" si="143"/>
        <v>0</v>
      </c>
      <c r="U154" s="244">
        <f t="shared" si="151"/>
        <v>0</v>
      </c>
      <c r="V154" s="244">
        <f t="shared" si="152"/>
        <v>0</v>
      </c>
      <c r="W154" s="244">
        <f t="shared" si="153"/>
        <v>0</v>
      </c>
      <c r="X154" s="244">
        <f t="shared" si="154"/>
        <v>0</v>
      </c>
      <c r="Y154" s="244">
        <f t="shared" si="155"/>
        <v>0</v>
      </c>
      <c r="Z154" s="244">
        <f t="shared" si="156"/>
        <v>0</v>
      </c>
      <c r="AA154" s="244">
        <f t="shared" si="157"/>
        <v>0</v>
      </c>
      <c r="AB154" s="244">
        <f t="shared" si="158"/>
        <v>0</v>
      </c>
      <c r="AC154" s="244">
        <f t="shared" si="159"/>
        <v>0</v>
      </c>
      <c r="AD154" s="244">
        <f t="shared" si="144"/>
        <v>0</v>
      </c>
      <c r="AE154" s="244">
        <f t="shared" si="145"/>
        <v>0</v>
      </c>
      <c r="AF154" s="244">
        <f t="shared" si="146"/>
        <v>0</v>
      </c>
      <c r="AG154" s="278">
        <f t="shared" si="160"/>
        <v>0</v>
      </c>
      <c r="AH154" s="244">
        <f t="shared" si="147"/>
        <v>0</v>
      </c>
      <c r="AI154" s="244">
        <f t="shared" si="148"/>
        <v>0</v>
      </c>
      <c r="AJ154" s="244">
        <f t="shared" si="161"/>
        <v>0</v>
      </c>
      <c r="AK154" s="244">
        <f t="shared" si="162"/>
        <v>0</v>
      </c>
      <c r="AL154" s="244">
        <f t="shared" si="163"/>
        <v>0</v>
      </c>
      <c r="AM154" s="244">
        <f t="shared" si="164"/>
        <v>0</v>
      </c>
      <c r="AN154" s="244">
        <f t="shared" si="165"/>
        <v>0</v>
      </c>
      <c r="AO154" s="244">
        <f t="shared" si="166"/>
        <v>0</v>
      </c>
      <c r="AP154" s="244">
        <f t="shared" si="167"/>
        <v>0</v>
      </c>
      <c r="AQ154" s="244">
        <f t="shared" si="168"/>
        <v>0</v>
      </c>
      <c r="AR154" s="244">
        <f t="shared" si="169"/>
        <v>0</v>
      </c>
      <c r="AS154" s="278">
        <f t="shared" si="149"/>
        <v>0</v>
      </c>
      <c r="AT154" s="264"/>
      <c r="AX154" s="6"/>
      <c r="AY154" s="6"/>
      <c r="AZ154" s="6"/>
      <c r="BA154" s="6" t="s">
        <v>529</v>
      </c>
      <c r="BB154" s="6" t="s">
        <v>530</v>
      </c>
      <c r="BC154" s="6" t="s">
        <v>531</v>
      </c>
      <c r="BD154" s="6"/>
      <c r="BE154" s="6"/>
      <c r="BF154" s="6"/>
      <c r="BG154" s="6"/>
      <c r="BH154" s="6"/>
      <c r="BI154" s="6"/>
      <c r="BJ154" s="6"/>
      <c r="BK154" s="6"/>
      <c r="BL154" s="6"/>
      <c r="BM154" s="6"/>
      <c r="BN154" s="17"/>
      <c r="BO154" s="4"/>
      <c r="BP154" s="6"/>
      <c r="BQ154" s="6"/>
      <c r="BR154" s="6"/>
      <c r="BS154" s="6"/>
      <c r="BT154" s="6"/>
      <c r="BU154" s="6"/>
      <c r="BV154" s="6"/>
      <c r="BW154" s="6"/>
      <c r="BX154" s="6"/>
      <c r="BY154" s="6"/>
      <c r="BZ154" s="6"/>
      <c r="CA154" s="6"/>
      <c r="CB154" s="6"/>
      <c r="CC154" s="6"/>
      <c r="CD154" s="6"/>
      <c r="CE154" s="6"/>
      <c r="CF154" s="6"/>
      <c r="CG154" s="6"/>
      <c r="CH154" s="6"/>
      <c r="CI154" s="6"/>
    </row>
    <row r="155" spans="2:87">
      <c r="B155" s="236">
        <f t="shared" si="170"/>
        <v>12</v>
      </c>
      <c r="C155" s="237"/>
      <c r="D155" s="238"/>
      <c r="E155" s="238"/>
      <c r="F155" s="238"/>
      <c r="G155" s="399">
        <f t="shared" si="150"/>
        <v>0</v>
      </c>
      <c r="H155" s="238"/>
      <c r="I155" s="239"/>
      <c r="J155" s="240">
        <f t="shared" si="142"/>
        <v>0</v>
      </c>
      <c r="K155" s="239"/>
      <c r="L155" s="339"/>
      <c r="M155" s="238"/>
      <c r="N155" s="238"/>
      <c r="O155" s="241"/>
      <c r="P155" s="241"/>
      <c r="Q155" s="242"/>
      <c r="R155" s="243"/>
      <c r="S155" s="243"/>
      <c r="T155" s="244">
        <f t="shared" si="143"/>
        <v>0</v>
      </c>
      <c r="U155" s="244">
        <f t="shared" si="151"/>
        <v>0</v>
      </c>
      <c r="V155" s="244">
        <f t="shared" si="152"/>
        <v>0</v>
      </c>
      <c r="W155" s="244">
        <f t="shared" si="153"/>
        <v>0</v>
      </c>
      <c r="X155" s="244">
        <f t="shared" si="154"/>
        <v>0</v>
      </c>
      <c r="Y155" s="244">
        <f t="shared" si="155"/>
        <v>0</v>
      </c>
      <c r="Z155" s="244">
        <f t="shared" si="156"/>
        <v>0</v>
      </c>
      <c r="AA155" s="244">
        <f t="shared" si="157"/>
        <v>0</v>
      </c>
      <c r="AB155" s="244">
        <f t="shared" si="158"/>
        <v>0</v>
      </c>
      <c r="AC155" s="244">
        <f t="shared" si="159"/>
        <v>0</v>
      </c>
      <c r="AD155" s="244">
        <f t="shared" si="144"/>
        <v>0</v>
      </c>
      <c r="AE155" s="244">
        <f t="shared" si="145"/>
        <v>0</v>
      </c>
      <c r="AF155" s="244">
        <f t="shared" si="146"/>
        <v>0</v>
      </c>
      <c r="AG155" s="278">
        <f t="shared" si="160"/>
        <v>0</v>
      </c>
      <c r="AH155" s="244">
        <f t="shared" si="147"/>
        <v>0</v>
      </c>
      <c r="AI155" s="244">
        <f t="shared" si="148"/>
        <v>0</v>
      </c>
      <c r="AJ155" s="244">
        <f t="shared" si="161"/>
        <v>0</v>
      </c>
      <c r="AK155" s="244">
        <f t="shared" si="162"/>
        <v>0</v>
      </c>
      <c r="AL155" s="244">
        <f t="shared" si="163"/>
        <v>0</v>
      </c>
      <c r="AM155" s="244">
        <f t="shared" si="164"/>
        <v>0</v>
      </c>
      <c r="AN155" s="244">
        <f t="shared" si="165"/>
        <v>0</v>
      </c>
      <c r="AO155" s="244">
        <f t="shared" si="166"/>
        <v>0</v>
      </c>
      <c r="AP155" s="244">
        <f t="shared" si="167"/>
        <v>0</v>
      </c>
      <c r="AQ155" s="244">
        <f t="shared" si="168"/>
        <v>0</v>
      </c>
      <c r="AR155" s="244">
        <f t="shared" si="169"/>
        <v>0</v>
      </c>
      <c r="AS155" s="278">
        <f t="shared" si="149"/>
        <v>0</v>
      </c>
      <c r="AT155" s="264"/>
      <c r="BA155" s="6" t="s">
        <v>532</v>
      </c>
      <c r="BB155" s="6" t="s">
        <v>533</v>
      </c>
      <c r="BC155" s="342" t="s">
        <v>534</v>
      </c>
    </row>
    <row r="156" spans="2:87">
      <c r="B156" s="236">
        <f t="shared" si="170"/>
        <v>13</v>
      </c>
      <c r="C156" s="237"/>
      <c r="D156" s="238"/>
      <c r="E156" s="238"/>
      <c r="F156" s="238"/>
      <c r="G156" s="399">
        <f t="shared" si="150"/>
        <v>0</v>
      </c>
      <c r="H156" s="238"/>
      <c r="I156" s="239"/>
      <c r="J156" s="240">
        <f t="shared" si="142"/>
        <v>0</v>
      </c>
      <c r="K156" s="239"/>
      <c r="L156" s="339"/>
      <c r="M156" s="238"/>
      <c r="N156" s="238"/>
      <c r="O156" s="241"/>
      <c r="P156" s="241"/>
      <c r="Q156" s="242"/>
      <c r="R156" s="243"/>
      <c r="S156" s="243"/>
      <c r="T156" s="244">
        <f t="shared" si="143"/>
        <v>0</v>
      </c>
      <c r="U156" s="244">
        <f t="shared" si="151"/>
        <v>0</v>
      </c>
      <c r="V156" s="244">
        <f t="shared" si="152"/>
        <v>0</v>
      </c>
      <c r="W156" s="244">
        <f t="shared" si="153"/>
        <v>0</v>
      </c>
      <c r="X156" s="244">
        <f t="shared" si="154"/>
        <v>0</v>
      </c>
      <c r="Y156" s="244">
        <f t="shared" si="155"/>
        <v>0</v>
      </c>
      <c r="Z156" s="244">
        <f t="shared" si="156"/>
        <v>0</v>
      </c>
      <c r="AA156" s="244">
        <f t="shared" si="157"/>
        <v>0</v>
      </c>
      <c r="AB156" s="244">
        <f t="shared" si="158"/>
        <v>0</v>
      </c>
      <c r="AC156" s="244">
        <f t="shared" si="159"/>
        <v>0</v>
      </c>
      <c r="AD156" s="244">
        <f t="shared" si="144"/>
        <v>0</v>
      </c>
      <c r="AE156" s="244">
        <f t="shared" si="145"/>
        <v>0</v>
      </c>
      <c r="AF156" s="244">
        <f t="shared" si="146"/>
        <v>0</v>
      </c>
      <c r="AG156" s="278">
        <f t="shared" si="160"/>
        <v>0</v>
      </c>
      <c r="AH156" s="244">
        <f t="shared" si="147"/>
        <v>0</v>
      </c>
      <c r="AI156" s="244">
        <f t="shared" si="148"/>
        <v>0</v>
      </c>
      <c r="AJ156" s="244">
        <f t="shared" si="161"/>
        <v>0</v>
      </c>
      <c r="AK156" s="244">
        <f t="shared" si="162"/>
        <v>0</v>
      </c>
      <c r="AL156" s="244">
        <f t="shared" si="163"/>
        <v>0</v>
      </c>
      <c r="AM156" s="244">
        <f t="shared" si="164"/>
        <v>0</v>
      </c>
      <c r="AN156" s="244">
        <f t="shared" si="165"/>
        <v>0</v>
      </c>
      <c r="AO156" s="244">
        <f t="shared" si="166"/>
        <v>0</v>
      </c>
      <c r="AP156" s="244">
        <f t="shared" si="167"/>
        <v>0</v>
      </c>
      <c r="AQ156" s="244">
        <f t="shared" si="168"/>
        <v>0</v>
      </c>
      <c r="AR156" s="244">
        <f t="shared" si="169"/>
        <v>0</v>
      </c>
      <c r="AS156" s="278">
        <f t="shared" si="149"/>
        <v>0</v>
      </c>
      <c r="AT156" s="264"/>
      <c r="BA156" s="6" t="s">
        <v>535</v>
      </c>
      <c r="BB156" s="6" t="s">
        <v>536</v>
      </c>
    </row>
    <row r="157" spans="2:87">
      <c r="B157" s="236">
        <f t="shared" si="170"/>
        <v>14</v>
      </c>
      <c r="C157" s="237"/>
      <c r="D157" s="238"/>
      <c r="E157" s="238"/>
      <c r="F157" s="238"/>
      <c r="G157" s="399">
        <f t="shared" si="150"/>
        <v>0</v>
      </c>
      <c r="H157" s="238"/>
      <c r="I157" s="239"/>
      <c r="J157" s="240">
        <f t="shared" si="142"/>
        <v>0</v>
      </c>
      <c r="K157" s="239"/>
      <c r="L157" s="339"/>
      <c r="M157" s="238"/>
      <c r="N157" s="238"/>
      <c r="O157" s="241"/>
      <c r="P157" s="241"/>
      <c r="Q157" s="242"/>
      <c r="R157" s="243"/>
      <c r="S157" s="243"/>
      <c r="T157" s="244">
        <f t="shared" si="143"/>
        <v>0</v>
      </c>
      <c r="U157" s="244">
        <f t="shared" si="151"/>
        <v>0</v>
      </c>
      <c r="V157" s="244">
        <f t="shared" si="152"/>
        <v>0</v>
      </c>
      <c r="W157" s="244">
        <f t="shared" si="153"/>
        <v>0</v>
      </c>
      <c r="X157" s="244">
        <f t="shared" si="154"/>
        <v>0</v>
      </c>
      <c r="Y157" s="244">
        <f t="shared" si="155"/>
        <v>0</v>
      </c>
      <c r="Z157" s="244">
        <f t="shared" si="156"/>
        <v>0</v>
      </c>
      <c r="AA157" s="244">
        <f t="shared" si="157"/>
        <v>0</v>
      </c>
      <c r="AB157" s="244">
        <f t="shared" si="158"/>
        <v>0</v>
      </c>
      <c r="AC157" s="244">
        <f t="shared" si="159"/>
        <v>0</v>
      </c>
      <c r="AD157" s="244">
        <f t="shared" si="144"/>
        <v>0</v>
      </c>
      <c r="AE157" s="244">
        <f t="shared" si="145"/>
        <v>0</v>
      </c>
      <c r="AF157" s="244">
        <f t="shared" si="146"/>
        <v>0</v>
      </c>
      <c r="AG157" s="278">
        <f t="shared" si="160"/>
        <v>0</v>
      </c>
      <c r="AH157" s="244">
        <f t="shared" si="147"/>
        <v>0</v>
      </c>
      <c r="AI157" s="244">
        <f t="shared" si="148"/>
        <v>0</v>
      </c>
      <c r="AJ157" s="244">
        <f t="shared" si="161"/>
        <v>0</v>
      </c>
      <c r="AK157" s="244">
        <f t="shared" si="162"/>
        <v>0</v>
      </c>
      <c r="AL157" s="244">
        <f t="shared" si="163"/>
        <v>0</v>
      </c>
      <c r="AM157" s="244">
        <f t="shared" si="164"/>
        <v>0</v>
      </c>
      <c r="AN157" s="244">
        <f t="shared" si="165"/>
        <v>0</v>
      </c>
      <c r="AO157" s="244">
        <f t="shared" si="166"/>
        <v>0</v>
      </c>
      <c r="AP157" s="244">
        <f t="shared" si="167"/>
        <v>0</v>
      </c>
      <c r="AQ157" s="244">
        <f t="shared" si="168"/>
        <v>0</v>
      </c>
      <c r="AR157" s="244">
        <f t="shared" si="169"/>
        <v>0</v>
      </c>
      <c r="AS157" s="278">
        <f t="shared" si="149"/>
        <v>0</v>
      </c>
      <c r="AT157" s="264"/>
      <c r="BA157" s="6" t="s">
        <v>537</v>
      </c>
      <c r="BB157" s="6" t="s">
        <v>538</v>
      </c>
      <c r="BO157" s="22"/>
    </row>
    <row r="158" spans="2:87">
      <c r="B158" s="236">
        <f t="shared" si="170"/>
        <v>15</v>
      </c>
      <c r="C158" s="237"/>
      <c r="D158" s="238"/>
      <c r="E158" s="238"/>
      <c r="F158" s="238"/>
      <c r="G158" s="399">
        <f t="shared" si="150"/>
        <v>0</v>
      </c>
      <c r="H158" s="238"/>
      <c r="I158" s="239"/>
      <c r="J158" s="240">
        <f t="shared" si="142"/>
        <v>0</v>
      </c>
      <c r="K158" s="239"/>
      <c r="L158" s="339"/>
      <c r="M158" s="238"/>
      <c r="N158" s="238"/>
      <c r="O158" s="241"/>
      <c r="P158" s="241"/>
      <c r="Q158" s="242"/>
      <c r="R158" s="243"/>
      <c r="S158" s="243"/>
      <c r="T158" s="244">
        <f t="shared" si="143"/>
        <v>0</v>
      </c>
      <c r="U158" s="244">
        <f t="shared" si="151"/>
        <v>0</v>
      </c>
      <c r="V158" s="244">
        <f t="shared" si="152"/>
        <v>0</v>
      </c>
      <c r="W158" s="244">
        <f t="shared" si="153"/>
        <v>0</v>
      </c>
      <c r="X158" s="244">
        <f t="shared" si="154"/>
        <v>0</v>
      </c>
      <c r="Y158" s="244">
        <f t="shared" si="155"/>
        <v>0</v>
      </c>
      <c r="Z158" s="244">
        <f t="shared" si="156"/>
        <v>0</v>
      </c>
      <c r="AA158" s="244">
        <f t="shared" si="157"/>
        <v>0</v>
      </c>
      <c r="AB158" s="244">
        <f t="shared" si="158"/>
        <v>0</v>
      </c>
      <c r="AC158" s="244">
        <f t="shared" si="159"/>
        <v>0</v>
      </c>
      <c r="AD158" s="244">
        <f t="shared" si="144"/>
        <v>0</v>
      </c>
      <c r="AE158" s="244">
        <f t="shared" si="145"/>
        <v>0</v>
      </c>
      <c r="AF158" s="244">
        <f t="shared" si="146"/>
        <v>0</v>
      </c>
      <c r="AG158" s="278">
        <f t="shared" si="160"/>
        <v>0</v>
      </c>
      <c r="AH158" s="244">
        <f t="shared" si="147"/>
        <v>0</v>
      </c>
      <c r="AI158" s="244">
        <f t="shared" si="148"/>
        <v>0</v>
      </c>
      <c r="AJ158" s="244">
        <f t="shared" si="161"/>
        <v>0</v>
      </c>
      <c r="AK158" s="244">
        <f t="shared" si="162"/>
        <v>0</v>
      </c>
      <c r="AL158" s="244">
        <f t="shared" si="163"/>
        <v>0</v>
      </c>
      <c r="AM158" s="244">
        <f t="shared" si="164"/>
        <v>0</v>
      </c>
      <c r="AN158" s="244">
        <f t="shared" si="165"/>
        <v>0</v>
      </c>
      <c r="AO158" s="244">
        <f t="shared" si="166"/>
        <v>0</v>
      </c>
      <c r="AP158" s="244">
        <f t="shared" si="167"/>
        <v>0</v>
      </c>
      <c r="AQ158" s="244">
        <f t="shared" si="168"/>
        <v>0</v>
      </c>
      <c r="AR158" s="244">
        <f t="shared" si="169"/>
        <v>0</v>
      </c>
      <c r="AS158" s="278">
        <f t="shared" si="149"/>
        <v>0</v>
      </c>
      <c r="AT158" s="264"/>
      <c r="BA158" s="6" t="s">
        <v>539</v>
      </c>
      <c r="BB158" s="6" t="s">
        <v>540</v>
      </c>
    </row>
    <row r="159" spans="2:87">
      <c r="B159" s="236">
        <f t="shared" si="170"/>
        <v>16</v>
      </c>
      <c r="C159" s="237"/>
      <c r="D159" s="238"/>
      <c r="E159" s="238"/>
      <c r="F159" s="238"/>
      <c r="G159" s="399">
        <f t="shared" si="150"/>
        <v>0</v>
      </c>
      <c r="H159" s="238"/>
      <c r="I159" s="239"/>
      <c r="J159" s="240">
        <f t="shared" si="142"/>
        <v>0</v>
      </c>
      <c r="K159" s="239"/>
      <c r="L159" s="339"/>
      <c r="M159" s="238"/>
      <c r="N159" s="238"/>
      <c r="O159" s="241"/>
      <c r="P159" s="241"/>
      <c r="Q159" s="242"/>
      <c r="R159" s="243"/>
      <c r="S159" s="243"/>
      <c r="T159" s="244">
        <f t="shared" si="143"/>
        <v>0</v>
      </c>
      <c r="U159" s="244">
        <f t="shared" si="151"/>
        <v>0</v>
      </c>
      <c r="V159" s="244">
        <f t="shared" si="152"/>
        <v>0</v>
      </c>
      <c r="W159" s="244">
        <f t="shared" si="153"/>
        <v>0</v>
      </c>
      <c r="X159" s="244">
        <f t="shared" si="154"/>
        <v>0</v>
      </c>
      <c r="Y159" s="244">
        <f t="shared" si="155"/>
        <v>0</v>
      </c>
      <c r="Z159" s="244">
        <f t="shared" si="156"/>
        <v>0</v>
      </c>
      <c r="AA159" s="244">
        <f t="shared" si="157"/>
        <v>0</v>
      </c>
      <c r="AB159" s="244">
        <f t="shared" si="158"/>
        <v>0</v>
      </c>
      <c r="AC159" s="244">
        <f t="shared" si="159"/>
        <v>0</v>
      </c>
      <c r="AD159" s="244">
        <f t="shared" si="144"/>
        <v>0</v>
      </c>
      <c r="AE159" s="244">
        <f t="shared" si="145"/>
        <v>0</v>
      </c>
      <c r="AF159" s="244">
        <f t="shared" si="146"/>
        <v>0</v>
      </c>
      <c r="AG159" s="278">
        <f t="shared" si="160"/>
        <v>0</v>
      </c>
      <c r="AH159" s="244">
        <f t="shared" si="147"/>
        <v>0</v>
      </c>
      <c r="AI159" s="244">
        <f t="shared" si="148"/>
        <v>0</v>
      </c>
      <c r="AJ159" s="244">
        <f t="shared" si="161"/>
        <v>0</v>
      </c>
      <c r="AK159" s="244">
        <f t="shared" si="162"/>
        <v>0</v>
      </c>
      <c r="AL159" s="244">
        <f t="shared" si="163"/>
        <v>0</v>
      </c>
      <c r="AM159" s="244">
        <f t="shared" si="164"/>
        <v>0</v>
      </c>
      <c r="AN159" s="244">
        <f t="shared" si="165"/>
        <v>0</v>
      </c>
      <c r="AO159" s="244">
        <f t="shared" si="166"/>
        <v>0</v>
      </c>
      <c r="AP159" s="244">
        <f t="shared" si="167"/>
        <v>0</v>
      </c>
      <c r="AQ159" s="244">
        <f t="shared" si="168"/>
        <v>0</v>
      </c>
      <c r="AR159" s="244">
        <f t="shared" si="169"/>
        <v>0</v>
      </c>
      <c r="AS159" s="278">
        <f t="shared" si="149"/>
        <v>0</v>
      </c>
      <c r="AT159" s="264"/>
      <c r="BA159" s="341" t="s">
        <v>541</v>
      </c>
    </row>
    <row r="160" spans="2:87">
      <c r="B160" s="236">
        <f t="shared" si="170"/>
        <v>17</v>
      </c>
      <c r="C160" s="237"/>
      <c r="D160" s="238"/>
      <c r="E160" s="238"/>
      <c r="F160" s="238"/>
      <c r="G160" s="399">
        <f t="shared" si="150"/>
        <v>0</v>
      </c>
      <c r="H160" s="238"/>
      <c r="I160" s="239"/>
      <c r="J160" s="240">
        <f t="shared" si="142"/>
        <v>0</v>
      </c>
      <c r="K160" s="239"/>
      <c r="L160" s="339"/>
      <c r="M160" s="238"/>
      <c r="N160" s="238"/>
      <c r="O160" s="241"/>
      <c r="P160" s="241"/>
      <c r="Q160" s="242"/>
      <c r="R160" s="243"/>
      <c r="S160" s="243"/>
      <c r="T160" s="244">
        <f t="shared" si="143"/>
        <v>0</v>
      </c>
      <c r="U160" s="244">
        <f t="shared" si="151"/>
        <v>0</v>
      </c>
      <c r="V160" s="244">
        <f t="shared" si="152"/>
        <v>0</v>
      </c>
      <c r="W160" s="244">
        <f t="shared" si="153"/>
        <v>0</v>
      </c>
      <c r="X160" s="244">
        <f t="shared" si="154"/>
        <v>0</v>
      </c>
      <c r="Y160" s="244">
        <f t="shared" si="155"/>
        <v>0</v>
      </c>
      <c r="Z160" s="244">
        <f t="shared" si="156"/>
        <v>0</v>
      </c>
      <c r="AA160" s="244">
        <f t="shared" si="157"/>
        <v>0</v>
      </c>
      <c r="AB160" s="244">
        <f t="shared" si="158"/>
        <v>0</v>
      </c>
      <c r="AC160" s="244">
        <f t="shared" si="159"/>
        <v>0</v>
      </c>
      <c r="AD160" s="244">
        <f t="shared" si="144"/>
        <v>0</v>
      </c>
      <c r="AE160" s="244">
        <f t="shared" si="145"/>
        <v>0</v>
      </c>
      <c r="AF160" s="244">
        <f t="shared" si="146"/>
        <v>0</v>
      </c>
      <c r="AG160" s="278">
        <f t="shared" si="160"/>
        <v>0</v>
      </c>
      <c r="AH160" s="244">
        <f t="shared" si="147"/>
        <v>0</v>
      </c>
      <c r="AI160" s="244">
        <f t="shared" si="148"/>
        <v>0</v>
      </c>
      <c r="AJ160" s="244">
        <f t="shared" si="161"/>
        <v>0</v>
      </c>
      <c r="AK160" s="244">
        <f t="shared" si="162"/>
        <v>0</v>
      </c>
      <c r="AL160" s="244">
        <f t="shared" si="163"/>
        <v>0</v>
      </c>
      <c r="AM160" s="244">
        <f t="shared" si="164"/>
        <v>0</v>
      </c>
      <c r="AN160" s="244">
        <f t="shared" si="165"/>
        <v>0</v>
      </c>
      <c r="AO160" s="244">
        <f t="shared" si="166"/>
        <v>0</v>
      </c>
      <c r="AP160" s="244">
        <f t="shared" si="167"/>
        <v>0</v>
      </c>
      <c r="AQ160" s="244">
        <f t="shared" si="168"/>
        <v>0</v>
      </c>
      <c r="AR160" s="244">
        <f t="shared" si="169"/>
        <v>0</v>
      </c>
      <c r="AS160" s="278">
        <f t="shared" si="149"/>
        <v>0</v>
      </c>
      <c r="AT160" s="264"/>
      <c r="BA160" s="6" t="s">
        <v>542</v>
      </c>
      <c r="BB160" s="6"/>
    </row>
    <row r="161" spans="2:54">
      <c r="B161" s="236">
        <f t="shared" si="170"/>
        <v>18</v>
      </c>
      <c r="C161" s="237"/>
      <c r="D161" s="238"/>
      <c r="E161" s="238"/>
      <c r="F161" s="238"/>
      <c r="G161" s="399">
        <f t="shared" si="150"/>
        <v>0</v>
      </c>
      <c r="H161" s="238"/>
      <c r="I161" s="239"/>
      <c r="J161" s="240">
        <f t="shared" si="142"/>
        <v>0</v>
      </c>
      <c r="K161" s="239"/>
      <c r="L161" s="339"/>
      <c r="M161" s="238"/>
      <c r="N161" s="238"/>
      <c r="O161" s="241"/>
      <c r="P161" s="241"/>
      <c r="Q161" s="242"/>
      <c r="R161" s="243"/>
      <c r="S161" s="243"/>
      <c r="T161" s="244">
        <f t="shared" si="143"/>
        <v>0</v>
      </c>
      <c r="U161" s="244">
        <f t="shared" si="151"/>
        <v>0</v>
      </c>
      <c r="V161" s="244">
        <f t="shared" si="152"/>
        <v>0</v>
      </c>
      <c r="W161" s="244">
        <f t="shared" si="153"/>
        <v>0</v>
      </c>
      <c r="X161" s="244">
        <f t="shared" si="154"/>
        <v>0</v>
      </c>
      <c r="Y161" s="244">
        <f t="shared" si="155"/>
        <v>0</v>
      </c>
      <c r="Z161" s="244">
        <f t="shared" si="156"/>
        <v>0</v>
      </c>
      <c r="AA161" s="244">
        <f t="shared" si="157"/>
        <v>0</v>
      </c>
      <c r="AB161" s="244">
        <f t="shared" si="158"/>
        <v>0</v>
      </c>
      <c r="AC161" s="244">
        <f t="shared" si="159"/>
        <v>0</v>
      </c>
      <c r="AD161" s="244">
        <f t="shared" si="144"/>
        <v>0</v>
      </c>
      <c r="AE161" s="244">
        <f t="shared" si="145"/>
        <v>0</v>
      </c>
      <c r="AF161" s="244">
        <f t="shared" si="146"/>
        <v>0</v>
      </c>
      <c r="AG161" s="278">
        <f t="shared" si="160"/>
        <v>0</v>
      </c>
      <c r="AH161" s="244">
        <f t="shared" si="147"/>
        <v>0</v>
      </c>
      <c r="AI161" s="244">
        <f t="shared" si="148"/>
        <v>0</v>
      </c>
      <c r="AJ161" s="244">
        <f t="shared" si="161"/>
        <v>0</v>
      </c>
      <c r="AK161" s="244">
        <f t="shared" si="162"/>
        <v>0</v>
      </c>
      <c r="AL161" s="244">
        <f t="shared" si="163"/>
        <v>0</v>
      </c>
      <c r="AM161" s="244">
        <f t="shared" si="164"/>
        <v>0</v>
      </c>
      <c r="AN161" s="244">
        <f t="shared" si="165"/>
        <v>0</v>
      </c>
      <c r="AO161" s="244">
        <f t="shared" si="166"/>
        <v>0</v>
      </c>
      <c r="AP161" s="244">
        <f t="shared" si="167"/>
        <v>0</v>
      </c>
      <c r="AQ161" s="244">
        <f t="shared" si="168"/>
        <v>0</v>
      </c>
      <c r="AR161" s="244">
        <f t="shared" si="169"/>
        <v>0</v>
      </c>
      <c r="AS161" s="278">
        <f t="shared" si="149"/>
        <v>0</v>
      </c>
      <c r="AT161" s="264"/>
      <c r="BA161" s="6" t="s">
        <v>519</v>
      </c>
      <c r="BB161" s="6" t="s">
        <v>543</v>
      </c>
    </row>
    <row r="162" spans="2:54">
      <c r="B162" s="236">
        <f t="shared" si="170"/>
        <v>19</v>
      </c>
      <c r="C162" s="237"/>
      <c r="D162" s="238"/>
      <c r="E162" s="238"/>
      <c r="F162" s="238"/>
      <c r="G162" s="399">
        <f t="shared" si="150"/>
        <v>0</v>
      </c>
      <c r="H162" s="238"/>
      <c r="I162" s="239"/>
      <c r="J162" s="240">
        <f t="shared" si="142"/>
        <v>0</v>
      </c>
      <c r="K162" s="239"/>
      <c r="L162" s="339"/>
      <c r="M162" s="238"/>
      <c r="N162" s="238"/>
      <c r="O162" s="241"/>
      <c r="P162" s="241"/>
      <c r="Q162" s="242"/>
      <c r="R162" s="243"/>
      <c r="S162" s="243"/>
      <c r="T162" s="244">
        <f t="shared" si="143"/>
        <v>0</v>
      </c>
      <c r="U162" s="244">
        <f t="shared" si="151"/>
        <v>0</v>
      </c>
      <c r="V162" s="244">
        <f t="shared" si="152"/>
        <v>0</v>
      </c>
      <c r="W162" s="244">
        <f t="shared" si="153"/>
        <v>0</v>
      </c>
      <c r="X162" s="244">
        <f t="shared" si="154"/>
        <v>0</v>
      </c>
      <c r="Y162" s="244">
        <f t="shared" si="155"/>
        <v>0</v>
      </c>
      <c r="Z162" s="244">
        <f t="shared" si="156"/>
        <v>0</v>
      </c>
      <c r="AA162" s="244">
        <f t="shared" si="157"/>
        <v>0</v>
      </c>
      <c r="AB162" s="244">
        <f t="shared" si="158"/>
        <v>0</v>
      </c>
      <c r="AC162" s="244">
        <f t="shared" si="159"/>
        <v>0</v>
      </c>
      <c r="AD162" s="244">
        <f t="shared" si="144"/>
        <v>0</v>
      </c>
      <c r="AE162" s="244">
        <f t="shared" si="145"/>
        <v>0</v>
      </c>
      <c r="AF162" s="244">
        <f t="shared" si="146"/>
        <v>0</v>
      </c>
      <c r="AG162" s="278">
        <f t="shared" si="160"/>
        <v>0</v>
      </c>
      <c r="AH162" s="244">
        <f t="shared" si="147"/>
        <v>0</v>
      </c>
      <c r="AI162" s="244">
        <f t="shared" si="148"/>
        <v>0</v>
      </c>
      <c r="AJ162" s="244">
        <f t="shared" si="161"/>
        <v>0</v>
      </c>
      <c r="AK162" s="244">
        <f t="shared" si="162"/>
        <v>0</v>
      </c>
      <c r="AL162" s="244">
        <f t="shared" si="163"/>
        <v>0</v>
      </c>
      <c r="AM162" s="244">
        <f t="shared" si="164"/>
        <v>0</v>
      </c>
      <c r="AN162" s="244">
        <f t="shared" si="165"/>
        <v>0</v>
      </c>
      <c r="AO162" s="244">
        <f t="shared" si="166"/>
        <v>0</v>
      </c>
      <c r="AP162" s="244">
        <f t="shared" si="167"/>
        <v>0</v>
      </c>
      <c r="AQ162" s="244">
        <f t="shared" si="168"/>
        <v>0</v>
      </c>
      <c r="AR162" s="244">
        <f t="shared" si="169"/>
        <v>0</v>
      </c>
      <c r="AS162" s="278">
        <f t="shared" si="149"/>
        <v>0</v>
      </c>
      <c r="AT162" s="264"/>
      <c r="BA162" s="6" t="s">
        <v>523</v>
      </c>
      <c r="BB162" s="6" t="s">
        <v>543</v>
      </c>
    </row>
    <row r="163" spans="2:54">
      <c r="B163" s="236">
        <f t="shared" si="170"/>
        <v>20</v>
      </c>
      <c r="C163" s="237"/>
      <c r="D163" s="238"/>
      <c r="E163" s="238"/>
      <c r="F163" s="238"/>
      <c r="G163" s="399">
        <f t="shared" si="150"/>
        <v>0</v>
      </c>
      <c r="H163" s="238"/>
      <c r="I163" s="239"/>
      <c r="J163" s="240">
        <f t="shared" si="142"/>
        <v>0</v>
      </c>
      <c r="K163" s="239"/>
      <c r="L163" s="339"/>
      <c r="M163" s="238"/>
      <c r="N163" s="238"/>
      <c r="O163" s="241"/>
      <c r="P163" s="241"/>
      <c r="Q163" s="242"/>
      <c r="R163" s="243"/>
      <c r="S163" s="243"/>
      <c r="T163" s="244">
        <f t="shared" si="143"/>
        <v>0</v>
      </c>
      <c r="U163" s="244">
        <f t="shared" si="151"/>
        <v>0</v>
      </c>
      <c r="V163" s="244">
        <f t="shared" si="152"/>
        <v>0</v>
      </c>
      <c r="W163" s="244">
        <f t="shared" si="153"/>
        <v>0</v>
      </c>
      <c r="X163" s="244">
        <f t="shared" si="154"/>
        <v>0</v>
      </c>
      <c r="Y163" s="244">
        <f t="shared" si="155"/>
        <v>0</v>
      </c>
      <c r="Z163" s="244">
        <f t="shared" si="156"/>
        <v>0</v>
      </c>
      <c r="AA163" s="244">
        <f t="shared" si="157"/>
        <v>0</v>
      </c>
      <c r="AB163" s="244">
        <f t="shared" si="158"/>
        <v>0</v>
      </c>
      <c r="AC163" s="244">
        <f t="shared" si="159"/>
        <v>0</v>
      </c>
      <c r="AD163" s="244">
        <f t="shared" si="144"/>
        <v>0</v>
      </c>
      <c r="AE163" s="244">
        <f t="shared" si="145"/>
        <v>0</v>
      </c>
      <c r="AF163" s="244">
        <f t="shared" si="146"/>
        <v>0</v>
      </c>
      <c r="AG163" s="278">
        <f t="shared" si="160"/>
        <v>0</v>
      </c>
      <c r="AH163" s="244">
        <f t="shared" si="147"/>
        <v>0</v>
      </c>
      <c r="AI163" s="244">
        <f t="shared" si="148"/>
        <v>0</v>
      </c>
      <c r="AJ163" s="244">
        <f t="shared" si="161"/>
        <v>0</v>
      </c>
      <c r="AK163" s="244">
        <f t="shared" si="162"/>
        <v>0</v>
      </c>
      <c r="AL163" s="244">
        <f t="shared" si="163"/>
        <v>0</v>
      </c>
      <c r="AM163" s="244">
        <f t="shared" si="164"/>
        <v>0</v>
      </c>
      <c r="AN163" s="244">
        <f t="shared" si="165"/>
        <v>0</v>
      </c>
      <c r="AO163" s="244">
        <f t="shared" si="166"/>
        <v>0</v>
      </c>
      <c r="AP163" s="244">
        <f t="shared" si="167"/>
        <v>0</v>
      </c>
      <c r="AQ163" s="244">
        <f t="shared" si="168"/>
        <v>0</v>
      </c>
      <c r="AR163" s="244">
        <f t="shared" si="169"/>
        <v>0</v>
      </c>
      <c r="AS163" s="278">
        <f t="shared" si="149"/>
        <v>0</v>
      </c>
      <c r="AT163" s="264"/>
      <c r="BA163" s="6" t="s">
        <v>527</v>
      </c>
      <c r="BB163" s="6" t="s">
        <v>543</v>
      </c>
    </row>
    <row r="164" spans="2:54">
      <c r="B164" s="236">
        <f t="shared" si="170"/>
        <v>21</v>
      </c>
      <c r="C164" s="237"/>
      <c r="D164" s="238"/>
      <c r="E164" s="238"/>
      <c r="F164" s="238"/>
      <c r="G164" s="399">
        <f t="shared" si="150"/>
        <v>0</v>
      </c>
      <c r="H164" s="238"/>
      <c r="I164" s="239"/>
      <c r="J164" s="240">
        <f t="shared" si="142"/>
        <v>0</v>
      </c>
      <c r="K164" s="239"/>
      <c r="L164" s="339"/>
      <c r="M164" s="238"/>
      <c r="N164" s="238"/>
      <c r="O164" s="241"/>
      <c r="P164" s="241"/>
      <c r="Q164" s="242"/>
      <c r="R164" s="243"/>
      <c r="S164" s="243"/>
      <c r="T164" s="244">
        <f t="shared" si="143"/>
        <v>0</v>
      </c>
      <c r="U164" s="244">
        <f t="shared" si="151"/>
        <v>0</v>
      </c>
      <c r="V164" s="244">
        <f t="shared" si="152"/>
        <v>0</v>
      </c>
      <c r="W164" s="244">
        <f t="shared" si="153"/>
        <v>0</v>
      </c>
      <c r="X164" s="244">
        <f t="shared" si="154"/>
        <v>0</v>
      </c>
      <c r="Y164" s="244">
        <f t="shared" si="155"/>
        <v>0</v>
      </c>
      <c r="Z164" s="244">
        <f t="shared" si="156"/>
        <v>0</v>
      </c>
      <c r="AA164" s="244">
        <f t="shared" si="157"/>
        <v>0</v>
      </c>
      <c r="AB164" s="244">
        <f t="shared" si="158"/>
        <v>0</v>
      </c>
      <c r="AC164" s="244">
        <f t="shared" si="159"/>
        <v>0</v>
      </c>
      <c r="AD164" s="244">
        <f t="shared" si="144"/>
        <v>0</v>
      </c>
      <c r="AE164" s="244">
        <f t="shared" si="145"/>
        <v>0</v>
      </c>
      <c r="AF164" s="244">
        <f t="shared" si="146"/>
        <v>0</v>
      </c>
      <c r="AG164" s="278">
        <f t="shared" si="160"/>
        <v>0</v>
      </c>
      <c r="AH164" s="244">
        <f t="shared" si="147"/>
        <v>0</v>
      </c>
      <c r="AI164" s="244">
        <f t="shared" si="148"/>
        <v>0</v>
      </c>
      <c r="AJ164" s="244">
        <f t="shared" si="161"/>
        <v>0</v>
      </c>
      <c r="AK164" s="244">
        <f t="shared" si="162"/>
        <v>0</v>
      </c>
      <c r="AL164" s="244">
        <f t="shared" si="163"/>
        <v>0</v>
      </c>
      <c r="AM164" s="244">
        <f t="shared" si="164"/>
        <v>0</v>
      </c>
      <c r="AN164" s="244">
        <f t="shared" si="165"/>
        <v>0</v>
      </c>
      <c r="AO164" s="244">
        <f t="shared" si="166"/>
        <v>0</v>
      </c>
      <c r="AP164" s="244">
        <f t="shared" si="167"/>
        <v>0</v>
      </c>
      <c r="AQ164" s="244">
        <f t="shared" si="168"/>
        <v>0</v>
      </c>
      <c r="AR164" s="244">
        <f t="shared" si="169"/>
        <v>0</v>
      </c>
      <c r="AS164" s="278">
        <f t="shared" si="149"/>
        <v>0</v>
      </c>
      <c r="AT164" s="264"/>
      <c r="BA164" s="6" t="s">
        <v>529</v>
      </c>
      <c r="BB164" s="6" t="s">
        <v>544</v>
      </c>
    </row>
    <row r="165" spans="2:54">
      <c r="B165" s="236">
        <f t="shared" si="170"/>
        <v>22</v>
      </c>
      <c r="C165" s="237"/>
      <c r="D165" s="238"/>
      <c r="E165" s="238"/>
      <c r="F165" s="238"/>
      <c r="G165" s="399">
        <f t="shared" si="150"/>
        <v>0</v>
      </c>
      <c r="H165" s="238"/>
      <c r="I165" s="239"/>
      <c r="J165" s="240">
        <f t="shared" si="142"/>
        <v>0</v>
      </c>
      <c r="K165" s="239"/>
      <c r="L165" s="339"/>
      <c r="M165" s="238"/>
      <c r="N165" s="238"/>
      <c r="O165" s="241"/>
      <c r="P165" s="241"/>
      <c r="Q165" s="242"/>
      <c r="R165" s="243"/>
      <c r="S165" s="243"/>
      <c r="T165" s="244">
        <f t="shared" si="143"/>
        <v>0</v>
      </c>
      <c r="U165" s="244">
        <f t="shared" si="151"/>
        <v>0</v>
      </c>
      <c r="V165" s="244">
        <f t="shared" si="152"/>
        <v>0</v>
      </c>
      <c r="W165" s="244">
        <f t="shared" si="153"/>
        <v>0</v>
      </c>
      <c r="X165" s="244">
        <f t="shared" si="154"/>
        <v>0</v>
      </c>
      <c r="Y165" s="244">
        <f t="shared" si="155"/>
        <v>0</v>
      </c>
      <c r="Z165" s="244">
        <f t="shared" si="156"/>
        <v>0</v>
      </c>
      <c r="AA165" s="244">
        <f t="shared" si="157"/>
        <v>0</v>
      </c>
      <c r="AB165" s="244">
        <f t="shared" si="158"/>
        <v>0</v>
      </c>
      <c r="AC165" s="244">
        <f t="shared" si="159"/>
        <v>0</v>
      </c>
      <c r="AD165" s="244">
        <f t="shared" si="144"/>
        <v>0</v>
      </c>
      <c r="AE165" s="244">
        <f t="shared" si="145"/>
        <v>0</v>
      </c>
      <c r="AF165" s="244">
        <f t="shared" si="146"/>
        <v>0</v>
      </c>
      <c r="AG165" s="278">
        <f t="shared" si="160"/>
        <v>0</v>
      </c>
      <c r="AH165" s="244">
        <f t="shared" si="147"/>
        <v>0</v>
      </c>
      <c r="AI165" s="244">
        <f t="shared" si="148"/>
        <v>0</v>
      </c>
      <c r="AJ165" s="244">
        <f t="shared" si="161"/>
        <v>0</v>
      </c>
      <c r="AK165" s="244">
        <f t="shared" si="162"/>
        <v>0</v>
      </c>
      <c r="AL165" s="244">
        <f t="shared" si="163"/>
        <v>0</v>
      </c>
      <c r="AM165" s="244">
        <f t="shared" si="164"/>
        <v>0</v>
      </c>
      <c r="AN165" s="244">
        <f t="shared" si="165"/>
        <v>0</v>
      </c>
      <c r="AO165" s="244">
        <f t="shared" si="166"/>
        <v>0</v>
      </c>
      <c r="AP165" s="244">
        <f t="shared" si="167"/>
        <v>0</v>
      </c>
      <c r="AQ165" s="244">
        <f t="shared" si="168"/>
        <v>0</v>
      </c>
      <c r="AR165" s="244">
        <f t="shared" si="169"/>
        <v>0</v>
      </c>
      <c r="AS165" s="278">
        <f t="shared" si="149"/>
        <v>0</v>
      </c>
      <c r="AT165" s="264"/>
      <c r="BA165" s="6" t="s">
        <v>532</v>
      </c>
      <c r="BB165" s="6" t="s">
        <v>545</v>
      </c>
    </row>
    <row r="166" spans="2:54">
      <c r="B166" s="236">
        <f t="shared" si="170"/>
        <v>23</v>
      </c>
      <c r="C166" s="237"/>
      <c r="D166" s="238"/>
      <c r="E166" s="238"/>
      <c r="F166" s="238"/>
      <c r="G166" s="399">
        <f t="shared" si="150"/>
        <v>0</v>
      </c>
      <c r="H166" s="238"/>
      <c r="I166" s="239"/>
      <c r="J166" s="240">
        <f t="shared" si="142"/>
        <v>0</v>
      </c>
      <c r="K166" s="239"/>
      <c r="L166" s="339"/>
      <c r="M166" s="238"/>
      <c r="N166" s="238"/>
      <c r="O166" s="241"/>
      <c r="P166" s="241"/>
      <c r="Q166" s="242"/>
      <c r="R166" s="243"/>
      <c r="S166" s="243"/>
      <c r="T166" s="244">
        <f t="shared" si="143"/>
        <v>0</v>
      </c>
      <c r="U166" s="244">
        <f t="shared" si="151"/>
        <v>0</v>
      </c>
      <c r="V166" s="244">
        <f t="shared" si="152"/>
        <v>0</v>
      </c>
      <c r="W166" s="244">
        <f t="shared" si="153"/>
        <v>0</v>
      </c>
      <c r="X166" s="244">
        <f t="shared" si="154"/>
        <v>0</v>
      </c>
      <c r="Y166" s="244">
        <f t="shared" si="155"/>
        <v>0</v>
      </c>
      <c r="Z166" s="244">
        <f t="shared" si="156"/>
        <v>0</v>
      </c>
      <c r="AA166" s="244">
        <f t="shared" si="157"/>
        <v>0</v>
      </c>
      <c r="AB166" s="244">
        <f t="shared" si="158"/>
        <v>0</v>
      </c>
      <c r="AC166" s="244">
        <f t="shared" si="159"/>
        <v>0</v>
      </c>
      <c r="AD166" s="244">
        <f t="shared" si="144"/>
        <v>0</v>
      </c>
      <c r="AE166" s="244">
        <f t="shared" si="145"/>
        <v>0</v>
      </c>
      <c r="AF166" s="244">
        <f t="shared" si="146"/>
        <v>0</v>
      </c>
      <c r="AG166" s="278">
        <f t="shared" si="160"/>
        <v>0</v>
      </c>
      <c r="AH166" s="244">
        <f t="shared" si="147"/>
        <v>0</v>
      </c>
      <c r="AI166" s="244">
        <f t="shared" si="148"/>
        <v>0</v>
      </c>
      <c r="AJ166" s="244">
        <f t="shared" si="161"/>
        <v>0</v>
      </c>
      <c r="AK166" s="244">
        <f t="shared" si="162"/>
        <v>0</v>
      </c>
      <c r="AL166" s="244">
        <f t="shared" si="163"/>
        <v>0</v>
      </c>
      <c r="AM166" s="244">
        <f t="shared" si="164"/>
        <v>0</v>
      </c>
      <c r="AN166" s="244">
        <f t="shared" si="165"/>
        <v>0</v>
      </c>
      <c r="AO166" s="244">
        <f t="shared" si="166"/>
        <v>0</v>
      </c>
      <c r="AP166" s="244">
        <f t="shared" si="167"/>
        <v>0</v>
      </c>
      <c r="AQ166" s="244">
        <f t="shared" si="168"/>
        <v>0</v>
      </c>
      <c r="AR166" s="244">
        <f t="shared" si="169"/>
        <v>0</v>
      </c>
      <c r="AS166" s="278">
        <f t="shared" si="149"/>
        <v>0</v>
      </c>
      <c r="AT166" s="264"/>
      <c r="BA166" s="6" t="s">
        <v>535</v>
      </c>
      <c r="BB166" s="6" t="s">
        <v>546</v>
      </c>
    </row>
    <row r="167" spans="2:54">
      <c r="B167" s="236">
        <f t="shared" si="170"/>
        <v>24</v>
      </c>
      <c r="C167" s="237"/>
      <c r="D167" s="238"/>
      <c r="E167" s="238"/>
      <c r="F167" s="238"/>
      <c r="G167" s="399">
        <f t="shared" si="150"/>
        <v>0</v>
      </c>
      <c r="H167" s="238"/>
      <c r="I167" s="239"/>
      <c r="J167" s="240">
        <f t="shared" si="142"/>
        <v>0</v>
      </c>
      <c r="K167" s="239"/>
      <c r="L167" s="339"/>
      <c r="M167" s="238"/>
      <c r="N167" s="238"/>
      <c r="O167" s="241"/>
      <c r="P167" s="241"/>
      <c r="Q167" s="242"/>
      <c r="R167" s="243"/>
      <c r="S167" s="243"/>
      <c r="T167" s="244">
        <f t="shared" si="143"/>
        <v>0</v>
      </c>
      <c r="U167" s="244">
        <f t="shared" si="151"/>
        <v>0</v>
      </c>
      <c r="V167" s="244">
        <f t="shared" si="152"/>
        <v>0</v>
      </c>
      <c r="W167" s="244">
        <f t="shared" si="153"/>
        <v>0</v>
      </c>
      <c r="X167" s="244">
        <f t="shared" si="154"/>
        <v>0</v>
      </c>
      <c r="Y167" s="244">
        <f t="shared" si="155"/>
        <v>0</v>
      </c>
      <c r="Z167" s="244">
        <f t="shared" si="156"/>
        <v>0</v>
      </c>
      <c r="AA167" s="244">
        <f t="shared" si="157"/>
        <v>0</v>
      </c>
      <c r="AB167" s="244">
        <f t="shared" si="158"/>
        <v>0</v>
      </c>
      <c r="AC167" s="244">
        <f t="shared" si="159"/>
        <v>0</v>
      </c>
      <c r="AD167" s="244">
        <f t="shared" si="144"/>
        <v>0</v>
      </c>
      <c r="AE167" s="244">
        <f t="shared" si="145"/>
        <v>0</v>
      </c>
      <c r="AF167" s="244">
        <f t="shared" si="146"/>
        <v>0</v>
      </c>
      <c r="AG167" s="278">
        <f t="shared" si="160"/>
        <v>0</v>
      </c>
      <c r="AH167" s="244">
        <f t="shared" si="147"/>
        <v>0</v>
      </c>
      <c r="AI167" s="244">
        <f t="shared" si="148"/>
        <v>0</v>
      </c>
      <c r="AJ167" s="244">
        <f t="shared" si="161"/>
        <v>0</v>
      </c>
      <c r="AK167" s="244">
        <f t="shared" si="162"/>
        <v>0</v>
      </c>
      <c r="AL167" s="244">
        <f t="shared" si="163"/>
        <v>0</v>
      </c>
      <c r="AM167" s="244">
        <f t="shared" si="164"/>
        <v>0</v>
      </c>
      <c r="AN167" s="244">
        <f t="shared" si="165"/>
        <v>0</v>
      </c>
      <c r="AO167" s="244">
        <f t="shared" si="166"/>
        <v>0</v>
      </c>
      <c r="AP167" s="244">
        <f t="shared" si="167"/>
        <v>0</v>
      </c>
      <c r="AQ167" s="244">
        <f t="shared" si="168"/>
        <v>0</v>
      </c>
      <c r="AR167" s="244">
        <f t="shared" si="169"/>
        <v>0</v>
      </c>
      <c r="AS167" s="278">
        <f t="shared" si="149"/>
        <v>0</v>
      </c>
      <c r="AT167" s="264"/>
      <c r="BA167" s="6" t="s">
        <v>537</v>
      </c>
      <c r="BB167" s="6" t="s">
        <v>547</v>
      </c>
    </row>
    <row r="168" spans="2:54">
      <c r="B168" s="245">
        <f t="shared" si="170"/>
        <v>25</v>
      </c>
      <c r="C168" s="246"/>
      <c r="D168" s="247"/>
      <c r="E168" s="247"/>
      <c r="F168" s="247"/>
      <c r="G168" s="400">
        <f t="shared" si="150"/>
        <v>0</v>
      </c>
      <c r="H168" s="247"/>
      <c r="I168" s="248"/>
      <c r="J168" s="249">
        <f t="shared" si="142"/>
        <v>0</v>
      </c>
      <c r="K168" s="248"/>
      <c r="L168" s="340"/>
      <c r="M168" s="247"/>
      <c r="N168" s="247"/>
      <c r="O168" s="250"/>
      <c r="P168" s="250"/>
      <c r="Q168" s="251"/>
      <c r="R168" s="252"/>
      <c r="S168" s="252"/>
      <c r="T168" s="253">
        <f t="shared" si="143"/>
        <v>0</v>
      </c>
      <c r="U168" s="253">
        <f t="shared" si="151"/>
        <v>0</v>
      </c>
      <c r="V168" s="253">
        <f t="shared" si="152"/>
        <v>0</v>
      </c>
      <c r="W168" s="253">
        <f t="shared" si="153"/>
        <v>0</v>
      </c>
      <c r="X168" s="253">
        <f t="shared" si="154"/>
        <v>0</v>
      </c>
      <c r="Y168" s="253">
        <f t="shared" si="155"/>
        <v>0</v>
      </c>
      <c r="Z168" s="253">
        <f t="shared" si="156"/>
        <v>0</v>
      </c>
      <c r="AA168" s="253">
        <f t="shared" si="157"/>
        <v>0</v>
      </c>
      <c r="AB168" s="253">
        <f t="shared" si="158"/>
        <v>0</v>
      </c>
      <c r="AC168" s="253">
        <f t="shared" si="159"/>
        <v>0</v>
      </c>
      <c r="AD168" s="253">
        <f t="shared" si="144"/>
        <v>0</v>
      </c>
      <c r="AE168" s="253">
        <f t="shared" si="145"/>
        <v>0</v>
      </c>
      <c r="AF168" s="253">
        <f t="shared" si="146"/>
        <v>0</v>
      </c>
      <c r="AG168" s="279">
        <f t="shared" si="160"/>
        <v>0</v>
      </c>
      <c r="AH168" s="253">
        <f t="shared" si="147"/>
        <v>0</v>
      </c>
      <c r="AI168" s="253">
        <f t="shared" si="148"/>
        <v>0</v>
      </c>
      <c r="AJ168" s="253">
        <f t="shared" si="161"/>
        <v>0</v>
      </c>
      <c r="AK168" s="253">
        <f t="shared" si="162"/>
        <v>0</v>
      </c>
      <c r="AL168" s="253">
        <f t="shared" si="163"/>
        <v>0</v>
      </c>
      <c r="AM168" s="253">
        <f t="shared" si="164"/>
        <v>0</v>
      </c>
      <c r="AN168" s="253">
        <f t="shared" si="165"/>
        <v>0</v>
      </c>
      <c r="AO168" s="253">
        <f t="shared" si="166"/>
        <v>0</v>
      </c>
      <c r="AP168" s="253">
        <f t="shared" si="167"/>
        <v>0</v>
      </c>
      <c r="AQ168" s="253">
        <f t="shared" si="168"/>
        <v>0</v>
      </c>
      <c r="AR168" s="253">
        <f t="shared" si="169"/>
        <v>0</v>
      </c>
      <c r="AS168" s="279">
        <f t="shared" si="149"/>
        <v>0</v>
      </c>
      <c r="AT168" s="269"/>
      <c r="BA168" s="6" t="s">
        <v>539</v>
      </c>
      <c r="BB168" s="6" t="s">
        <v>548</v>
      </c>
    </row>
    <row r="169" spans="2:54">
      <c r="B169" s="75" t="s">
        <v>225</v>
      </c>
      <c r="C169" s="60"/>
      <c r="D169" s="75">
        <f>SUM(D144:D168)</f>
        <v>0</v>
      </c>
      <c r="E169" s="75"/>
      <c r="F169" s="75">
        <f>SUM(F144:F168)</f>
        <v>0</v>
      </c>
      <c r="G169" s="75">
        <f>SUM(G144:G168)</f>
        <v>0</v>
      </c>
      <c r="H169" s="60"/>
      <c r="I169" s="60"/>
      <c r="J169" s="29">
        <f>SUM(J144:J168)</f>
        <v>0</v>
      </c>
      <c r="K169" s="29">
        <f>SUM(K144:K168)</f>
        <v>0</v>
      </c>
      <c r="L169" s="28"/>
      <c r="M169" s="60"/>
      <c r="N169" s="60"/>
      <c r="O169" s="61"/>
      <c r="P169" s="62"/>
      <c r="Q169" s="62"/>
      <c r="R169" s="29">
        <f t="shared" ref="R169" si="172">SUM(T144:T168)</f>
        <v>0</v>
      </c>
      <c r="S169" s="29">
        <f t="shared" ref="S169" si="173">SUM(U144:U168)</f>
        <v>0</v>
      </c>
      <c r="T169" s="29">
        <f>SUM(T144:T168)</f>
        <v>0</v>
      </c>
      <c r="U169" s="29">
        <f t="shared" ref="U169" si="174">SUM(U144:U168)</f>
        <v>0</v>
      </c>
      <c r="V169" s="29">
        <f t="shared" ref="V169" si="175">SUM(V144:V168)</f>
        <v>0</v>
      </c>
      <c r="W169" s="29">
        <f t="shared" ref="W169:AI169" si="176">SUM(W144:W168)</f>
        <v>0</v>
      </c>
      <c r="X169" s="29">
        <f t="shared" si="176"/>
        <v>0</v>
      </c>
      <c r="Y169" s="29">
        <f t="shared" si="176"/>
        <v>0</v>
      </c>
      <c r="Z169" s="29">
        <f t="shared" si="176"/>
        <v>0</v>
      </c>
      <c r="AA169" s="29">
        <f t="shared" si="176"/>
        <v>0</v>
      </c>
      <c r="AB169" s="29">
        <f t="shared" si="176"/>
        <v>0</v>
      </c>
      <c r="AC169" s="29">
        <f t="shared" si="176"/>
        <v>0</v>
      </c>
      <c r="AD169" s="29">
        <f t="shared" si="176"/>
        <v>0</v>
      </c>
      <c r="AE169" s="256">
        <f t="shared" si="176"/>
        <v>0</v>
      </c>
      <c r="AF169" s="29">
        <f t="shared" si="176"/>
        <v>0</v>
      </c>
      <c r="AG169" s="29">
        <f t="shared" si="176"/>
        <v>0</v>
      </c>
      <c r="AH169" s="290">
        <f t="shared" si="176"/>
        <v>0</v>
      </c>
      <c r="AI169" s="29">
        <f t="shared" si="176"/>
        <v>0</v>
      </c>
      <c r="AJ169" s="29">
        <f t="shared" ref="AJ169:AK169" si="177">SUM(AJ144:AJ168)</f>
        <v>0</v>
      </c>
      <c r="AK169" s="29">
        <f t="shared" si="177"/>
        <v>0</v>
      </c>
      <c r="AL169" s="29">
        <f t="shared" ref="AL169:AS169" si="178">SUM(AL144:AL168)</f>
        <v>0</v>
      </c>
      <c r="AM169" s="29">
        <f t="shared" si="178"/>
        <v>0</v>
      </c>
      <c r="AN169" s="29">
        <f t="shared" si="178"/>
        <v>0</v>
      </c>
      <c r="AO169" s="29">
        <f t="shared" si="178"/>
        <v>0</v>
      </c>
      <c r="AP169" s="29">
        <f t="shared" si="178"/>
        <v>0</v>
      </c>
      <c r="AQ169" s="29">
        <f t="shared" si="178"/>
        <v>0</v>
      </c>
      <c r="AR169" s="29">
        <f t="shared" si="178"/>
        <v>0</v>
      </c>
      <c r="AS169" s="256">
        <f t="shared" si="178"/>
        <v>0</v>
      </c>
    </row>
    <row r="170" spans="2:54">
      <c r="AZ170" s="6" t="s">
        <v>549</v>
      </c>
    </row>
  </sheetData>
  <dataValidations count="8">
    <dataValidation type="list" allowBlank="1" showInputMessage="1" showErrorMessage="1" sqref="E18:E42" xr:uid="{99AB8734-C887-48DE-9E48-BB23B4C2E520}">
      <formula1>$Z$17:$Z$25</formula1>
    </dataValidation>
    <dataValidation type="list" allowBlank="1" showInputMessage="1" showErrorMessage="1" sqref="I115:O139" xr:uid="{8E97FB6F-08F2-4F1B-AC2A-9258DC35F7B7}">
      <formula1>$AO$116:$AO$118</formula1>
    </dataValidation>
    <dataValidation type="list" allowBlank="1" showInputMessage="1" showErrorMessage="1" sqref="V86:V110 I57:P81 R57:S81" xr:uid="{2E4B7B36-03B4-40D7-B4F5-97AC41E4E8F2}">
      <formula1>$BC$58:$BC$59</formula1>
    </dataValidation>
    <dataValidation type="list" allowBlank="1" showInputMessage="1" showErrorMessage="1" sqref="I86:T110 M144:R168" xr:uid="{74741857-1CDF-451C-B51D-7CCFC3334D3E}">
      <formula1>$BH$87:$BH$89</formula1>
    </dataValidation>
    <dataValidation type="list" allowBlank="1" showInputMessage="1" showErrorMessage="1" sqref="E57:E81" xr:uid="{FA863487-BD4D-4129-8AD8-407B06C0EF2B}">
      <formula1>$BC$62:$BC$63</formula1>
    </dataValidation>
    <dataValidation type="list" allowBlank="1" showInputMessage="1" showErrorMessage="1" sqref="E86:E110" xr:uid="{962599AB-A42F-404A-AC06-6086805ED13C}">
      <formula1>$BH$91:$BH$92</formula1>
    </dataValidation>
    <dataValidation type="list" allowBlank="1" showInputMessage="1" showErrorMessage="1" sqref="E115:E139" xr:uid="{BC62B6DB-D61C-466D-A82C-5733F045A334}">
      <formula1>$AO$120:$AO$121</formula1>
    </dataValidation>
    <dataValidation type="list" allowBlank="1" showInputMessage="1" showErrorMessage="1" sqref="H144:H168" xr:uid="{BFCACBE4-ABFC-4034-91BE-06E61FDC90A1}">
      <formula1>$AV$149:$AV$150</formula1>
    </dataValidation>
  </dataValidations>
  <pageMargins left="0.7" right="0.7" top="0.75" bottom="0.75" header="0.3" footer="0.3"/>
  <pageSetup orientation="portrait" horizontalDpi="300" verticalDpi="300"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38FB-B5AE-415A-9253-D9EF32DCEA6E}">
  <sheetPr codeName="Sheet4"/>
  <dimension ref="A1:Z413"/>
  <sheetViews>
    <sheetView showGridLines="0" zoomScale="75" zoomScaleNormal="75" workbookViewId="0"/>
  </sheetViews>
  <sheetFormatPr defaultRowHeight="15"/>
  <cols>
    <col min="1" max="1" width="1.42578125" customWidth="1"/>
    <col min="4" max="5" width="13.42578125" customWidth="1"/>
    <col min="6" max="6" width="18.85546875" customWidth="1"/>
    <col min="7" max="8" width="13.85546875" customWidth="1"/>
    <col min="9" max="9" width="16.7109375" customWidth="1"/>
    <col min="10" max="10" width="15.28515625" bestFit="1" customWidth="1"/>
    <col min="11" max="19" width="15.7109375" customWidth="1"/>
    <col min="21" max="21" width="6.42578125" customWidth="1"/>
    <col min="22" max="26" width="12.7109375" customWidth="1"/>
    <col min="27" max="27" width="19.140625" customWidth="1"/>
    <col min="28" max="28" width="25.85546875" customWidth="1"/>
  </cols>
  <sheetData>
    <row r="1" spans="1:26" ht="19.5" customHeight="1">
      <c r="B1" s="348" t="str">
        <f>IF(Summary!$C$1="","",Summary!$C$1)</f>
        <v/>
      </c>
      <c r="C1" s="349"/>
      <c r="D1" s="349"/>
      <c r="E1" s="349"/>
      <c r="F1" s="349"/>
      <c r="G1" s="349"/>
      <c r="H1" s="349"/>
      <c r="I1" s="349"/>
      <c r="J1" s="349"/>
      <c r="K1" s="349"/>
      <c r="L1" s="349"/>
      <c r="M1" s="349"/>
      <c r="N1" s="349"/>
      <c r="O1" s="349"/>
      <c r="P1" s="349"/>
      <c r="Q1" s="349"/>
      <c r="R1" s="349"/>
      <c r="S1" s="349"/>
    </row>
    <row r="2" spans="1:26" ht="24.75" customHeight="1">
      <c r="B2" s="10" t="s">
        <v>550</v>
      </c>
      <c r="F2" s="16"/>
      <c r="G2" s="98" t="s">
        <v>551</v>
      </c>
      <c r="H2" s="149"/>
      <c r="I2" s="99">
        <v>1</v>
      </c>
      <c r="J2" s="150"/>
      <c r="K2" s="151" t="s">
        <v>552</v>
      </c>
      <c r="L2" s="152">
        <v>0.1</v>
      </c>
      <c r="M2" s="60"/>
      <c r="N2" s="152">
        <v>0.1</v>
      </c>
      <c r="O2" s="60"/>
      <c r="P2" s="60"/>
      <c r="Q2" s="60"/>
      <c r="R2" s="60"/>
      <c r="S2" s="153"/>
    </row>
    <row r="3" spans="1:26">
      <c r="A3" s="1"/>
      <c r="B3" s="7" t="s">
        <v>212</v>
      </c>
      <c r="C3" s="7" t="s">
        <v>553</v>
      </c>
      <c r="D3" s="7" t="s">
        <v>554</v>
      </c>
      <c r="E3" s="7" t="s">
        <v>24</v>
      </c>
      <c r="F3" s="7" t="s">
        <v>555</v>
      </c>
      <c r="G3" s="7" t="s">
        <v>556</v>
      </c>
      <c r="H3" s="7" t="s">
        <v>557</v>
      </c>
      <c r="I3" s="7" t="s">
        <v>558</v>
      </c>
      <c r="J3" s="7" t="s">
        <v>559</v>
      </c>
      <c r="K3" s="9" t="s">
        <v>560</v>
      </c>
      <c r="L3" s="9" t="s">
        <v>561</v>
      </c>
      <c r="M3" s="9" t="s">
        <v>562</v>
      </c>
      <c r="N3" s="9" t="s">
        <v>563</v>
      </c>
      <c r="O3" s="7" t="s">
        <v>564</v>
      </c>
      <c r="P3" s="9" t="s">
        <v>565</v>
      </c>
      <c r="Q3" s="9" t="s">
        <v>566</v>
      </c>
      <c r="R3" s="7" t="s">
        <v>567</v>
      </c>
      <c r="S3" s="92" t="s">
        <v>568</v>
      </c>
      <c r="V3" s="35" t="s">
        <v>569</v>
      </c>
      <c r="W3" s="35" t="s">
        <v>24</v>
      </c>
      <c r="X3" s="35" t="s">
        <v>556</v>
      </c>
      <c r="Y3" s="35" t="s">
        <v>570</v>
      </c>
      <c r="Z3" s="35" t="s">
        <v>571</v>
      </c>
    </row>
    <row r="4" spans="1:26">
      <c r="B4" s="11">
        <v>1</v>
      </c>
      <c r="C4" s="37" t="s">
        <v>572</v>
      </c>
      <c r="D4" s="37" t="s">
        <v>573</v>
      </c>
      <c r="E4" s="37" t="s">
        <v>574</v>
      </c>
      <c r="F4" s="38">
        <v>0</v>
      </c>
      <c r="G4" s="37">
        <v>6</v>
      </c>
      <c r="H4" s="37" t="s">
        <v>448</v>
      </c>
      <c r="I4" s="37" t="s">
        <v>448</v>
      </c>
      <c r="J4" s="41">
        <f t="shared" ref="J4:J35" si="0">IF(F4="","",+$I$2*F4)</f>
        <v>0</v>
      </c>
      <c r="K4" s="26">
        <f>IF(OR($E4&lt;&gt;"CS",$H4&lt;&gt;"x"),0,INDEX($Y$4:$Y$14,MATCH($G4,$X$4:$X14,0),1))*J4*1.1</f>
        <v>0</v>
      </c>
      <c r="L4" s="26">
        <f t="shared" ref="L4:L67" si="1">K4*$L$2</f>
        <v>0</v>
      </c>
      <c r="M4" s="26">
        <f>IF($I4&lt;&gt;"x",0,INDEX($Y$27:$Y$37,MATCH($G4,$X$27:$X37,0),1))*J4*1.1</f>
        <v>0</v>
      </c>
      <c r="N4" s="26">
        <f t="shared" ref="N4:N67" si="2">M4*$N$2</f>
        <v>0</v>
      </c>
      <c r="O4" s="20">
        <f t="shared" ref="O4:O67" si="3">SUM(K4:N4)</f>
        <v>0</v>
      </c>
      <c r="P4" s="20">
        <f>IF(OR($E4&lt;&gt;"CS",$H4&lt;&gt;"x"),0,INDEX($Z$4:$Z$14,MATCH($G4,$X$4:$X14,0),1))*J4*1.1</f>
        <v>0</v>
      </c>
      <c r="Q4" s="26">
        <f>IF($I4&lt;&gt;"x",0,INDEX($Z$27:$Z$37,MATCH($G4,$X$27:$X37,0),1))*J4*1.1</f>
        <v>0</v>
      </c>
      <c r="R4" s="20">
        <f t="shared" ref="R4:R67" si="4">SUM(P4:Q4)</f>
        <v>0</v>
      </c>
      <c r="S4" s="86">
        <f t="shared" ref="S4:S67" si="5">R4+O4</f>
        <v>0</v>
      </c>
      <c r="V4" t="s">
        <v>574</v>
      </c>
      <c r="W4" t="s">
        <v>575</v>
      </c>
      <c r="X4">
        <v>0.75</v>
      </c>
      <c r="Y4" s="19">
        <v>2.1</v>
      </c>
      <c r="Z4" s="19">
        <v>10</v>
      </c>
    </row>
    <row r="5" spans="1:26">
      <c r="B5" s="14">
        <f t="shared" ref="B5:B68" si="6">1+B4</f>
        <v>2</v>
      </c>
      <c r="C5" s="37" t="s">
        <v>572</v>
      </c>
      <c r="D5" s="37" t="s">
        <v>573</v>
      </c>
      <c r="E5" s="37" t="s">
        <v>574</v>
      </c>
      <c r="F5" s="38">
        <v>0</v>
      </c>
      <c r="G5" s="37">
        <v>6</v>
      </c>
      <c r="H5" s="37" t="s">
        <v>448</v>
      </c>
      <c r="I5" s="37"/>
      <c r="J5" s="41">
        <f t="shared" si="0"/>
        <v>0</v>
      </c>
      <c r="K5" s="26">
        <f>IF(OR($E5&lt;&gt;"CS",$H5&lt;&gt;"x"),0,INDEX($Y$4:$Y$14,MATCH($G5,$X$4:$X15,0),1))*J5*1.1</f>
        <v>0</v>
      </c>
      <c r="L5" s="26">
        <f t="shared" si="1"/>
        <v>0</v>
      </c>
      <c r="M5" s="26">
        <f>IF($I5&lt;&gt;"x",0,INDEX($Y$27:$Y$37,MATCH($G5,$X$27:$X38,0),1))*J5*1.1</f>
        <v>0</v>
      </c>
      <c r="N5" s="26">
        <f t="shared" si="2"/>
        <v>0</v>
      </c>
      <c r="O5" s="20">
        <f t="shared" si="3"/>
        <v>0</v>
      </c>
      <c r="P5" s="20">
        <f>IF(OR($E5&lt;&gt;"CS",$H5&lt;&gt;"x"),0,INDEX($Z$4:$Z$14,MATCH($G5,$X$4:$X15,0),1))*J5*1.1</f>
        <v>0</v>
      </c>
      <c r="Q5" s="26">
        <f>IF($I5&lt;&gt;"x",0,INDEX($Z$27:$Z$37,MATCH($G5,$X$27:$X38,0),1))*J5*1.1</f>
        <v>0</v>
      </c>
      <c r="R5" s="20">
        <f t="shared" si="4"/>
        <v>0</v>
      </c>
      <c r="S5" s="86">
        <f t="shared" si="5"/>
        <v>0</v>
      </c>
      <c r="V5" t="s">
        <v>574</v>
      </c>
      <c r="W5" t="s">
        <v>575</v>
      </c>
      <c r="X5">
        <v>1</v>
      </c>
      <c r="Y5" s="19">
        <v>3.14</v>
      </c>
      <c r="Z5" s="19">
        <v>10</v>
      </c>
    </row>
    <row r="6" spans="1:26">
      <c r="B6" s="14">
        <f t="shared" si="6"/>
        <v>3</v>
      </c>
      <c r="C6" s="37" t="s">
        <v>572</v>
      </c>
      <c r="D6" s="37" t="s">
        <v>573</v>
      </c>
      <c r="E6" s="37" t="s">
        <v>574</v>
      </c>
      <c r="F6" s="38">
        <v>0</v>
      </c>
      <c r="G6" s="37">
        <v>2</v>
      </c>
      <c r="H6" s="37" t="s">
        <v>448</v>
      </c>
      <c r="I6" s="37"/>
      <c r="J6" s="41">
        <f t="shared" si="0"/>
        <v>0</v>
      </c>
      <c r="K6" s="26">
        <f>IF(OR($E6&lt;&gt;"CS",$H6&lt;&gt;"x"),0,INDEX($Y$4:$Y$14,MATCH($G6,$X$4:$X16,0),1))*J6*1.1</f>
        <v>0</v>
      </c>
      <c r="L6" s="26">
        <f t="shared" si="1"/>
        <v>0</v>
      </c>
      <c r="M6" s="26">
        <f>IF($I6&lt;&gt;"x",0,INDEX($Y$27:$Y$37,MATCH($G6,$X$27:$X39,0),1))*J6*1.1</f>
        <v>0</v>
      </c>
      <c r="N6" s="26">
        <f t="shared" si="2"/>
        <v>0</v>
      </c>
      <c r="O6" s="20">
        <f t="shared" si="3"/>
        <v>0</v>
      </c>
      <c r="P6" s="20">
        <f>IF(OR($E6&lt;&gt;"CS",$H6&lt;&gt;"x"),0,INDEX($Z$4:$Z$14,MATCH($G6,$X$4:$X16,0),1))*J6*1.1</f>
        <v>0</v>
      </c>
      <c r="Q6" s="26">
        <f>IF($I6&lt;&gt;"x",0,INDEX($Z$27:$Z$37,MATCH($G6,$X$27:$X39,0),1))*J6*1.1</f>
        <v>0</v>
      </c>
      <c r="R6" s="20">
        <f t="shared" si="4"/>
        <v>0</v>
      </c>
      <c r="S6" s="86">
        <f t="shared" si="5"/>
        <v>0</v>
      </c>
      <c r="V6" t="s">
        <v>574</v>
      </c>
      <c r="W6" t="s">
        <v>575</v>
      </c>
      <c r="X6">
        <v>1.25</v>
      </c>
      <c r="Y6" s="19">
        <v>4</v>
      </c>
      <c r="Z6" s="19">
        <v>10</v>
      </c>
    </row>
    <row r="7" spans="1:26">
      <c r="B7" s="14">
        <f t="shared" si="6"/>
        <v>4</v>
      </c>
      <c r="C7" s="37" t="s">
        <v>572</v>
      </c>
      <c r="D7" s="37" t="s">
        <v>573</v>
      </c>
      <c r="E7" s="37" t="s">
        <v>574</v>
      </c>
      <c r="F7" s="38">
        <v>0</v>
      </c>
      <c r="G7" s="37">
        <v>2</v>
      </c>
      <c r="H7" s="37" t="s">
        <v>448</v>
      </c>
      <c r="I7" s="37"/>
      <c r="J7" s="41">
        <f t="shared" si="0"/>
        <v>0</v>
      </c>
      <c r="K7" s="26">
        <f>IF(OR($E7&lt;&gt;"CS",$H7&lt;&gt;"x"),0,INDEX($Y$4:$Y$14,MATCH($G7,$X$4:$X17,0),1))*J7*1.1</f>
        <v>0</v>
      </c>
      <c r="L7" s="26">
        <f t="shared" si="1"/>
        <v>0</v>
      </c>
      <c r="M7" s="26">
        <f>IF($I7&lt;&gt;"x",0,INDEX($Y$27:$Y$37,MATCH($G7,$X$27:$X40,0),1))*J7*1.1</f>
        <v>0</v>
      </c>
      <c r="N7" s="26">
        <f t="shared" si="2"/>
        <v>0</v>
      </c>
      <c r="O7" s="20">
        <f t="shared" si="3"/>
        <v>0</v>
      </c>
      <c r="P7" s="20">
        <f>IF(OR($E7&lt;&gt;"CS",$H7&lt;&gt;"x"),0,INDEX($Z$4:$Z$14,MATCH($G7,$X$4:$X17,0),1))*J7*1.1</f>
        <v>0</v>
      </c>
      <c r="Q7" s="26">
        <f>IF($I7&lt;&gt;"x",0,INDEX($Z$27:$Z$37,MATCH($G7,$X$27:$X40,0),1))*J7*1.1</f>
        <v>0</v>
      </c>
      <c r="R7" s="20">
        <f t="shared" si="4"/>
        <v>0</v>
      </c>
      <c r="S7" s="86">
        <f t="shared" si="5"/>
        <v>0</v>
      </c>
      <c r="V7" t="s">
        <v>574</v>
      </c>
      <c r="W7" t="s">
        <v>575</v>
      </c>
      <c r="X7">
        <v>2</v>
      </c>
      <c r="Y7" s="19">
        <v>6.9</v>
      </c>
      <c r="Z7" s="19">
        <v>10</v>
      </c>
    </row>
    <row r="8" spans="1:26">
      <c r="B8" s="14">
        <f t="shared" si="6"/>
        <v>5</v>
      </c>
      <c r="C8" s="37" t="s">
        <v>572</v>
      </c>
      <c r="D8" s="37" t="s">
        <v>573</v>
      </c>
      <c r="E8" s="37" t="s">
        <v>574</v>
      </c>
      <c r="F8" s="38">
        <v>0</v>
      </c>
      <c r="G8" s="37">
        <v>2</v>
      </c>
      <c r="H8" s="37" t="s">
        <v>448</v>
      </c>
      <c r="I8" s="37"/>
      <c r="J8" s="41">
        <f t="shared" si="0"/>
        <v>0</v>
      </c>
      <c r="K8" s="26">
        <f>IF(OR($E8&lt;&gt;"CS",$H8&lt;&gt;"x"),0,INDEX($Y$4:$Y$14,MATCH($G8,$X$4:$X18,0),1))*J8*1.1</f>
        <v>0</v>
      </c>
      <c r="L8" s="26">
        <f t="shared" si="1"/>
        <v>0</v>
      </c>
      <c r="M8" s="26">
        <f>IF($I8&lt;&gt;"x",0,INDEX($Y$27:$Y$37,MATCH($G8,$X$27:$X41,0),1))*J8*1.1</f>
        <v>0</v>
      </c>
      <c r="N8" s="26">
        <f t="shared" si="2"/>
        <v>0</v>
      </c>
      <c r="O8" s="20">
        <f t="shared" si="3"/>
        <v>0</v>
      </c>
      <c r="P8" s="20">
        <f>IF(OR($E8&lt;&gt;"CS",$H8&lt;&gt;"x"),0,INDEX($Z$4:$Z$14,MATCH($G8,$X$4:$X18,0),1))*J8*1.1</f>
        <v>0</v>
      </c>
      <c r="Q8" s="26">
        <f>IF($I8&lt;&gt;"x",0,INDEX($Z$27:$Z$37,MATCH($G8,$X$27:$X41,0),1))*J8*1.1</f>
        <v>0</v>
      </c>
      <c r="R8" s="20">
        <f t="shared" si="4"/>
        <v>0</v>
      </c>
      <c r="S8" s="86">
        <f t="shared" si="5"/>
        <v>0</v>
      </c>
      <c r="V8" t="s">
        <v>574</v>
      </c>
      <c r="W8" t="s">
        <v>575</v>
      </c>
      <c r="X8">
        <v>3</v>
      </c>
      <c r="Y8" s="19">
        <v>12.8</v>
      </c>
      <c r="Z8" s="19">
        <v>10</v>
      </c>
    </row>
    <row r="9" spans="1:26">
      <c r="B9" s="14">
        <f t="shared" si="6"/>
        <v>6</v>
      </c>
      <c r="C9" s="37" t="s">
        <v>572</v>
      </c>
      <c r="D9" s="37" t="s">
        <v>573</v>
      </c>
      <c r="E9" s="37" t="s">
        <v>574</v>
      </c>
      <c r="F9" s="38">
        <v>0</v>
      </c>
      <c r="G9" s="37">
        <v>3</v>
      </c>
      <c r="H9" s="37" t="s">
        <v>448</v>
      </c>
      <c r="I9" s="37"/>
      <c r="J9" s="41">
        <f t="shared" si="0"/>
        <v>0</v>
      </c>
      <c r="K9" s="26">
        <f>IF(OR($E9&lt;&gt;"CS",$H9&lt;&gt;"x"),0,INDEX($Y$4:$Y$14,MATCH($G9,$X$4:$X19,0),1))*J9*1.1</f>
        <v>0</v>
      </c>
      <c r="L9" s="26">
        <f t="shared" si="1"/>
        <v>0</v>
      </c>
      <c r="M9" s="26">
        <f>IF($I9&lt;&gt;"x",0,INDEX($Y$27:$Y$37,MATCH($G9,$X$27:$X42,0),1))*J9*1.1</f>
        <v>0</v>
      </c>
      <c r="N9" s="26">
        <f t="shared" si="2"/>
        <v>0</v>
      </c>
      <c r="O9" s="20">
        <f t="shared" si="3"/>
        <v>0</v>
      </c>
      <c r="P9" s="20">
        <f>IF(OR($E9&lt;&gt;"CS",$H9&lt;&gt;"x"),0,INDEX($Z$4:$Z$14,MATCH($G9,$X$4:$X19,0),1))*J9*1.1</f>
        <v>0</v>
      </c>
      <c r="Q9" s="26">
        <f>IF($I9&lt;&gt;"x",0,INDEX($Z$27:$Z$37,MATCH($G9,$X$27:$X42,0),1))*J9*1.1</f>
        <v>0</v>
      </c>
      <c r="R9" s="20">
        <f t="shared" si="4"/>
        <v>0</v>
      </c>
      <c r="S9" s="86">
        <f t="shared" si="5"/>
        <v>0</v>
      </c>
      <c r="V9" t="s">
        <v>574</v>
      </c>
      <c r="W9" t="s">
        <v>575</v>
      </c>
      <c r="X9">
        <v>4</v>
      </c>
      <c r="Y9" s="19">
        <v>20</v>
      </c>
      <c r="Z9" s="19">
        <v>13</v>
      </c>
    </row>
    <row r="10" spans="1:26">
      <c r="B10" s="14">
        <f t="shared" si="6"/>
        <v>7</v>
      </c>
      <c r="C10" s="37" t="s">
        <v>572</v>
      </c>
      <c r="D10" s="37" t="s">
        <v>573</v>
      </c>
      <c r="E10" s="37" t="s">
        <v>574</v>
      </c>
      <c r="F10" s="38">
        <v>0</v>
      </c>
      <c r="G10" s="37">
        <v>3</v>
      </c>
      <c r="H10" s="37" t="s">
        <v>448</v>
      </c>
      <c r="I10" s="37"/>
      <c r="J10" s="41">
        <f t="shared" si="0"/>
        <v>0</v>
      </c>
      <c r="K10" s="26">
        <f>IF(OR($E10&lt;&gt;"CS",$H10&lt;&gt;"x"),0,INDEX($Y$4:$Y$14,MATCH($G10,$X$4:$X20,0),1))*J10*1.1</f>
        <v>0</v>
      </c>
      <c r="L10" s="26">
        <f t="shared" si="1"/>
        <v>0</v>
      </c>
      <c r="M10" s="26">
        <f>IF($I10&lt;&gt;"x",0,INDEX($Y$27:$Y$37,MATCH($G10,$X$27:$X43,0),1))*J10*1.1</f>
        <v>0</v>
      </c>
      <c r="N10" s="26">
        <f t="shared" si="2"/>
        <v>0</v>
      </c>
      <c r="O10" s="20">
        <f t="shared" si="3"/>
        <v>0</v>
      </c>
      <c r="P10" s="20">
        <f>IF(OR($E10&lt;&gt;"CS",$H10&lt;&gt;"x"),0,INDEX($Z$4:$Z$14,MATCH($G10,$X$4:$X20,0),1))*J10*1.1</f>
        <v>0</v>
      </c>
      <c r="Q10" s="26">
        <f>IF($I10&lt;&gt;"x",0,INDEX($Z$27:$Z$37,MATCH($G10,$X$27:$X43,0),1))*J10*1.1</f>
        <v>0</v>
      </c>
      <c r="R10" s="20">
        <f t="shared" si="4"/>
        <v>0</v>
      </c>
      <c r="S10" s="86">
        <f t="shared" si="5"/>
        <v>0</v>
      </c>
      <c r="V10" t="s">
        <v>574</v>
      </c>
      <c r="W10" t="s">
        <v>575</v>
      </c>
      <c r="X10">
        <v>5</v>
      </c>
      <c r="Y10" s="19">
        <v>28</v>
      </c>
      <c r="Z10" s="19">
        <v>13</v>
      </c>
    </row>
    <row r="11" spans="1:26">
      <c r="B11" s="14">
        <f t="shared" si="6"/>
        <v>8</v>
      </c>
      <c r="C11" s="37" t="s">
        <v>572</v>
      </c>
      <c r="D11" s="37" t="s">
        <v>573</v>
      </c>
      <c r="E11" s="37" t="s">
        <v>574</v>
      </c>
      <c r="F11" s="38">
        <v>0</v>
      </c>
      <c r="G11" s="37">
        <v>2</v>
      </c>
      <c r="H11" s="37" t="s">
        <v>448</v>
      </c>
      <c r="I11" s="37"/>
      <c r="J11" s="41">
        <f t="shared" si="0"/>
        <v>0</v>
      </c>
      <c r="K11" s="26">
        <f>IF(OR($E11&lt;&gt;"CS",$H11&lt;&gt;"x"),0,INDEX($Y$4:$Y$14,MATCH($G11,$X$4:$X21,0),1))*J11*1.1</f>
        <v>0</v>
      </c>
      <c r="L11" s="26">
        <f t="shared" si="1"/>
        <v>0</v>
      </c>
      <c r="M11" s="26">
        <f>IF($I11&lt;&gt;"x",0,INDEX($Y$27:$Y$37,MATCH($G11,$X$27:$X44,0),1))*J11*1.1</f>
        <v>0</v>
      </c>
      <c r="N11" s="26">
        <f t="shared" si="2"/>
        <v>0</v>
      </c>
      <c r="O11" s="20">
        <f t="shared" si="3"/>
        <v>0</v>
      </c>
      <c r="P11" s="20">
        <f>IF(OR($E11&lt;&gt;"CS",$H11&lt;&gt;"x"),0,INDEX($Z$4:$Z$14,MATCH($G11,$X$4:$X21,0),1))*J11*1.1</f>
        <v>0</v>
      </c>
      <c r="Q11" s="26">
        <f>IF($I11&lt;&gt;"x",0,INDEX($Z$27:$Z$37,MATCH($G11,$X$27:$X44,0),1))*J11*1.1</f>
        <v>0</v>
      </c>
      <c r="R11" s="20">
        <f t="shared" si="4"/>
        <v>0</v>
      </c>
      <c r="S11" s="86">
        <f t="shared" si="5"/>
        <v>0</v>
      </c>
      <c r="V11" t="s">
        <v>574</v>
      </c>
      <c r="W11" t="s">
        <v>575</v>
      </c>
      <c r="X11">
        <v>6</v>
      </c>
      <c r="Y11" s="19">
        <v>30</v>
      </c>
      <c r="Z11" s="19">
        <v>13</v>
      </c>
    </row>
    <row r="12" spans="1:26">
      <c r="B12" s="14">
        <f t="shared" si="6"/>
        <v>9</v>
      </c>
      <c r="C12" s="37" t="s">
        <v>572</v>
      </c>
      <c r="D12" s="37" t="s">
        <v>573</v>
      </c>
      <c r="E12" s="37" t="s">
        <v>574</v>
      </c>
      <c r="F12" s="38">
        <v>0</v>
      </c>
      <c r="G12" s="37">
        <v>2</v>
      </c>
      <c r="H12" s="37" t="s">
        <v>448</v>
      </c>
      <c r="I12" s="37"/>
      <c r="J12" s="41">
        <f t="shared" si="0"/>
        <v>0</v>
      </c>
      <c r="K12" s="26">
        <f>IF(OR($E12&lt;&gt;"CS",$H12&lt;&gt;"x"),0,INDEX($Y$4:$Y$14,MATCH($G12,$X$4:$X22,0),1))*J12*1.1</f>
        <v>0</v>
      </c>
      <c r="L12" s="26">
        <f t="shared" si="1"/>
        <v>0</v>
      </c>
      <c r="M12" s="26">
        <f>IF($I12&lt;&gt;"x",0,INDEX($Y$27:$Y$37,MATCH($G12,$X$27:$X45,0),1))*J12*1.1</f>
        <v>0</v>
      </c>
      <c r="N12" s="26">
        <f t="shared" si="2"/>
        <v>0</v>
      </c>
      <c r="O12" s="20">
        <f t="shared" si="3"/>
        <v>0</v>
      </c>
      <c r="P12" s="20">
        <f>IF(OR($E12&lt;&gt;"CS",$H12&lt;&gt;"x"),0,INDEX($Z$4:$Z$14,MATCH($G12,$X$4:$X22,0),1))*J12*1.1</f>
        <v>0</v>
      </c>
      <c r="Q12" s="26">
        <f>IF($I12&lt;&gt;"x",0,INDEX($Z$27:$Z$37,MATCH($G12,$X$27:$X45,0),1))*J12*1.1</f>
        <v>0</v>
      </c>
      <c r="R12" s="20">
        <f t="shared" si="4"/>
        <v>0</v>
      </c>
      <c r="S12" s="86">
        <f t="shared" si="5"/>
        <v>0</v>
      </c>
      <c r="V12" t="s">
        <v>574</v>
      </c>
      <c r="W12" t="s">
        <v>575</v>
      </c>
      <c r="X12" s="24">
        <v>8</v>
      </c>
      <c r="Y12" s="19">
        <v>49</v>
      </c>
      <c r="Z12" s="19">
        <v>13</v>
      </c>
    </row>
    <row r="13" spans="1:26">
      <c r="B13" s="14">
        <f t="shared" si="6"/>
        <v>10</v>
      </c>
      <c r="C13" s="37" t="s">
        <v>572</v>
      </c>
      <c r="D13" s="37" t="s">
        <v>573</v>
      </c>
      <c r="E13" s="37" t="s">
        <v>574</v>
      </c>
      <c r="F13" s="38">
        <v>0</v>
      </c>
      <c r="G13" s="37">
        <v>1.25</v>
      </c>
      <c r="H13" s="37" t="s">
        <v>448</v>
      </c>
      <c r="I13" s="37"/>
      <c r="J13" s="41">
        <f t="shared" si="0"/>
        <v>0</v>
      </c>
      <c r="K13" s="26">
        <f>IF(OR($E13&lt;&gt;"CS",$H13&lt;&gt;"x"),0,INDEX($Y$4:$Y$14,MATCH($G13,$X$4:$X23,0),1))*J13*1.1</f>
        <v>0</v>
      </c>
      <c r="L13" s="26">
        <f t="shared" si="1"/>
        <v>0</v>
      </c>
      <c r="M13" s="26">
        <f>IF($I13&lt;&gt;"x",0,INDEX($Y$27:$Y$37,MATCH($G13,$X$27:$X46,0),1))*J13*1.1</f>
        <v>0</v>
      </c>
      <c r="N13" s="26">
        <f t="shared" si="2"/>
        <v>0</v>
      </c>
      <c r="O13" s="20">
        <f t="shared" si="3"/>
        <v>0</v>
      </c>
      <c r="P13" s="20">
        <f>IF(OR($E13&lt;&gt;"CS",$H13&lt;&gt;"x"),0,INDEX($Z$4:$Z$14,MATCH($G13,$X$4:$X23,0),1))*J13*1.1</f>
        <v>0</v>
      </c>
      <c r="Q13" s="26">
        <f>IF($I13&lt;&gt;"x",0,INDEX($Z$27:$Z$37,MATCH($G13,$X$27:$X46,0),1))*J13*1.1</f>
        <v>0</v>
      </c>
      <c r="R13" s="20">
        <f t="shared" si="4"/>
        <v>0</v>
      </c>
      <c r="S13" s="86">
        <f t="shared" si="5"/>
        <v>0</v>
      </c>
      <c r="V13" t="s">
        <v>574</v>
      </c>
      <c r="W13" t="s">
        <v>575</v>
      </c>
      <c r="X13" s="24">
        <v>10</v>
      </c>
      <c r="Y13" s="19">
        <v>69</v>
      </c>
      <c r="Z13" s="19">
        <v>18</v>
      </c>
    </row>
    <row r="14" spans="1:26">
      <c r="B14" s="14">
        <f t="shared" si="6"/>
        <v>11</v>
      </c>
      <c r="C14" s="37" t="s">
        <v>572</v>
      </c>
      <c r="D14" s="37" t="s">
        <v>573</v>
      </c>
      <c r="E14" s="37" t="s">
        <v>574</v>
      </c>
      <c r="F14" s="38">
        <v>0</v>
      </c>
      <c r="G14" s="37">
        <v>1.25</v>
      </c>
      <c r="H14" s="37" t="s">
        <v>448</v>
      </c>
      <c r="I14" s="37"/>
      <c r="J14" s="41">
        <f t="shared" si="0"/>
        <v>0</v>
      </c>
      <c r="K14" s="26">
        <f>IF(OR($E14&lt;&gt;"CS",$H14&lt;&gt;"x"),0,INDEX($Y$4:$Y$14,MATCH($G14,$X$4:$X24,0),1))*J14*1.1</f>
        <v>0</v>
      </c>
      <c r="L14" s="26">
        <f t="shared" si="1"/>
        <v>0</v>
      </c>
      <c r="M14" s="26">
        <f>IF($I14&lt;&gt;"x",0,INDEX($Y$27:$Y$37,MATCH($G14,$X$27:$X47,0),1))*J14*1.1</f>
        <v>0</v>
      </c>
      <c r="N14" s="26">
        <f t="shared" si="2"/>
        <v>0</v>
      </c>
      <c r="O14" s="20">
        <f t="shared" si="3"/>
        <v>0</v>
      </c>
      <c r="P14" s="20">
        <f>IF(OR($E14&lt;&gt;"CS",$H14&lt;&gt;"x"),0,INDEX($Z$4:$Z$14,MATCH($G14,$X$4:$X24,0),1))*J14*1.1</f>
        <v>0</v>
      </c>
      <c r="Q14" s="26">
        <f>IF($I14&lt;&gt;"x",0,INDEX($Z$27:$Z$37,MATCH($G14,$X$27:$X47,0),1))*J14*1.1</f>
        <v>0</v>
      </c>
      <c r="R14" s="20">
        <f t="shared" si="4"/>
        <v>0</v>
      </c>
      <c r="S14" s="86">
        <f t="shared" si="5"/>
        <v>0</v>
      </c>
      <c r="V14" t="s">
        <v>574</v>
      </c>
      <c r="W14" t="s">
        <v>575</v>
      </c>
      <c r="X14">
        <v>12</v>
      </c>
      <c r="Y14" s="19">
        <v>84</v>
      </c>
      <c r="Z14" s="19">
        <v>18</v>
      </c>
    </row>
    <row r="15" spans="1:26">
      <c r="B15" s="14">
        <f t="shared" si="6"/>
        <v>12</v>
      </c>
      <c r="C15" s="37" t="s">
        <v>572</v>
      </c>
      <c r="D15" s="37" t="s">
        <v>573</v>
      </c>
      <c r="E15" s="37" t="s">
        <v>574</v>
      </c>
      <c r="F15" s="38">
        <v>0</v>
      </c>
      <c r="G15" s="37">
        <v>1</v>
      </c>
      <c r="H15" s="37" t="s">
        <v>448</v>
      </c>
      <c r="I15" s="37"/>
      <c r="J15" s="41">
        <f t="shared" si="0"/>
        <v>0</v>
      </c>
      <c r="K15" s="26">
        <f>IF(OR($E15&lt;&gt;"CS",$H15&lt;&gt;"x"),0,INDEX($Y$4:$Y$14,MATCH($G15,$X$4:$X25,0),1))*J15*1.1</f>
        <v>0</v>
      </c>
      <c r="L15" s="26">
        <f t="shared" si="1"/>
        <v>0</v>
      </c>
      <c r="M15" s="26">
        <f>IF($I15&lt;&gt;"x",0,INDEX($Y$27:$Y$37,MATCH($G15,$X$27:$X48,0),1))*J15*1.1</f>
        <v>0</v>
      </c>
      <c r="N15" s="26">
        <f t="shared" si="2"/>
        <v>0</v>
      </c>
      <c r="O15" s="20">
        <f t="shared" si="3"/>
        <v>0</v>
      </c>
      <c r="P15" s="20">
        <f>IF(OR($E15&lt;&gt;"CS",$H15&lt;&gt;"x"),0,INDEX($Z$4:$Z$14,MATCH($G15,$X$4:$X25,0),1))*J15*1.1</f>
        <v>0</v>
      </c>
      <c r="Q15" s="26">
        <f>IF($I15&lt;&gt;"x",0,INDEX($Z$27:$Z$37,MATCH($G15,$X$27:$X48,0),1))*J15*1.1</f>
        <v>0</v>
      </c>
      <c r="R15" s="20">
        <f t="shared" si="4"/>
        <v>0</v>
      </c>
      <c r="S15" s="86">
        <f t="shared" si="5"/>
        <v>0</v>
      </c>
      <c r="V15" t="s">
        <v>576</v>
      </c>
      <c r="W15" t="s">
        <v>575</v>
      </c>
      <c r="X15">
        <v>1</v>
      </c>
      <c r="Z15" s="19">
        <f t="shared" ref="Z15:Z26" si="7">Z4*1.5</f>
        <v>15</v>
      </c>
    </row>
    <row r="16" spans="1:26">
      <c r="B16" s="14">
        <f t="shared" si="6"/>
        <v>13</v>
      </c>
      <c r="C16" s="37" t="s">
        <v>572</v>
      </c>
      <c r="D16" s="37" t="s">
        <v>573</v>
      </c>
      <c r="E16" s="37" t="s">
        <v>574</v>
      </c>
      <c r="F16" s="38">
        <v>0</v>
      </c>
      <c r="G16" s="37">
        <v>1</v>
      </c>
      <c r="H16" s="37" t="s">
        <v>448</v>
      </c>
      <c r="I16" s="37"/>
      <c r="J16" s="41">
        <f t="shared" si="0"/>
        <v>0</v>
      </c>
      <c r="K16" s="26">
        <f>IF(OR($E16&lt;&gt;"CS",$H16&lt;&gt;"x"),0,INDEX($Y$4:$Y$14,MATCH($G16,$X$4:$X26,0),1))*J16*1.1</f>
        <v>0</v>
      </c>
      <c r="L16" s="26">
        <f t="shared" si="1"/>
        <v>0</v>
      </c>
      <c r="M16" s="26">
        <f>IF($I16&lt;&gt;"x",0,INDEX($Y$27:$Y$37,MATCH($G16,$X$27:$X49,0),1))*J16*1.1</f>
        <v>0</v>
      </c>
      <c r="N16" s="26">
        <f t="shared" si="2"/>
        <v>0</v>
      </c>
      <c r="O16" s="20">
        <f t="shared" si="3"/>
        <v>0</v>
      </c>
      <c r="P16" s="20">
        <f>IF(OR($E16&lt;&gt;"CS",$H16&lt;&gt;"x"),0,INDEX($Z$4:$Z$14,MATCH($G16,$X$4:$X26,0),1))*J16*1.1</f>
        <v>0</v>
      </c>
      <c r="Q16" s="26">
        <f>IF($I16&lt;&gt;"x",0,INDEX($Z$27:$Z$37,MATCH($G16,$X$27:$X49,0),1))*J16*1.1</f>
        <v>0</v>
      </c>
      <c r="R16" s="20">
        <f t="shared" si="4"/>
        <v>0</v>
      </c>
      <c r="S16" s="86">
        <f t="shared" si="5"/>
        <v>0</v>
      </c>
      <c r="V16" t="s">
        <v>576</v>
      </c>
      <c r="W16" t="s">
        <v>575</v>
      </c>
      <c r="X16">
        <v>2</v>
      </c>
      <c r="Z16" s="19">
        <f t="shared" si="7"/>
        <v>15</v>
      </c>
    </row>
    <row r="17" spans="2:26">
      <c r="B17" s="14">
        <f t="shared" si="6"/>
        <v>14</v>
      </c>
      <c r="C17" s="37" t="s">
        <v>572</v>
      </c>
      <c r="D17" s="37" t="s">
        <v>573</v>
      </c>
      <c r="E17" s="37" t="s">
        <v>574</v>
      </c>
      <c r="F17" s="38">
        <v>0</v>
      </c>
      <c r="G17" s="37">
        <v>0.75</v>
      </c>
      <c r="H17" s="37" t="s">
        <v>448</v>
      </c>
      <c r="I17" s="37"/>
      <c r="J17" s="41">
        <f t="shared" si="0"/>
        <v>0</v>
      </c>
      <c r="K17" s="26">
        <f>IF(OR($E17&lt;&gt;"CS",$H17&lt;&gt;"x"),0,INDEX($Y$4:$Y$14,MATCH($G17,$X$4:$X27,0),1))*J17*1.1</f>
        <v>0</v>
      </c>
      <c r="L17" s="26">
        <f t="shared" si="1"/>
        <v>0</v>
      </c>
      <c r="M17" s="26">
        <f>IF($I17&lt;&gt;"x",0,INDEX($Y$27:$Y$37,MATCH($G17,$X$27:$X50,0),1))*J17*1.1</f>
        <v>0</v>
      </c>
      <c r="N17" s="26">
        <f t="shared" si="2"/>
        <v>0</v>
      </c>
      <c r="O17" s="20">
        <f t="shared" si="3"/>
        <v>0</v>
      </c>
      <c r="P17" s="20">
        <f>IF(OR($E17&lt;&gt;"CS",$H17&lt;&gt;"x"),0,INDEX($Z$4:$Z$14,MATCH($G17,$X$4:$X27,0),1))*J17*1.1</f>
        <v>0</v>
      </c>
      <c r="Q17" s="26">
        <f>IF($I17&lt;&gt;"x",0,INDEX($Z$27:$Z$37,MATCH($G17,$X$27:$X50,0),1))*J17*1.1</f>
        <v>0</v>
      </c>
      <c r="R17" s="20">
        <f t="shared" si="4"/>
        <v>0</v>
      </c>
      <c r="S17" s="86">
        <f t="shared" si="5"/>
        <v>0</v>
      </c>
      <c r="V17" t="s">
        <v>576</v>
      </c>
      <c r="W17" t="s">
        <v>575</v>
      </c>
      <c r="X17">
        <v>3</v>
      </c>
      <c r="Z17" s="19">
        <f t="shared" si="7"/>
        <v>15</v>
      </c>
    </row>
    <row r="18" spans="2:26">
      <c r="B18" s="14">
        <f t="shared" si="6"/>
        <v>15</v>
      </c>
      <c r="C18" s="37" t="s">
        <v>572</v>
      </c>
      <c r="D18" s="37" t="s">
        <v>573</v>
      </c>
      <c r="E18" s="37" t="s">
        <v>574</v>
      </c>
      <c r="F18" s="38">
        <v>0</v>
      </c>
      <c r="G18" s="37">
        <v>0.75</v>
      </c>
      <c r="H18" s="37" t="s">
        <v>448</v>
      </c>
      <c r="I18" s="37"/>
      <c r="J18" s="41">
        <f t="shared" si="0"/>
        <v>0</v>
      </c>
      <c r="K18" s="26">
        <f>IF(OR($E18&lt;&gt;"CS",$H18&lt;&gt;"x"),0,INDEX($Y$4:$Y$14,MATCH($G18,$X$4:$X28,0),1))*J18*1.1</f>
        <v>0</v>
      </c>
      <c r="L18" s="26">
        <f t="shared" si="1"/>
        <v>0</v>
      </c>
      <c r="M18" s="26">
        <f>IF($I18&lt;&gt;"x",0,INDEX($Y$27:$Y$37,MATCH($G18,$X$27:$X51,0),1))*J18*1.1</f>
        <v>0</v>
      </c>
      <c r="N18" s="26">
        <f t="shared" si="2"/>
        <v>0</v>
      </c>
      <c r="O18" s="20">
        <f t="shared" si="3"/>
        <v>0</v>
      </c>
      <c r="P18" s="20">
        <f>IF(OR($E18&lt;&gt;"CS",$H18&lt;&gt;"x"),0,INDEX($Z$4:$Z$14,MATCH($G18,$X$4:$X28,0),1))*J18*1.1</f>
        <v>0</v>
      </c>
      <c r="Q18" s="26">
        <f>IF($I18&lt;&gt;"x",0,INDEX($Z$27:$Z$37,MATCH($G18,$X$27:$X51,0),1))*J18*1.1</f>
        <v>0</v>
      </c>
      <c r="R18" s="20">
        <f t="shared" si="4"/>
        <v>0</v>
      </c>
      <c r="S18" s="86">
        <f t="shared" si="5"/>
        <v>0</v>
      </c>
      <c r="V18" t="s">
        <v>576</v>
      </c>
      <c r="W18" t="s">
        <v>575</v>
      </c>
      <c r="X18">
        <v>4</v>
      </c>
      <c r="Z18" s="19">
        <f t="shared" si="7"/>
        <v>15</v>
      </c>
    </row>
    <row r="19" spans="2:26">
      <c r="B19" s="14">
        <f t="shared" si="6"/>
        <v>16</v>
      </c>
      <c r="C19" s="37" t="s">
        <v>572</v>
      </c>
      <c r="D19" s="37" t="s">
        <v>573</v>
      </c>
      <c r="E19" s="37" t="s">
        <v>574</v>
      </c>
      <c r="F19" s="38">
        <v>0</v>
      </c>
      <c r="G19" s="37">
        <v>0.75</v>
      </c>
      <c r="H19" s="37" t="s">
        <v>448</v>
      </c>
      <c r="I19" s="37" t="s">
        <v>448</v>
      </c>
      <c r="J19" s="41">
        <f t="shared" si="0"/>
        <v>0</v>
      </c>
      <c r="K19" s="26">
        <f>IF(OR($E19&lt;&gt;"CS",$H19&lt;&gt;"x"),0,INDEX($Y$4:$Y$14,MATCH($G19,$X$4:$X29,0),1))*J19*1.1</f>
        <v>0</v>
      </c>
      <c r="L19" s="26">
        <f t="shared" si="1"/>
        <v>0</v>
      </c>
      <c r="M19" s="26">
        <f>IF($I19&lt;&gt;"x",0,INDEX($Y$27:$Y$37,MATCH($G19,$X$27:$X52,0),1))*J19*1.1</f>
        <v>0</v>
      </c>
      <c r="N19" s="26">
        <f t="shared" si="2"/>
        <v>0</v>
      </c>
      <c r="O19" s="20">
        <f t="shared" si="3"/>
        <v>0</v>
      </c>
      <c r="P19" s="20">
        <f>IF(OR($E19&lt;&gt;"CS",$H19&lt;&gt;"x"),0,INDEX($Z$4:$Z$14,MATCH($G19,$X$4:$X29,0),1))*J19*1.1</f>
        <v>0</v>
      </c>
      <c r="Q19" s="26">
        <f>IF($I19&lt;&gt;"x",0,INDEX($Z$27:$Z$37,MATCH($G19,$X$27:$X52,0),1))*J19*1.1</f>
        <v>0</v>
      </c>
      <c r="R19" s="20">
        <f t="shared" si="4"/>
        <v>0</v>
      </c>
      <c r="S19" s="86">
        <f t="shared" si="5"/>
        <v>0</v>
      </c>
      <c r="V19" t="s">
        <v>576</v>
      </c>
      <c r="W19" t="s">
        <v>575</v>
      </c>
      <c r="X19">
        <v>5</v>
      </c>
      <c r="Z19" s="19">
        <f t="shared" si="7"/>
        <v>15</v>
      </c>
    </row>
    <row r="20" spans="2:26">
      <c r="B20" s="14">
        <f t="shared" si="6"/>
        <v>17</v>
      </c>
      <c r="C20" s="37" t="s">
        <v>572</v>
      </c>
      <c r="D20" s="37" t="s">
        <v>573</v>
      </c>
      <c r="E20" s="37" t="s">
        <v>574</v>
      </c>
      <c r="F20" s="38">
        <v>0</v>
      </c>
      <c r="G20" s="37">
        <v>0.75</v>
      </c>
      <c r="H20" s="37" t="s">
        <v>448</v>
      </c>
      <c r="I20" s="37" t="s">
        <v>448</v>
      </c>
      <c r="J20" s="41">
        <f t="shared" si="0"/>
        <v>0</v>
      </c>
      <c r="K20" s="26">
        <f>IF(OR($E20&lt;&gt;"CS",$H20&lt;&gt;"x"),0,INDEX($Y$4:$Y$14,MATCH($G20,$X$4:$X30,0),1))*J20*1.1</f>
        <v>0</v>
      </c>
      <c r="L20" s="26">
        <f t="shared" si="1"/>
        <v>0</v>
      </c>
      <c r="M20" s="26">
        <f>IF($I20&lt;&gt;"x",0,INDEX($Y$27:$Y$37,MATCH($G20,$X$27:$X53,0),1))*J20*1.1</f>
        <v>0</v>
      </c>
      <c r="N20" s="26">
        <f t="shared" si="2"/>
        <v>0</v>
      </c>
      <c r="O20" s="20">
        <f t="shared" si="3"/>
        <v>0</v>
      </c>
      <c r="P20" s="20">
        <f>IF(OR($E20&lt;&gt;"CS",$H20&lt;&gt;"x"),0,INDEX($Z$4:$Z$14,MATCH($G20,$X$4:$X30,0),1))*J20*1.1</f>
        <v>0</v>
      </c>
      <c r="Q20" s="26">
        <f>IF($I20&lt;&gt;"x",0,INDEX($Z$27:$Z$37,MATCH($G20,$X$27:$X53,0),1))*J20*1.1</f>
        <v>0</v>
      </c>
      <c r="R20" s="20">
        <f t="shared" si="4"/>
        <v>0</v>
      </c>
      <c r="S20" s="86">
        <f t="shared" si="5"/>
        <v>0</v>
      </c>
      <c r="V20" t="s">
        <v>576</v>
      </c>
      <c r="W20" t="s">
        <v>575</v>
      </c>
      <c r="X20">
        <v>6</v>
      </c>
      <c r="Y20" s="19"/>
      <c r="Z20" s="19">
        <f t="shared" si="7"/>
        <v>19.5</v>
      </c>
    </row>
    <row r="21" spans="2:26">
      <c r="B21" s="14">
        <f t="shared" si="6"/>
        <v>18</v>
      </c>
      <c r="C21" s="37" t="s">
        <v>572</v>
      </c>
      <c r="D21" s="37" t="s">
        <v>573</v>
      </c>
      <c r="E21" s="37" t="s">
        <v>574</v>
      </c>
      <c r="F21" s="38">
        <v>0</v>
      </c>
      <c r="G21" s="37">
        <v>0.75</v>
      </c>
      <c r="H21" s="37" t="s">
        <v>448</v>
      </c>
      <c r="I21" s="37" t="s">
        <v>448</v>
      </c>
      <c r="J21" s="41">
        <f t="shared" si="0"/>
        <v>0</v>
      </c>
      <c r="K21" s="26">
        <f>IF(OR($E21&lt;&gt;"CS",$H21&lt;&gt;"x"),0,INDEX($Y$4:$Y$14,MATCH($G21,$X$4:$X31,0),1))*J21*1.1</f>
        <v>0</v>
      </c>
      <c r="L21" s="26">
        <f t="shared" si="1"/>
        <v>0</v>
      </c>
      <c r="M21" s="26">
        <f>IF($I21&lt;&gt;"x",0,INDEX($Y$27:$Y$37,MATCH($G21,$X$27:$X54,0),1))*J21*1.1</f>
        <v>0</v>
      </c>
      <c r="N21" s="26">
        <f t="shared" si="2"/>
        <v>0</v>
      </c>
      <c r="O21" s="20">
        <f t="shared" si="3"/>
        <v>0</v>
      </c>
      <c r="P21" s="20">
        <f>IF(OR($E21&lt;&gt;"CS",$H21&lt;&gt;"x"),0,INDEX($Z$4:$Z$14,MATCH($G21,$X$4:$X31,0),1))*J21*1.1</f>
        <v>0</v>
      </c>
      <c r="Q21" s="26">
        <f>IF($I21&lt;&gt;"x",0,INDEX($Z$27:$Z$37,MATCH($G21,$X$27:$X54,0),1))*J21*1.1</f>
        <v>0</v>
      </c>
      <c r="R21" s="20">
        <f t="shared" si="4"/>
        <v>0</v>
      </c>
      <c r="S21" s="86">
        <f t="shared" si="5"/>
        <v>0</v>
      </c>
      <c r="V21" t="s">
        <v>576</v>
      </c>
      <c r="W21" t="s">
        <v>575</v>
      </c>
      <c r="X21">
        <v>7</v>
      </c>
      <c r="Y21" s="19"/>
      <c r="Z21" s="19">
        <f t="shared" si="7"/>
        <v>19.5</v>
      </c>
    </row>
    <row r="22" spans="2:26">
      <c r="B22" s="14">
        <f t="shared" si="6"/>
        <v>19</v>
      </c>
      <c r="C22" s="37" t="s">
        <v>572</v>
      </c>
      <c r="D22" s="37" t="s">
        <v>573</v>
      </c>
      <c r="E22" s="37" t="s">
        <v>574</v>
      </c>
      <c r="F22" s="38">
        <v>0</v>
      </c>
      <c r="G22" s="37">
        <v>0.75</v>
      </c>
      <c r="H22" s="37" t="s">
        <v>448</v>
      </c>
      <c r="I22" s="37" t="s">
        <v>448</v>
      </c>
      <c r="J22" s="41">
        <f t="shared" si="0"/>
        <v>0</v>
      </c>
      <c r="K22" s="26">
        <f>IF(OR($E22&lt;&gt;"CS",$H22&lt;&gt;"x"),0,INDEX($Y$4:$Y$14,MATCH($G22,$X$4:$X32,0),1))*J22*1.1</f>
        <v>0</v>
      </c>
      <c r="L22" s="26">
        <f t="shared" si="1"/>
        <v>0</v>
      </c>
      <c r="M22" s="26">
        <f>IF($I22&lt;&gt;"x",0,INDEX($Y$27:$Y$37,MATCH($G22,$X$27:$X55,0),1))*J22*1.1</f>
        <v>0</v>
      </c>
      <c r="N22" s="26">
        <f t="shared" si="2"/>
        <v>0</v>
      </c>
      <c r="O22" s="20">
        <f t="shared" si="3"/>
        <v>0</v>
      </c>
      <c r="P22" s="20">
        <f>IF(OR($E22&lt;&gt;"CS",$H22&lt;&gt;"x"),0,INDEX($Z$4:$Z$14,MATCH($G22,$X$4:$X32,0),1))*J22*1.1</f>
        <v>0</v>
      </c>
      <c r="Q22" s="26">
        <f>IF($I22&lt;&gt;"x",0,INDEX($Z$27:$Z$37,MATCH($G22,$X$27:$X55,0),1))*J22*1.1</f>
        <v>0</v>
      </c>
      <c r="R22" s="20">
        <f t="shared" si="4"/>
        <v>0</v>
      </c>
      <c r="S22" s="86">
        <f t="shared" si="5"/>
        <v>0</v>
      </c>
      <c r="V22" t="s">
        <v>576</v>
      </c>
      <c r="W22" t="s">
        <v>575</v>
      </c>
      <c r="X22" s="24">
        <v>8</v>
      </c>
      <c r="Y22" s="19"/>
      <c r="Z22" s="19">
        <f t="shared" si="7"/>
        <v>19.5</v>
      </c>
    </row>
    <row r="23" spans="2:26">
      <c r="B23" s="14">
        <f t="shared" si="6"/>
        <v>20</v>
      </c>
      <c r="C23" s="37" t="s">
        <v>572</v>
      </c>
      <c r="D23" s="37" t="s">
        <v>573</v>
      </c>
      <c r="E23" s="37" t="s">
        <v>574</v>
      </c>
      <c r="F23" s="38">
        <v>0</v>
      </c>
      <c r="G23" s="37">
        <v>0.75</v>
      </c>
      <c r="H23" s="37" t="s">
        <v>448</v>
      </c>
      <c r="I23" s="37" t="s">
        <v>448</v>
      </c>
      <c r="J23" s="41">
        <f t="shared" si="0"/>
        <v>0</v>
      </c>
      <c r="K23" s="26">
        <f>IF(OR($E23&lt;&gt;"CS",$H23&lt;&gt;"x"),0,INDEX($Y$4:$Y$14,MATCH($G23,$X$4:$X33,0),1))*J23*1.1</f>
        <v>0</v>
      </c>
      <c r="L23" s="26">
        <f t="shared" si="1"/>
        <v>0</v>
      </c>
      <c r="M23" s="26">
        <f>IF($I23&lt;&gt;"x",0,INDEX($Y$27:$Y$37,MATCH($G23,$X$27:$X56,0),1))*J23*1.1</f>
        <v>0</v>
      </c>
      <c r="N23" s="26">
        <f t="shared" si="2"/>
        <v>0</v>
      </c>
      <c r="O23" s="20">
        <f t="shared" si="3"/>
        <v>0</v>
      </c>
      <c r="P23" s="20">
        <f>IF(OR($E23&lt;&gt;"CS",$H23&lt;&gt;"x"),0,INDEX($Z$4:$Z$14,MATCH($G23,$X$4:$X33,0),1))*J23*1.1</f>
        <v>0</v>
      </c>
      <c r="Q23" s="26">
        <f>IF($I23&lt;&gt;"x",0,INDEX($Z$27:$Z$37,MATCH($G23,$X$27:$X56,0),1))*J23*1.1</f>
        <v>0</v>
      </c>
      <c r="R23" s="20">
        <f t="shared" si="4"/>
        <v>0</v>
      </c>
      <c r="S23" s="86">
        <f t="shared" si="5"/>
        <v>0</v>
      </c>
      <c r="V23" t="s">
        <v>576</v>
      </c>
      <c r="W23" t="s">
        <v>575</v>
      </c>
      <c r="X23" s="24">
        <v>9</v>
      </c>
      <c r="Y23" s="19"/>
      <c r="Z23" s="19">
        <f t="shared" si="7"/>
        <v>19.5</v>
      </c>
    </row>
    <row r="24" spans="2:26">
      <c r="B24" s="14">
        <f t="shared" si="6"/>
        <v>21</v>
      </c>
      <c r="C24" s="37" t="s">
        <v>572</v>
      </c>
      <c r="D24" s="37" t="s">
        <v>573</v>
      </c>
      <c r="E24" s="37" t="s">
        <v>574</v>
      </c>
      <c r="F24" s="38">
        <v>0</v>
      </c>
      <c r="G24" s="37">
        <v>0.75</v>
      </c>
      <c r="H24" s="37" t="s">
        <v>448</v>
      </c>
      <c r="I24" s="37" t="s">
        <v>448</v>
      </c>
      <c r="J24" s="41">
        <f t="shared" si="0"/>
        <v>0</v>
      </c>
      <c r="K24" s="26">
        <f>IF(OR($E24&lt;&gt;"CS",$H24&lt;&gt;"x"),0,INDEX($Y$4:$Y$14,MATCH($G24,$X$4:$X34,0),1))*J24*1.1</f>
        <v>0</v>
      </c>
      <c r="L24" s="26">
        <f t="shared" si="1"/>
        <v>0</v>
      </c>
      <c r="M24" s="26">
        <f>IF($I24&lt;&gt;"x",0,INDEX($Y$27:$Y$37,MATCH($G24,$X$27:$X57,0),1))*J24*1.1</f>
        <v>0</v>
      </c>
      <c r="N24" s="26">
        <f t="shared" si="2"/>
        <v>0</v>
      </c>
      <c r="O24" s="20">
        <f t="shared" si="3"/>
        <v>0</v>
      </c>
      <c r="P24" s="20">
        <f>IF(OR($E24&lt;&gt;"CS",$H24&lt;&gt;"x"),0,INDEX($Z$4:$Z$14,MATCH($G24,$X$4:$X34,0),1))*J24*1.1</f>
        <v>0</v>
      </c>
      <c r="Q24" s="26">
        <f>IF($I24&lt;&gt;"x",0,INDEX($Z$27:$Z$37,MATCH($G24,$X$27:$X57,0),1))*J24*1.1</f>
        <v>0</v>
      </c>
      <c r="R24" s="20">
        <f t="shared" si="4"/>
        <v>0</v>
      </c>
      <c r="S24" s="86">
        <f t="shared" si="5"/>
        <v>0</v>
      </c>
      <c r="V24" t="s">
        <v>576</v>
      </c>
      <c r="W24" t="s">
        <v>575</v>
      </c>
      <c r="X24" s="24">
        <v>10</v>
      </c>
      <c r="Y24" s="19"/>
      <c r="Z24" s="19">
        <f t="shared" si="7"/>
        <v>27</v>
      </c>
    </row>
    <row r="25" spans="2:26">
      <c r="B25" s="14">
        <f t="shared" si="6"/>
        <v>22</v>
      </c>
      <c r="C25" s="37" t="s">
        <v>572</v>
      </c>
      <c r="D25" s="37" t="s">
        <v>573</v>
      </c>
      <c r="E25" s="37" t="s">
        <v>574</v>
      </c>
      <c r="F25" s="38">
        <v>0</v>
      </c>
      <c r="G25" s="37">
        <v>0.75</v>
      </c>
      <c r="H25" s="37" t="s">
        <v>448</v>
      </c>
      <c r="I25" s="37" t="s">
        <v>448</v>
      </c>
      <c r="J25" s="41">
        <f t="shared" si="0"/>
        <v>0</v>
      </c>
      <c r="K25" s="26">
        <f>IF(OR($E25&lt;&gt;"CS",$H25&lt;&gt;"x"),0,INDEX($Y$4:$Y$14,MATCH($G25,$X$4:$X35,0),1))*J25*1.1</f>
        <v>0</v>
      </c>
      <c r="L25" s="26">
        <f t="shared" si="1"/>
        <v>0</v>
      </c>
      <c r="M25" s="26">
        <f>IF($I25&lt;&gt;"x",0,INDEX($Y$27:$Y$37,MATCH($G25,$X$27:$X58,0),1))*J25*1.1</f>
        <v>0</v>
      </c>
      <c r="N25" s="26">
        <f t="shared" si="2"/>
        <v>0</v>
      </c>
      <c r="O25" s="20">
        <f t="shared" si="3"/>
        <v>0</v>
      </c>
      <c r="P25" s="20">
        <f>IF(OR($E25&lt;&gt;"CS",$H25&lt;&gt;"x"),0,INDEX($Z$4:$Z$14,MATCH($G25,$X$4:$X35,0),1))*J25*1.1</f>
        <v>0</v>
      </c>
      <c r="Q25" s="26">
        <f>IF($I25&lt;&gt;"x",0,INDEX($Z$27:$Z$37,MATCH($G25,$X$27:$X58,0),1))*J25*1.1</f>
        <v>0</v>
      </c>
      <c r="R25" s="20">
        <f t="shared" si="4"/>
        <v>0</v>
      </c>
      <c r="S25" s="86">
        <f t="shared" si="5"/>
        <v>0</v>
      </c>
      <c r="V25" t="s">
        <v>576</v>
      </c>
      <c r="W25" t="s">
        <v>575</v>
      </c>
      <c r="X25">
        <v>11</v>
      </c>
      <c r="Y25" s="19"/>
      <c r="Z25" s="19">
        <f t="shared" si="7"/>
        <v>27</v>
      </c>
    </row>
    <row r="26" spans="2:26">
      <c r="B26" s="14">
        <f t="shared" si="6"/>
        <v>23</v>
      </c>
      <c r="C26" s="37" t="s">
        <v>572</v>
      </c>
      <c r="D26" s="37" t="s">
        <v>573</v>
      </c>
      <c r="E26" s="37" t="s">
        <v>574</v>
      </c>
      <c r="F26" s="38">
        <v>0</v>
      </c>
      <c r="G26" s="37">
        <v>0.75</v>
      </c>
      <c r="H26" s="37" t="s">
        <v>448</v>
      </c>
      <c r="I26" s="37" t="s">
        <v>448</v>
      </c>
      <c r="J26" s="41">
        <f t="shared" si="0"/>
        <v>0</v>
      </c>
      <c r="K26" s="26">
        <f>IF(OR($E26&lt;&gt;"CS",$H26&lt;&gt;"x"),0,INDEX($Y$4:$Y$14,MATCH($G26,$X$4:$X36,0),1))*J26*1.1</f>
        <v>0</v>
      </c>
      <c r="L26" s="26">
        <f t="shared" si="1"/>
        <v>0</v>
      </c>
      <c r="M26" s="26">
        <f>IF($I26&lt;&gt;"x",0,INDEX($Y$27:$Y$37,MATCH($G26,$X$27:$X59,0),1))*J26*1.1</f>
        <v>0</v>
      </c>
      <c r="N26" s="26">
        <f t="shared" si="2"/>
        <v>0</v>
      </c>
      <c r="O26" s="20">
        <f t="shared" si="3"/>
        <v>0</v>
      </c>
      <c r="P26" s="20">
        <f>IF(OR($E26&lt;&gt;"CS",$H26&lt;&gt;"x"),0,INDEX($Z$4:$Z$14,MATCH($G26,$X$4:$X36,0),1))*J26*1.1</f>
        <v>0</v>
      </c>
      <c r="Q26" s="26">
        <f>IF($I26&lt;&gt;"x",0,INDEX($Z$27:$Z$37,MATCH($G26,$X$27:$X59,0),1))*J26*1.1</f>
        <v>0</v>
      </c>
      <c r="R26" s="20">
        <f t="shared" si="4"/>
        <v>0</v>
      </c>
      <c r="S26" s="86">
        <f t="shared" si="5"/>
        <v>0</v>
      </c>
      <c r="V26" t="s">
        <v>576</v>
      </c>
      <c r="W26" t="s">
        <v>575</v>
      </c>
      <c r="X26">
        <v>12</v>
      </c>
      <c r="Y26" s="19"/>
      <c r="Z26" s="19">
        <f t="shared" si="7"/>
        <v>22.5</v>
      </c>
    </row>
    <row r="27" spans="2:26">
      <c r="B27" s="14">
        <f t="shared" si="6"/>
        <v>24</v>
      </c>
      <c r="C27" s="37" t="s">
        <v>572</v>
      </c>
      <c r="D27" s="37" t="s">
        <v>573</v>
      </c>
      <c r="E27" s="37" t="s">
        <v>574</v>
      </c>
      <c r="F27" s="38">
        <v>0</v>
      </c>
      <c r="G27" s="37">
        <v>0.75</v>
      </c>
      <c r="H27" s="37" t="s">
        <v>448</v>
      </c>
      <c r="I27" s="37" t="s">
        <v>448</v>
      </c>
      <c r="J27" s="41">
        <f t="shared" si="0"/>
        <v>0</v>
      </c>
      <c r="K27" s="26">
        <f>IF(OR($E27&lt;&gt;"CS",$H27&lt;&gt;"x"),0,INDEX($Y$4:$Y$14,MATCH($G27,$X$4:$X37,0),1))*J27*1.1</f>
        <v>0</v>
      </c>
      <c r="L27" s="26">
        <f t="shared" si="1"/>
        <v>0</v>
      </c>
      <c r="M27" s="26">
        <f>IF($I27&lt;&gt;"x",0,INDEX($Y$27:$Y$37,MATCH($G27,$X$27:$X60,0),1))*J27*1.1</f>
        <v>0</v>
      </c>
      <c r="N27" s="26">
        <f t="shared" si="2"/>
        <v>0</v>
      </c>
      <c r="O27" s="20">
        <f t="shared" si="3"/>
        <v>0</v>
      </c>
      <c r="P27" s="20">
        <f>IF(OR($E27&lt;&gt;"CS",$H27&lt;&gt;"x"),0,INDEX($Z$4:$Z$14,MATCH($G27,$X$4:$X37,0),1))*J27*1.1</f>
        <v>0</v>
      </c>
      <c r="Q27" s="26">
        <f>IF($I27&lt;&gt;"x",0,INDEX($Z$27:$Z$37,MATCH($G27,$X$27:$X60,0),1))*J27*1.1</f>
        <v>0</v>
      </c>
      <c r="R27" s="20">
        <f t="shared" si="4"/>
        <v>0</v>
      </c>
      <c r="S27" s="86">
        <f t="shared" si="5"/>
        <v>0</v>
      </c>
      <c r="V27" t="s">
        <v>542</v>
      </c>
      <c r="W27" t="s">
        <v>577</v>
      </c>
      <c r="X27">
        <v>0.75</v>
      </c>
      <c r="Y27" s="19">
        <v>4.5</v>
      </c>
      <c r="Z27" s="19">
        <v>5</v>
      </c>
    </row>
    <row r="28" spans="2:26">
      <c r="B28" s="14">
        <f t="shared" si="6"/>
        <v>25</v>
      </c>
      <c r="C28" s="37" t="s">
        <v>572</v>
      </c>
      <c r="D28" s="37" t="s">
        <v>573</v>
      </c>
      <c r="E28" s="37" t="s">
        <v>574</v>
      </c>
      <c r="F28" s="38">
        <v>0</v>
      </c>
      <c r="G28" s="37">
        <v>0.75</v>
      </c>
      <c r="H28" s="37" t="s">
        <v>448</v>
      </c>
      <c r="I28" s="37" t="s">
        <v>448</v>
      </c>
      <c r="J28" s="41">
        <f t="shared" si="0"/>
        <v>0</v>
      </c>
      <c r="K28" s="26">
        <f>IF(OR($E28&lt;&gt;"CS",$H28&lt;&gt;"x"),0,INDEX($Y$4:$Y$14,MATCH($G28,$X$4:$X38,0),1))*J28*1.1</f>
        <v>0</v>
      </c>
      <c r="L28" s="26">
        <f t="shared" si="1"/>
        <v>0</v>
      </c>
      <c r="M28" s="26">
        <f>IF($I28&lt;&gt;"x",0,INDEX($Y$27:$Y$37,MATCH($G28,$X$27:$X61,0),1))*J28*1.1</f>
        <v>0</v>
      </c>
      <c r="N28" s="26">
        <f t="shared" si="2"/>
        <v>0</v>
      </c>
      <c r="O28" s="20">
        <f t="shared" si="3"/>
        <v>0</v>
      </c>
      <c r="P28" s="20">
        <f>IF(OR($E28&lt;&gt;"CS",$H28&lt;&gt;"x"),0,INDEX($Z$4:$Z$14,MATCH($G28,$X$4:$X38,0),1))*J28*1.1</f>
        <v>0</v>
      </c>
      <c r="Q28" s="26">
        <f>IF($I28&lt;&gt;"x",0,INDEX($Z$27:$Z$37,MATCH($G28,$X$27:$X61,0),1))*J28*1.1</f>
        <v>0</v>
      </c>
      <c r="R28" s="20">
        <f t="shared" si="4"/>
        <v>0</v>
      </c>
      <c r="S28" s="86">
        <f t="shared" si="5"/>
        <v>0</v>
      </c>
      <c r="V28" t="s">
        <v>542</v>
      </c>
      <c r="W28" t="s">
        <v>577</v>
      </c>
      <c r="X28">
        <v>1</v>
      </c>
      <c r="Y28" s="19">
        <v>5</v>
      </c>
      <c r="Z28" s="19">
        <v>5</v>
      </c>
    </row>
    <row r="29" spans="2:26">
      <c r="B29" s="14">
        <f t="shared" si="6"/>
        <v>26</v>
      </c>
      <c r="C29" s="37" t="s">
        <v>572</v>
      </c>
      <c r="D29" s="37" t="s">
        <v>573</v>
      </c>
      <c r="E29" s="37" t="s">
        <v>574</v>
      </c>
      <c r="F29" s="38">
        <v>0</v>
      </c>
      <c r="G29" s="37">
        <v>0.75</v>
      </c>
      <c r="H29" s="37" t="s">
        <v>448</v>
      </c>
      <c r="I29" s="37" t="s">
        <v>448</v>
      </c>
      <c r="J29" s="41">
        <f t="shared" si="0"/>
        <v>0</v>
      </c>
      <c r="K29" s="26">
        <f>IF(OR($E29&lt;&gt;"CS",$H29&lt;&gt;"x"),0,INDEX($Y$4:$Y$14,MATCH($G29,$X$4:$X39,0),1))*J29*1.1</f>
        <v>0</v>
      </c>
      <c r="L29" s="26">
        <f t="shared" si="1"/>
        <v>0</v>
      </c>
      <c r="M29" s="26">
        <f>IF($I29&lt;&gt;"x",0,INDEX($Y$27:$Y$37,MATCH($G29,$X$27:$X62,0),1))*J29*1.1</f>
        <v>0</v>
      </c>
      <c r="N29" s="26">
        <f t="shared" si="2"/>
        <v>0</v>
      </c>
      <c r="O29" s="20">
        <f t="shared" si="3"/>
        <v>0</v>
      </c>
      <c r="P29" s="20">
        <f>IF(OR($E29&lt;&gt;"CS",$H29&lt;&gt;"x"),0,INDEX($Z$4:$Z$14,MATCH($G29,$X$4:$X39,0),1))*J29*1.1</f>
        <v>0</v>
      </c>
      <c r="Q29" s="26">
        <f>IF($I29&lt;&gt;"x",0,INDEX($Z$27:$Z$37,MATCH($G29,$X$27:$X62,0),1))*J29*1.1</f>
        <v>0</v>
      </c>
      <c r="R29" s="20">
        <f t="shared" si="4"/>
        <v>0</v>
      </c>
      <c r="S29" s="86">
        <f t="shared" si="5"/>
        <v>0</v>
      </c>
      <c r="V29" t="s">
        <v>542</v>
      </c>
      <c r="W29" t="s">
        <v>577</v>
      </c>
      <c r="X29">
        <v>1.25</v>
      </c>
      <c r="Y29" s="19">
        <v>6</v>
      </c>
      <c r="Z29" s="19">
        <v>5</v>
      </c>
    </row>
    <row r="30" spans="2:26">
      <c r="B30" s="14">
        <f t="shared" si="6"/>
        <v>27</v>
      </c>
      <c r="C30" s="37" t="s">
        <v>572</v>
      </c>
      <c r="D30" s="37" t="s">
        <v>573</v>
      </c>
      <c r="E30" s="37" t="s">
        <v>574</v>
      </c>
      <c r="F30" s="38">
        <v>0</v>
      </c>
      <c r="G30" s="37">
        <v>0.75</v>
      </c>
      <c r="H30" s="37" t="s">
        <v>448</v>
      </c>
      <c r="I30" s="37" t="s">
        <v>448</v>
      </c>
      <c r="J30" s="41">
        <f t="shared" si="0"/>
        <v>0</v>
      </c>
      <c r="K30" s="26">
        <f>IF(OR($E30&lt;&gt;"CS",$H30&lt;&gt;"x"),0,INDEX($Y$4:$Y$14,MATCH($G30,$X$4:$X40,0),1))*J30*1.1</f>
        <v>0</v>
      </c>
      <c r="L30" s="26">
        <f t="shared" si="1"/>
        <v>0</v>
      </c>
      <c r="M30" s="26">
        <f>IF($I30&lt;&gt;"x",0,INDEX($Y$27:$Y$37,MATCH($G30,$X$27:$X63,0),1))*J30*1.1</f>
        <v>0</v>
      </c>
      <c r="N30" s="26">
        <f t="shared" si="2"/>
        <v>0</v>
      </c>
      <c r="O30" s="20">
        <f t="shared" si="3"/>
        <v>0</v>
      </c>
      <c r="P30" s="20">
        <f>IF(OR($E30&lt;&gt;"CS",$H30&lt;&gt;"x"),0,INDEX($Z$4:$Z$14,MATCH($G30,$X$4:$X40,0),1))*J30*1.1</f>
        <v>0</v>
      </c>
      <c r="Q30" s="26">
        <f>IF($I30&lt;&gt;"x",0,INDEX($Z$27:$Z$37,MATCH($G30,$X$27:$X63,0),1))*J30*1.1</f>
        <v>0</v>
      </c>
      <c r="R30" s="20">
        <f t="shared" si="4"/>
        <v>0</v>
      </c>
      <c r="S30" s="86">
        <f t="shared" si="5"/>
        <v>0</v>
      </c>
      <c r="V30" t="s">
        <v>542</v>
      </c>
      <c r="W30" t="s">
        <v>577</v>
      </c>
      <c r="X30">
        <v>2</v>
      </c>
      <c r="Y30" s="19">
        <v>10</v>
      </c>
      <c r="Z30" s="19">
        <v>5</v>
      </c>
    </row>
    <row r="31" spans="2:26">
      <c r="B31" s="14">
        <f t="shared" si="6"/>
        <v>28</v>
      </c>
      <c r="C31" s="37" t="s">
        <v>572</v>
      </c>
      <c r="D31" s="37" t="s">
        <v>573</v>
      </c>
      <c r="E31" s="37" t="s">
        <v>574</v>
      </c>
      <c r="F31" s="38">
        <v>0</v>
      </c>
      <c r="G31" s="37">
        <v>0.75</v>
      </c>
      <c r="H31" s="37" t="s">
        <v>448</v>
      </c>
      <c r="I31" s="37" t="s">
        <v>448</v>
      </c>
      <c r="J31" s="41">
        <f t="shared" si="0"/>
        <v>0</v>
      </c>
      <c r="K31" s="26">
        <f>IF(OR($E31&lt;&gt;"CS",$H31&lt;&gt;"x"),0,INDEX($Y$4:$Y$14,MATCH($G31,$X$4:$X41,0),1))*J31*1.1</f>
        <v>0</v>
      </c>
      <c r="L31" s="26">
        <f t="shared" si="1"/>
        <v>0</v>
      </c>
      <c r="M31" s="26">
        <f>IF($I31&lt;&gt;"x",0,INDEX($Y$27:$Y$37,MATCH($G31,$X$27:$X64,0),1))*J31*1.1</f>
        <v>0</v>
      </c>
      <c r="N31" s="26">
        <f t="shared" si="2"/>
        <v>0</v>
      </c>
      <c r="O31" s="20">
        <f t="shared" si="3"/>
        <v>0</v>
      </c>
      <c r="P31" s="20">
        <f>IF(OR($E31&lt;&gt;"CS",$H31&lt;&gt;"x"),0,INDEX($Z$4:$Z$14,MATCH($G31,$X$4:$X41,0),1))*J31*1.1</f>
        <v>0</v>
      </c>
      <c r="Q31" s="26">
        <f>IF($I31&lt;&gt;"x",0,INDEX($Z$27:$Z$37,MATCH($G31,$X$27:$X64,0),1))*J31*1.1</f>
        <v>0</v>
      </c>
      <c r="R31" s="20">
        <f t="shared" si="4"/>
        <v>0</v>
      </c>
      <c r="S31" s="86">
        <f t="shared" si="5"/>
        <v>0</v>
      </c>
      <c r="V31" t="s">
        <v>542</v>
      </c>
      <c r="W31" t="s">
        <v>577</v>
      </c>
      <c r="X31">
        <v>3</v>
      </c>
      <c r="Y31" s="19">
        <v>14</v>
      </c>
      <c r="Z31" s="19">
        <v>5</v>
      </c>
    </row>
    <row r="32" spans="2:26">
      <c r="B32" s="14">
        <f t="shared" si="6"/>
        <v>29</v>
      </c>
      <c r="C32" s="37" t="s">
        <v>572</v>
      </c>
      <c r="D32" s="37" t="s">
        <v>573</v>
      </c>
      <c r="E32" s="37" t="s">
        <v>574</v>
      </c>
      <c r="F32" s="38">
        <v>0</v>
      </c>
      <c r="G32" s="37">
        <v>0.75</v>
      </c>
      <c r="H32" s="37" t="s">
        <v>448</v>
      </c>
      <c r="I32" s="37" t="s">
        <v>448</v>
      </c>
      <c r="J32" s="41">
        <f t="shared" si="0"/>
        <v>0</v>
      </c>
      <c r="K32" s="26">
        <f>IF(OR($E32&lt;&gt;"CS",$H32&lt;&gt;"x"),0,INDEX($Y$4:$Y$14,MATCH($G32,$X$4:$X42,0),1))*J32*1.1</f>
        <v>0</v>
      </c>
      <c r="L32" s="26">
        <f t="shared" si="1"/>
        <v>0</v>
      </c>
      <c r="M32" s="26">
        <f>IF($I32&lt;&gt;"x",0,INDEX($Y$27:$Y$37,MATCH($G32,$X$27:$X65,0),1))*J32*1.1</f>
        <v>0</v>
      </c>
      <c r="N32" s="26">
        <f t="shared" si="2"/>
        <v>0</v>
      </c>
      <c r="O32" s="20">
        <f t="shared" si="3"/>
        <v>0</v>
      </c>
      <c r="P32" s="20">
        <f>IF(OR($E32&lt;&gt;"CS",$H32&lt;&gt;"x"),0,INDEX($Z$4:$Z$14,MATCH($G32,$X$4:$X42,0),1))*J32*1.1</f>
        <v>0</v>
      </c>
      <c r="Q32" s="26">
        <f>IF($I32&lt;&gt;"x",0,INDEX($Z$27:$Z$37,MATCH($G32,$X$27:$X65,0),1))*J32*1.1</f>
        <v>0</v>
      </c>
      <c r="R32" s="20">
        <f t="shared" si="4"/>
        <v>0</v>
      </c>
      <c r="S32" s="86">
        <f t="shared" si="5"/>
        <v>0</v>
      </c>
      <c r="V32" t="s">
        <v>542</v>
      </c>
      <c r="W32" t="s">
        <v>577</v>
      </c>
      <c r="X32">
        <v>4</v>
      </c>
      <c r="Y32" s="19">
        <v>18</v>
      </c>
      <c r="Z32" s="19">
        <v>5</v>
      </c>
    </row>
    <row r="33" spans="2:26">
      <c r="B33" s="14">
        <f t="shared" si="6"/>
        <v>30</v>
      </c>
      <c r="C33" s="37" t="s">
        <v>572</v>
      </c>
      <c r="D33" s="37" t="s">
        <v>573</v>
      </c>
      <c r="E33" s="37" t="s">
        <v>574</v>
      </c>
      <c r="F33" s="38">
        <v>0</v>
      </c>
      <c r="G33" s="37">
        <v>0.75</v>
      </c>
      <c r="H33" s="37" t="s">
        <v>448</v>
      </c>
      <c r="I33" s="37" t="s">
        <v>448</v>
      </c>
      <c r="J33" s="41">
        <f t="shared" si="0"/>
        <v>0</v>
      </c>
      <c r="K33" s="26">
        <f>IF(OR($E33&lt;&gt;"CS",$H33&lt;&gt;"x"),0,INDEX($Y$4:$Y$14,MATCH($G33,$X$4:$X43,0),1))*J33*1.1</f>
        <v>0</v>
      </c>
      <c r="L33" s="26">
        <f t="shared" si="1"/>
        <v>0</v>
      </c>
      <c r="M33" s="26">
        <f>IF($I33&lt;&gt;"x",0,INDEX($Y$27:$Y$37,MATCH($G33,$X$27:$X66,0),1))*J33*1.1</f>
        <v>0</v>
      </c>
      <c r="N33" s="26">
        <f t="shared" si="2"/>
        <v>0</v>
      </c>
      <c r="O33" s="20">
        <f t="shared" si="3"/>
        <v>0</v>
      </c>
      <c r="P33" s="20">
        <f>IF(OR($E33&lt;&gt;"CS",$H33&lt;&gt;"x"),0,INDEX($Z$4:$Z$14,MATCH($G33,$X$4:$X43,0),1))*J33*1.1</f>
        <v>0</v>
      </c>
      <c r="Q33" s="26">
        <f>IF($I33&lt;&gt;"x",0,INDEX($Z$27:$Z$37,MATCH($G33,$X$27:$X66,0),1))*J33*1.1</f>
        <v>0</v>
      </c>
      <c r="R33" s="20">
        <f t="shared" si="4"/>
        <v>0</v>
      </c>
      <c r="S33" s="86">
        <f t="shared" si="5"/>
        <v>0</v>
      </c>
      <c r="V33" t="s">
        <v>542</v>
      </c>
      <c r="W33" t="s">
        <v>577</v>
      </c>
      <c r="X33">
        <v>5</v>
      </c>
      <c r="Y33" s="19">
        <f>66/3</f>
        <v>22</v>
      </c>
      <c r="Z33" s="19">
        <v>5</v>
      </c>
    </row>
    <row r="34" spans="2:26">
      <c r="B34" s="14">
        <f t="shared" si="6"/>
        <v>31</v>
      </c>
      <c r="C34" s="37" t="s">
        <v>572</v>
      </c>
      <c r="D34" s="37" t="s">
        <v>573</v>
      </c>
      <c r="E34" s="37" t="s">
        <v>574</v>
      </c>
      <c r="F34" s="38">
        <v>0</v>
      </c>
      <c r="G34" s="37">
        <v>0.75</v>
      </c>
      <c r="H34" s="37" t="s">
        <v>448</v>
      </c>
      <c r="I34" s="37" t="s">
        <v>448</v>
      </c>
      <c r="J34" s="41">
        <f t="shared" si="0"/>
        <v>0</v>
      </c>
      <c r="K34" s="26">
        <f>IF(OR($E34&lt;&gt;"CS",$H34&lt;&gt;"x"),0,INDEX($Y$4:$Y$14,MATCH($G34,$X$4:$X44,0),1))*J34*1.1</f>
        <v>0</v>
      </c>
      <c r="L34" s="26">
        <f t="shared" si="1"/>
        <v>0</v>
      </c>
      <c r="M34" s="26">
        <f>IF($I34&lt;&gt;"x",0,INDEX($Y$27:$Y$37,MATCH($G34,$X$27:$X67,0),1))*J34*1.1</f>
        <v>0</v>
      </c>
      <c r="N34" s="26">
        <f t="shared" si="2"/>
        <v>0</v>
      </c>
      <c r="O34" s="20">
        <f t="shared" si="3"/>
        <v>0</v>
      </c>
      <c r="P34" s="20">
        <f>IF(OR($E34&lt;&gt;"CS",$H34&lt;&gt;"x"),0,INDEX($Z$4:$Z$14,MATCH($G34,$X$4:$X44,0),1))*J34*1.1</f>
        <v>0</v>
      </c>
      <c r="Q34" s="26">
        <f>IF($I34&lt;&gt;"x",0,INDEX($Z$27:$Z$37,MATCH($G34,$X$27:$X67,0),1))*J34*1.1</f>
        <v>0</v>
      </c>
      <c r="R34" s="20">
        <f t="shared" si="4"/>
        <v>0</v>
      </c>
      <c r="S34" s="86">
        <f t="shared" si="5"/>
        <v>0</v>
      </c>
      <c r="V34" t="s">
        <v>542</v>
      </c>
      <c r="W34" t="s">
        <v>577</v>
      </c>
      <c r="X34">
        <v>6</v>
      </c>
      <c r="Y34" s="19">
        <v>26</v>
      </c>
      <c r="Z34" s="19">
        <v>6</v>
      </c>
    </row>
    <row r="35" spans="2:26">
      <c r="B35" s="14">
        <f t="shared" si="6"/>
        <v>32</v>
      </c>
      <c r="C35" s="37" t="s">
        <v>572</v>
      </c>
      <c r="D35" s="37" t="s">
        <v>573</v>
      </c>
      <c r="E35" s="37" t="s">
        <v>574</v>
      </c>
      <c r="F35" s="38">
        <v>0</v>
      </c>
      <c r="G35" s="37">
        <v>0.75</v>
      </c>
      <c r="H35" s="37" t="s">
        <v>448</v>
      </c>
      <c r="I35" s="37" t="s">
        <v>448</v>
      </c>
      <c r="J35" s="41">
        <f t="shared" si="0"/>
        <v>0</v>
      </c>
      <c r="K35" s="26">
        <f>IF(OR($E35&lt;&gt;"CS",$H35&lt;&gt;"x"),0,INDEX($Y$4:$Y$14,MATCH($G35,$X$4:$X45,0),1))*J35*1.1</f>
        <v>0</v>
      </c>
      <c r="L35" s="26">
        <f t="shared" si="1"/>
        <v>0</v>
      </c>
      <c r="M35" s="26">
        <f>IF($I35&lt;&gt;"x",0,INDEX($Y$27:$Y$37,MATCH($G35,$X$27:$X68,0),1))*J35*1.1</f>
        <v>0</v>
      </c>
      <c r="N35" s="26">
        <f t="shared" si="2"/>
        <v>0</v>
      </c>
      <c r="O35" s="20">
        <f t="shared" si="3"/>
        <v>0</v>
      </c>
      <c r="P35" s="20">
        <f>IF(OR($E35&lt;&gt;"CS",$H35&lt;&gt;"x"),0,INDEX($Z$4:$Z$14,MATCH($G35,$X$4:$X45,0),1))*J35*1.1</f>
        <v>0</v>
      </c>
      <c r="Q35" s="26">
        <f>IF($I35&lt;&gt;"x",0,INDEX($Z$27:$Z$37,MATCH($G35,$X$27:$X68,0),1))*J35*1.1</f>
        <v>0</v>
      </c>
      <c r="R35" s="20">
        <f t="shared" si="4"/>
        <v>0</v>
      </c>
      <c r="S35" s="86">
        <f t="shared" si="5"/>
        <v>0</v>
      </c>
      <c r="V35" t="s">
        <v>542</v>
      </c>
      <c r="W35" t="s">
        <v>577</v>
      </c>
      <c r="X35" s="24">
        <v>8</v>
      </c>
      <c r="Y35" s="19">
        <v>28</v>
      </c>
      <c r="Z35" s="19">
        <v>6</v>
      </c>
    </row>
    <row r="36" spans="2:26">
      <c r="B36" s="14">
        <f t="shared" si="6"/>
        <v>33</v>
      </c>
      <c r="C36" s="37" t="s">
        <v>572</v>
      </c>
      <c r="D36" s="37" t="s">
        <v>573</v>
      </c>
      <c r="E36" s="37" t="s">
        <v>574</v>
      </c>
      <c r="F36" s="38">
        <v>0</v>
      </c>
      <c r="G36" s="37">
        <v>0.75</v>
      </c>
      <c r="H36" s="37" t="s">
        <v>448</v>
      </c>
      <c r="I36" s="37" t="s">
        <v>448</v>
      </c>
      <c r="J36" s="41">
        <f t="shared" ref="J36:J67" si="8">IF(F36="","",+$I$2*F36)</f>
        <v>0</v>
      </c>
      <c r="K36" s="26">
        <f>IF(OR($E36&lt;&gt;"CS",$H36&lt;&gt;"x"),0,INDEX($Y$4:$Y$14,MATCH($G36,$X$4:$X46,0),1))*J36*1.1</f>
        <v>0</v>
      </c>
      <c r="L36" s="26">
        <f t="shared" si="1"/>
        <v>0</v>
      </c>
      <c r="M36" s="26">
        <f>IF($I36&lt;&gt;"x",0,INDEX($Y$27:$Y$37,MATCH($G36,$X$27:$X69,0),1))*J36*1.1</f>
        <v>0</v>
      </c>
      <c r="N36" s="26">
        <f t="shared" si="2"/>
        <v>0</v>
      </c>
      <c r="O36" s="20">
        <f t="shared" si="3"/>
        <v>0</v>
      </c>
      <c r="P36" s="20">
        <f>IF(OR($E36&lt;&gt;"CS",$H36&lt;&gt;"x"),0,INDEX($Z$4:$Z$14,MATCH($G36,$X$4:$X46,0),1))*J36*1.1</f>
        <v>0</v>
      </c>
      <c r="Q36" s="26">
        <f>IF($I36&lt;&gt;"x",0,INDEX($Z$27:$Z$37,MATCH($G36,$X$27:$X69,0),1))*J36*1.1</f>
        <v>0</v>
      </c>
      <c r="R36" s="20">
        <f t="shared" si="4"/>
        <v>0</v>
      </c>
      <c r="S36" s="86">
        <f t="shared" si="5"/>
        <v>0</v>
      </c>
      <c r="V36" t="s">
        <v>542</v>
      </c>
      <c r="W36" t="s">
        <v>577</v>
      </c>
      <c r="X36" s="24">
        <v>10</v>
      </c>
      <c r="Y36" s="19">
        <v>28</v>
      </c>
      <c r="Z36" s="19">
        <v>7</v>
      </c>
    </row>
    <row r="37" spans="2:26">
      <c r="B37" s="14">
        <f t="shared" si="6"/>
        <v>34</v>
      </c>
      <c r="C37" s="37" t="s">
        <v>572</v>
      </c>
      <c r="D37" s="37" t="s">
        <v>573</v>
      </c>
      <c r="E37" s="37" t="s">
        <v>574</v>
      </c>
      <c r="F37" s="38">
        <v>0</v>
      </c>
      <c r="G37" s="37">
        <v>0.75</v>
      </c>
      <c r="H37" s="37" t="s">
        <v>448</v>
      </c>
      <c r="I37" s="37" t="s">
        <v>448</v>
      </c>
      <c r="J37" s="41">
        <f t="shared" si="8"/>
        <v>0</v>
      </c>
      <c r="K37" s="26">
        <f>IF(OR($E37&lt;&gt;"CS",$H37&lt;&gt;"x"),0,INDEX($Y$4:$Y$14,MATCH($G37,$X$4:$X47,0),1))*J37*1.1</f>
        <v>0</v>
      </c>
      <c r="L37" s="26">
        <f t="shared" si="1"/>
        <v>0</v>
      </c>
      <c r="M37" s="26">
        <f>IF($I37&lt;&gt;"x",0,INDEX($Y$27:$Y$37,MATCH($G37,$X$27:$X70,0),1))*J37*1.1</f>
        <v>0</v>
      </c>
      <c r="N37" s="26">
        <f t="shared" si="2"/>
        <v>0</v>
      </c>
      <c r="O37" s="20">
        <f t="shared" si="3"/>
        <v>0</v>
      </c>
      <c r="P37" s="20">
        <f>IF(OR($E37&lt;&gt;"CS",$H37&lt;&gt;"x"),0,INDEX($Z$4:$Z$14,MATCH($G37,$X$4:$X47,0),1))*J37*1.1</f>
        <v>0</v>
      </c>
      <c r="Q37" s="26">
        <f>IF($I37&lt;&gt;"x",0,INDEX($Z$27:$Z$37,MATCH($G37,$X$27:$X70,0),1))*J37*1.1</f>
        <v>0</v>
      </c>
      <c r="R37" s="20">
        <f t="shared" si="4"/>
        <v>0</v>
      </c>
      <c r="S37" s="86">
        <f t="shared" si="5"/>
        <v>0</v>
      </c>
      <c r="V37" t="s">
        <v>542</v>
      </c>
      <c r="W37" t="s">
        <v>577</v>
      </c>
      <c r="X37">
        <v>12</v>
      </c>
      <c r="Y37" s="19">
        <v>28</v>
      </c>
      <c r="Z37" s="19">
        <v>7</v>
      </c>
    </row>
    <row r="38" spans="2:26">
      <c r="B38" s="14">
        <f t="shared" si="6"/>
        <v>35</v>
      </c>
      <c r="C38" s="37" t="s">
        <v>572</v>
      </c>
      <c r="D38" s="37" t="s">
        <v>573</v>
      </c>
      <c r="E38" s="37" t="s">
        <v>574</v>
      </c>
      <c r="F38" s="38">
        <v>0</v>
      </c>
      <c r="G38" s="37">
        <v>0.75</v>
      </c>
      <c r="H38" s="37" t="s">
        <v>448</v>
      </c>
      <c r="I38" s="37" t="s">
        <v>448</v>
      </c>
      <c r="J38" s="41">
        <f t="shared" si="8"/>
        <v>0</v>
      </c>
      <c r="K38" s="26">
        <f>IF(OR($E38&lt;&gt;"CS",$H38&lt;&gt;"x"),0,INDEX($Y$4:$Y$14,MATCH($G38,$X$4:$X48,0),1))*J38*1.1</f>
        <v>0</v>
      </c>
      <c r="L38" s="26">
        <f t="shared" si="1"/>
        <v>0</v>
      </c>
      <c r="M38" s="26">
        <f>IF($I38&lt;&gt;"x",0,INDEX($Y$27:$Y$37,MATCH($G38,$X$27:$X71,0),1))*J38*1.1</f>
        <v>0</v>
      </c>
      <c r="N38" s="26">
        <f t="shared" si="2"/>
        <v>0</v>
      </c>
      <c r="O38" s="20">
        <f t="shared" si="3"/>
        <v>0</v>
      </c>
      <c r="P38" s="20">
        <f>IF(OR($E38&lt;&gt;"CS",$H38&lt;&gt;"x"),0,INDEX($Z$4:$Z$14,MATCH($G38,$X$4:$X48,0),1))*J38*1.1</f>
        <v>0</v>
      </c>
      <c r="Q38" s="26">
        <f>IF($I38&lt;&gt;"x",0,INDEX($Z$27:$Z$37,MATCH($G38,$X$27:$X71,0),1))*J38*1.1</f>
        <v>0</v>
      </c>
      <c r="R38" s="20">
        <f t="shared" si="4"/>
        <v>0</v>
      </c>
      <c r="S38" s="86">
        <f t="shared" si="5"/>
        <v>0</v>
      </c>
    </row>
    <row r="39" spans="2:26">
      <c r="B39" s="14">
        <f t="shared" si="6"/>
        <v>36</v>
      </c>
      <c r="C39" s="37" t="s">
        <v>572</v>
      </c>
      <c r="D39" s="37" t="s">
        <v>573</v>
      </c>
      <c r="E39" s="37" t="s">
        <v>574</v>
      </c>
      <c r="F39" s="38">
        <v>0</v>
      </c>
      <c r="G39" s="37">
        <v>4</v>
      </c>
      <c r="H39" s="37" t="s">
        <v>448</v>
      </c>
      <c r="I39" s="37" t="s">
        <v>448</v>
      </c>
      <c r="J39" s="41">
        <f t="shared" si="8"/>
        <v>0</v>
      </c>
      <c r="K39" s="26">
        <f>IF(OR($E39&lt;&gt;"CS",$H39&lt;&gt;"x"),0,INDEX($Y$4:$Y$14,MATCH($G39,$X$4:$X49,0),1))*J39*1.1</f>
        <v>0</v>
      </c>
      <c r="L39" s="26">
        <f t="shared" si="1"/>
        <v>0</v>
      </c>
      <c r="M39" s="26">
        <f>IF($I39&lt;&gt;"x",0,INDEX($Y$27:$Y$37,MATCH($G39,$X$27:$X72,0),1))*J39*1.1</f>
        <v>0</v>
      </c>
      <c r="N39" s="26">
        <f t="shared" si="2"/>
        <v>0</v>
      </c>
      <c r="O39" s="20">
        <f t="shared" si="3"/>
        <v>0</v>
      </c>
      <c r="P39" s="20">
        <f>IF(OR($E39&lt;&gt;"CS",$H39&lt;&gt;"x"),0,INDEX($Z$4:$Z$14,MATCH($G39,$X$4:$X49,0),1))*J39*1.1</f>
        <v>0</v>
      </c>
      <c r="Q39" s="26">
        <f>IF($I39&lt;&gt;"x",0,INDEX($Z$27:$Z$37,MATCH($G39,$X$27:$X72,0),1))*J39*1.1</f>
        <v>0</v>
      </c>
      <c r="R39" s="20">
        <f t="shared" si="4"/>
        <v>0</v>
      </c>
      <c r="S39" s="86">
        <f t="shared" si="5"/>
        <v>0</v>
      </c>
    </row>
    <row r="40" spans="2:26">
      <c r="B40" s="14">
        <f t="shared" si="6"/>
        <v>37</v>
      </c>
      <c r="C40" s="37" t="s">
        <v>572</v>
      </c>
      <c r="D40" s="37" t="s">
        <v>573</v>
      </c>
      <c r="E40" s="37" t="s">
        <v>574</v>
      </c>
      <c r="F40" s="38">
        <v>0</v>
      </c>
      <c r="G40" s="37">
        <v>4</v>
      </c>
      <c r="H40" s="37" t="s">
        <v>448</v>
      </c>
      <c r="I40" s="37" t="s">
        <v>448</v>
      </c>
      <c r="J40" s="41">
        <f t="shared" si="8"/>
        <v>0</v>
      </c>
      <c r="K40" s="26">
        <f>IF(OR($E40&lt;&gt;"CS",$H40&lt;&gt;"x"),0,INDEX($Y$4:$Y$14,MATCH($G40,$X$4:$X50,0),1))*J40*1.1</f>
        <v>0</v>
      </c>
      <c r="L40" s="26">
        <f t="shared" si="1"/>
        <v>0</v>
      </c>
      <c r="M40" s="26">
        <f>IF($I40&lt;&gt;"x",0,INDEX($Y$27:$Y$37,MATCH($G40,$X$27:$X73,0),1))*J40*1.1</f>
        <v>0</v>
      </c>
      <c r="N40" s="26">
        <f t="shared" si="2"/>
        <v>0</v>
      </c>
      <c r="O40" s="20">
        <f t="shared" si="3"/>
        <v>0</v>
      </c>
      <c r="P40" s="20">
        <f>IF(OR($E40&lt;&gt;"CS",$H40&lt;&gt;"x"),0,INDEX($Z$4:$Z$14,MATCH($G40,$X$4:$X50,0),1))*J40*1.1</f>
        <v>0</v>
      </c>
      <c r="Q40" s="26">
        <f>IF($I40&lt;&gt;"x",0,INDEX($Z$27:$Z$37,MATCH($G40,$X$27:$X73,0),1))*J40*1.1</f>
        <v>0</v>
      </c>
      <c r="R40" s="20">
        <f t="shared" si="4"/>
        <v>0</v>
      </c>
      <c r="S40" s="86">
        <f t="shared" si="5"/>
        <v>0</v>
      </c>
    </row>
    <row r="41" spans="2:26">
      <c r="B41" s="14">
        <f t="shared" si="6"/>
        <v>38</v>
      </c>
      <c r="C41" s="37" t="s">
        <v>572</v>
      </c>
      <c r="D41" s="37" t="s">
        <v>573</v>
      </c>
      <c r="E41" s="37" t="s">
        <v>574</v>
      </c>
      <c r="F41" s="38">
        <v>0</v>
      </c>
      <c r="G41" s="37">
        <v>1</v>
      </c>
      <c r="H41" s="37" t="s">
        <v>448</v>
      </c>
      <c r="I41" s="37" t="s">
        <v>448</v>
      </c>
      <c r="J41" s="41">
        <f t="shared" si="8"/>
        <v>0</v>
      </c>
      <c r="K41" s="26">
        <f>IF(OR($E41&lt;&gt;"CS",$H41&lt;&gt;"x"),0,INDEX($Y$4:$Y$14,MATCH($G41,$X$4:$X51,0),1))*J41*1.1</f>
        <v>0</v>
      </c>
      <c r="L41" s="26">
        <f t="shared" si="1"/>
        <v>0</v>
      </c>
      <c r="M41" s="26">
        <f>IF($I41&lt;&gt;"x",0,INDEX($Y$27:$Y$37,MATCH($G41,$X$27:$X74,0),1))*J41*1.1</f>
        <v>0</v>
      </c>
      <c r="N41" s="26">
        <f t="shared" si="2"/>
        <v>0</v>
      </c>
      <c r="O41" s="20">
        <f t="shared" si="3"/>
        <v>0</v>
      </c>
      <c r="P41" s="20">
        <f>IF(OR($E41&lt;&gt;"CS",$H41&lt;&gt;"x"),0,INDEX($Z$4:$Z$14,MATCH($G41,$X$4:$X51,0),1))*J41*1.1</f>
        <v>0</v>
      </c>
      <c r="Q41" s="26">
        <f>IF($I41&lt;&gt;"x",0,INDEX($Z$27:$Z$37,MATCH($G41,$X$27:$X74,0),1))*J41*1.1</f>
        <v>0</v>
      </c>
      <c r="R41" s="20">
        <f t="shared" si="4"/>
        <v>0</v>
      </c>
      <c r="S41" s="86">
        <f t="shared" si="5"/>
        <v>0</v>
      </c>
    </row>
    <row r="42" spans="2:26">
      <c r="B42" s="14">
        <f t="shared" si="6"/>
        <v>39</v>
      </c>
      <c r="C42" s="37" t="s">
        <v>572</v>
      </c>
      <c r="D42" s="37" t="s">
        <v>573</v>
      </c>
      <c r="E42" s="37" t="s">
        <v>574</v>
      </c>
      <c r="F42" s="38">
        <v>0</v>
      </c>
      <c r="G42" s="37">
        <v>1</v>
      </c>
      <c r="H42" s="37" t="s">
        <v>448</v>
      </c>
      <c r="I42" s="37" t="s">
        <v>448</v>
      </c>
      <c r="J42" s="41">
        <f t="shared" si="8"/>
        <v>0</v>
      </c>
      <c r="K42" s="26">
        <f>IF(OR($E42&lt;&gt;"CS",$H42&lt;&gt;"x"),0,INDEX($Y$4:$Y$14,MATCH($G42,$X$4:$X52,0),1))*J42*1.1</f>
        <v>0</v>
      </c>
      <c r="L42" s="26">
        <f t="shared" si="1"/>
        <v>0</v>
      </c>
      <c r="M42" s="26">
        <f>IF($I42&lt;&gt;"x",0,INDEX($Y$27:$Y$37,MATCH($G42,$X$27:$X75,0),1))*J42*1.1</f>
        <v>0</v>
      </c>
      <c r="N42" s="26">
        <f t="shared" si="2"/>
        <v>0</v>
      </c>
      <c r="O42" s="20">
        <f t="shared" si="3"/>
        <v>0</v>
      </c>
      <c r="P42" s="20">
        <f>IF(OR($E42&lt;&gt;"CS",$H42&lt;&gt;"x"),0,INDEX($Z$4:$Z$14,MATCH($G42,$X$4:$X52,0),1))*J42*1.1</f>
        <v>0</v>
      </c>
      <c r="Q42" s="26">
        <f>IF($I42&lt;&gt;"x",0,INDEX($Z$27:$Z$37,MATCH($G42,$X$27:$X75,0),1))*J42*1.1</f>
        <v>0</v>
      </c>
      <c r="R42" s="20">
        <f t="shared" si="4"/>
        <v>0</v>
      </c>
      <c r="S42" s="86">
        <f t="shared" si="5"/>
        <v>0</v>
      </c>
    </row>
    <row r="43" spans="2:26">
      <c r="B43" s="14">
        <f t="shared" si="6"/>
        <v>40</v>
      </c>
      <c r="C43" s="37" t="s">
        <v>572</v>
      </c>
      <c r="D43" s="37" t="s">
        <v>573</v>
      </c>
      <c r="E43" s="37" t="s">
        <v>574</v>
      </c>
      <c r="F43" s="38">
        <v>0</v>
      </c>
      <c r="G43" s="37">
        <v>1</v>
      </c>
      <c r="H43" s="37" t="s">
        <v>448</v>
      </c>
      <c r="I43" s="37" t="s">
        <v>448</v>
      </c>
      <c r="J43" s="41">
        <f t="shared" si="8"/>
        <v>0</v>
      </c>
      <c r="K43" s="26">
        <f>IF(OR($E43&lt;&gt;"CS",$H43&lt;&gt;"x"),0,INDEX($Y$4:$Y$14,MATCH($G43,$X$4:$X53,0),1))*J43*1.1</f>
        <v>0</v>
      </c>
      <c r="L43" s="26">
        <f t="shared" si="1"/>
        <v>0</v>
      </c>
      <c r="M43" s="26">
        <f>IF($I43&lt;&gt;"x",0,INDEX($Y$27:$Y$37,MATCH($G43,$X$27:$X76,0),1))*J43*1.1</f>
        <v>0</v>
      </c>
      <c r="N43" s="26">
        <f t="shared" si="2"/>
        <v>0</v>
      </c>
      <c r="O43" s="20">
        <f t="shared" si="3"/>
        <v>0</v>
      </c>
      <c r="P43" s="20">
        <f>IF(OR($E43&lt;&gt;"CS",$H43&lt;&gt;"x"),0,INDEX($Z$4:$Z$14,MATCH($G43,$X$4:$X53,0),1))*J43*1.1</f>
        <v>0</v>
      </c>
      <c r="Q43" s="26">
        <f>IF($I43&lt;&gt;"x",0,INDEX($Z$27:$Z$37,MATCH($G43,$X$27:$X76,0),1))*J43*1.1</f>
        <v>0</v>
      </c>
      <c r="R43" s="20">
        <f t="shared" si="4"/>
        <v>0</v>
      </c>
      <c r="S43" s="86">
        <f t="shared" si="5"/>
        <v>0</v>
      </c>
    </row>
    <row r="44" spans="2:26">
      <c r="B44" s="14">
        <f t="shared" si="6"/>
        <v>41</v>
      </c>
      <c r="C44" s="37" t="s">
        <v>572</v>
      </c>
      <c r="D44" s="37" t="s">
        <v>573</v>
      </c>
      <c r="E44" s="37" t="s">
        <v>574</v>
      </c>
      <c r="F44" s="38">
        <v>0</v>
      </c>
      <c r="G44" s="37">
        <v>1</v>
      </c>
      <c r="H44" s="37" t="s">
        <v>448</v>
      </c>
      <c r="I44" s="37" t="s">
        <v>448</v>
      </c>
      <c r="J44" s="41">
        <f t="shared" si="8"/>
        <v>0</v>
      </c>
      <c r="K44" s="26">
        <f>IF(OR($E44&lt;&gt;"CS",$H44&lt;&gt;"x"),0,INDEX($Y$4:$Y$14,MATCH($G44,$X$4:$X54,0),1))*J44*1.1</f>
        <v>0</v>
      </c>
      <c r="L44" s="26">
        <f t="shared" si="1"/>
        <v>0</v>
      </c>
      <c r="M44" s="26">
        <f>IF($I44&lt;&gt;"x",0,INDEX($Y$27:$Y$37,MATCH($G44,$X$27:$X77,0),1))*J44*1.1</f>
        <v>0</v>
      </c>
      <c r="N44" s="26">
        <f t="shared" si="2"/>
        <v>0</v>
      </c>
      <c r="O44" s="20">
        <f t="shared" si="3"/>
        <v>0</v>
      </c>
      <c r="P44" s="20">
        <f>IF(OR($E44&lt;&gt;"CS",$H44&lt;&gt;"x"),0,INDEX($Z$4:$Z$14,MATCH($G44,$X$4:$X54,0),1))*J44*1.1</f>
        <v>0</v>
      </c>
      <c r="Q44" s="26">
        <f>IF($I44&lt;&gt;"x",0,INDEX($Z$27:$Z$37,MATCH($G44,$X$27:$X77,0),1))*J44*1.1</f>
        <v>0</v>
      </c>
      <c r="R44" s="20">
        <f t="shared" si="4"/>
        <v>0</v>
      </c>
      <c r="S44" s="86">
        <f t="shared" si="5"/>
        <v>0</v>
      </c>
    </row>
    <row r="45" spans="2:26">
      <c r="B45" s="14">
        <f t="shared" si="6"/>
        <v>42</v>
      </c>
      <c r="C45" s="37" t="s">
        <v>572</v>
      </c>
      <c r="D45" s="37" t="s">
        <v>573</v>
      </c>
      <c r="E45" s="37" t="s">
        <v>574</v>
      </c>
      <c r="F45" s="38">
        <v>0</v>
      </c>
      <c r="G45" s="37">
        <v>3</v>
      </c>
      <c r="H45" s="37" t="s">
        <v>448</v>
      </c>
      <c r="I45" s="37" t="s">
        <v>448</v>
      </c>
      <c r="J45" s="41">
        <f t="shared" si="8"/>
        <v>0</v>
      </c>
      <c r="K45" s="26">
        <f>IF(OR($E45&lt;&gt;"CS",$H45&lt;&gt;"x"),0,INDEX($Y$4:$Y$14,MATCH($G45,$X$4:$X55,0),1))*J45*1.1</f>
        <v>0</v>
      </c>
      <c r="L45" s="26">
        <f t="shared" si="1"/>
        <v>0</v>
      </c>
      <c r="M45" s="26">
        <f>IF($I45&lt;&gt;"x",0,INDEX($Y$27:$Y$37,MATCH($G45,$X$27:$X78,0),1))*J45*1.1</f>
        <v>0</v>
      </c>
      <c r="N45" s="26">
        <f t="shared" si="2"/>
        <v>0</v>
      </c>
      <c r="O45" s="20">
        <f t="shared" si="3"/>
        <v>0</v>
      </c>
      <c r="P45" s="20">
        <f>IF(OR($E45&lt;&gt;"CS",$H45&lt;&gt;"x"),0,INDEX($Z$4:$Z$14,MATCH($G45,$X$4:$X55,0),1))*J45*1.1</f>
        <v>0</v>
      </c>
      <c r="Q45" s="26">
        <f>IF($I45&lt;&gt;"x",0,INDEX($Z$27:$Z$37,MATCH($G45,$X$27:$X78,0),1))*J45*1.1</f>
        <v>0</v>
      </c>
      <c r="R45" s="20">
        <f t="shared" si="4"/>
        <v>0</v>
      </c>
      <c r="S45" s="86">
        <f t="shared" si="5"/>
        <v>0</v>
      </c>
    </row>
    <row r="46" spans="2:26">
      <c r="B46" s="14">
        <f t="shared" si="6"/>
        <v>43</v>
      </c>
      <c r="C46" s="37" t="s">
        <v>572</v>
      </c>
      <c r="D46" s="37" t="s">
        <v>573</v>
      </c>
      <c r="E46" s="37" t="s">
        <v>574</v>
      </c>
      <c r="F46" s="38">
        <v>0</v>
      </c>
      <c r="G46" s="37">
        <v>3</v>
      </c>
      <c r="H46" s="37" t="s">
        <v>448</v>
      </c>
      <c r="I46" s="37" t="s">
        <v>448</v>
      </c>
      <c r="J46" s="41">
        <f t="shared" si="8"/>
        <v>0</v>
      </c>
      <c r="K46" s="26">
        <f>IF(OR($E46&lt;&gt;"CS",$H46&lt;&gt;"x"),0,INDEX($Y$4:$Y$14,MATCH($G46,$X$4:$X56,0),1))*J46*1.1</f>
        <v>0</v>
      </c>
      <c r="L46" s="26">
        <f t="shared" si="1"/>
        <v>0</v>
      </c>
      <c r="M46" s="26">
        <f>IF($I46&lt;&gt;"x",0,INDEX($Y$27:$Y$37,MATCH($G46,$X$27:$X79,0),1))*J46*1.1</f>
        <v>0</v>
      </c>
      <c r="N46" s="26">
        <f t="shared" si="2"/>
        <v>0</v>
      </c>
      <c r="O46" s="20">
        <f t="shared" si="3"/>
        <v>0</v>
      </c>
      <c r="P46" s="20">
        <f>IF(OR($E46&lt;&gt;"CS",$H46&lt;&gt;"x"),0,INDEX($Z$4:$Z$14,MATCH($G46,$X$4:$X56,0),1))*J46*1.1</f>
        <v>0</v>
      </c>
      <c r="Q46" s="26">
        <f>IF($I46&lt;&gt;"x",0,INDEX($Z$27:$Z$37,MATCH($G46,$X$27:$X79,0),1))*J46*1.1</f>
        <v>0</v>
      </c>
      <c r="R46" s="20">
        <f t="shared" si="4"/>
        <v>0</v>
      </c>
      <c r="S46" s="86">
        <f t="shared" si="5"/>
        <v>0</v>
      </c>
    </row>
    <row r="47" spans="2:26">
      <c r="B47" s="14">
        <f t="shared" si="6"/>
        <v>44</v>
      </c>
      <c r="C47" s="37" t="s">
        <v>572</v>
      </c>
      <c r="D47" s="37" t="s">
        <v>573</v>
      </c>
      <c r="E47" s="37" t="s">
        <v>574</v>
      </c>
      <c r="F47" s="38">
        <v>0</v>
      </c>
      <c r="G47" s="37">
        <v>3</v>
      </c>
      <c r="H47" s="37" t="s">
        <v>448</v>
      </c>
      <c r="I47" s="37" t="s">
        <v>448</v>
      </c>
      <c r="J47" s="41">
        <f t="shared" si="8"/>
        <v>0</v>
      </c>
      <c r="K47" s="26">
        <f>IF(OR($E47&lt;&gt;"CS",$H47&lt;&gt;"x"),0,INDEX($Y$4:$Y$14,MATCH($G47,$X$4:$X57,0),1))*J47*1.1</f>
        <v>0</v>
      </c>
      <c r="L47" s="26">
        <f t="shared" si="1"/>
        <v>0</v>
      </c>
      <c r="M47" s="26">
        <f>IF($I47&lt;&gt;"x",0,INDEX($Y$27:$Y$37,MATCH($G47,$X$27:$X80,0),1))*J47*1.1</f>
        <v>0</v>
      </c>
      <c r="N47" s="26">
        <f t="shared" si="2"/>
        <v>0</v>
      </c>
      <c r="O47" s="20">
        <f t="shared" si="3"/>
        <v>0</v>
      </c>
      <c r="P47" s="20">
        <f>IF(OR($E47&lt;&gt;"CS",$H47&lt;&gt;"x"),0,INDEX($Z$4:$Z$14,MATCH($G47,$X$4:$X57,0),1))*J47*1.1</f>
        <v>0</v>
      </c>
      <c r="Q47" s="26">
        <f>IF($I47&lt;&gt;"x",0,INDEX($Z$27:$Z$37,MATCH($G47,$X$27:$X80,0),1))*J47*1.1</f>
        <v>0</v>
      </c>
      <c r="R47" s="20">
        <f t="shared" si="4"/>
        <v>0</v>
      </c>
      <c r="S47" s="86">
        <f t="shared" si="5"/>
        <v>0</v>
      </c>
    </row>
    <row r="48" spans="2:26">
      <c r="B48" s="14">
        <f t="shared" si="6"/>
        <v>45</v>
      </c>
      <c r="C48" s="37" t="s">
        <v>572</v>
      </c>
      <c r="D48" s="37" t="s">
        <v>573</v>
      </c>
      <c r="E48" s="37" t="s">
        <v>574</v>
      </c>
      <c r="F48" s="38">
        <v>0</v>
      </c>
      <c r="G48" s="37">
        <v>3</v>
      </c>
      <c r="H48" s="37" t="s">
        <v>448</v>
      </c>
      <c r="I48" s="37" t="s">
        <v>448</v>
      </c>
      <c r="J48" s="41">
        <f t="shared" si="8"/>
        <v>0</v>
      </c>
      <c r="K48" s="26">
        <f>IF(OR($E48&lt;&gt;"CS",$H48&lt;&gt;"x"),0,INDEX($Y$4:$Y$14,MATCH($G48,$X$4:$X58,0),1))*J48*1.1</f>
        <v>0</v>
      </c>
      <c r="L48" s="26">
        <f t="shared" si="1"/>
        <v>0</v>
      </c>
      <c r="M48" s="26">
        <f>IF($I48&lt;&gt;"x",0,INDEX($Y$27:$Y$37,MATCH($G48,$X$27:$X81,0),1))*J48*1.1</f>
        <v>0</v>
      </c>
      <c r="N48" s="26">
        <f t="shared" si="2"/>
        <v>0</v>
      </c>
      <c r="O48" s="20">
        <f t="shared" si="3"/>
        <v>0</v>
      </c>
      <c r="P48" s="20">
        <f>IF(OR($E48&lt;&gt;"CS",$H48&lt;&gt;"x"),0,INDEX($Z$4:$Z$14,MATCH($G48,$X$4:$X58,0),1))*J48*1.1</f>
        <v>0</v>
      </c>
      <c r="Q48" s="26">
        <f>IF($I48&lt;&gt;"x",0,INDEX($Z$27:$Z$37,MATCH($G48,$X$27:$X81,0),1))*J48*1.1</f>
        <v>0</v>
      </c>
      <c r="R48" s="20">
        <f t="shared" si="4"/>
        <v>0</v>
      </c>
      <c r="S48" s="86">
        <f t="shared" si="5"/>
        <v>0</v>
      </c>
    </row>
    <row r="49" spans="2:19">
      <c r="B49" s="14">
        <f t="shared" si="6"/>
        <v>46</v>
      </c>
      <c r="C49" s="37" t="s">
        <v>572</v>
      </c>
      <c r="D49" s="37" t="s">
        <v>573</v>
      </c>
      <c r="E49" s="37" t="s">
        <v>574</v>
      </c>
      <c r="F49" s="38">
        <v>0</v>
      </c>
      <c r="G49" s="37">
        <v>3</v>
      </c>
      <c r="H49" s="37" t="s">
        <v>448</v>
      </c>
      <c r="I49" s="37" t="s">
        <v>448</v>
      </c>
      <c r="J49" s="41">
        <f t="shared" si="8"/>
        <v>0</v>
      </c>
      <c r="K49" s="26">
        <f>IF(OR($E49&lt;&gt;"CS",$H49&lt;&gt;"x"),0,INDEX($Y$4:$Y$14,MATCH($G49,$X$4:$X59,0),1))*J49*1.1</f>
        <v>0</v>
      </c>
      <c r="L49" s="26">
        <f t="shared" si="1"/>
        <v>0</v>
      </c>
      <c r="M49" s="26">
        <f>IF($I49&lt;&gt;"x",0,INDEX($Y$27:$Y$37,MATCH($G49,$X$27:$X82,0),1))*J49*1.1</f>
        <v>0</v>
      </c>
      <c r="N49" s="26">
        <f t="shared" si="2"/>
        <v>0</v>
      </c>
      <c r="O49" s="20">
        <f t="shared" si="3"/>
        <v>0</v>
      </c>
      <c r="P49" s="20">
        <f>IF(OR($E49&lt;&gt;"CS",$H49&lt;&gt;"x"),0,INDEX($Z$4:$Z$14,MATCH($G49,$X$4:$X59,0),1))*J49*1.1</f>
        <v>0</v>
      </c>
      <c r="Q49" s="26">
        <f>IF($I49&lt;&gt;"x",0,INDEX($Z$27:$Z$37,MATCH($G49,$X$27:$X82,0),1))*J49*1.1</f>
        <v>0</v>
      </c>
      <c r="R49" s="20">
        <f t="shared" si="4"/>
        <v>0</v>
      </c>
      <c r="S49" s="86">
        <f t="shared" si="5"/>
        <v>0</v>
      </c>
    </row>
    <row r="50" spans="2:19">
      <c r="B50" s="14">
        <f t="shared" si="6"/>
        <v>47</v>
      </c>
      <c r="C50" s="37" t="s">
        <v>572</v>
      </c>
      <c r="D50" s="37" t="s">
        <v>573</v>
      </c>
      <c r="E50" s="37" t="s">
        <v>574</v>
      </c>
      <c r="F50" s="38">
        <v>0</v>
      </c>
      <c r="G50" s="37">
        <v>3</v>
      </c>
      <c r="H50" s="37" t="s">
        <v>448</v>
      </c>
      <c r="I50" s="37" t="s">
        <v>448</v>
      </c>
      <c r="J50" s="41">
        <f t="shared" si="8"/>
        <v>0</v>
      </c>
      <c r="K50" s="26">
        <f>IF(OR($E50&lt;&gt;"CS",$H50&lt;&gt;"x"),0,INDEX($Y$4:$Y$14,MATCH($G50,$X$4:$X60,0),1))*J50*1.1</f>
        <v>0</v>
      </c>
      <c r="L50" s="26">
        <f t="shared" si="1"/>
        <v>0</v>
      </c>
      <c r="M50" s="26">
        <f>IF($I50&lt;&gt;"x",0,INDEX($Y$27:$Y$37,MATCH($G50,$X$27:$X83,0),1))*J50*1.1</f>
        <v>0</v>
      </c>
      <c r="N50" s="26">
        <f t="shared" si="2"/>
        <v>0</v>
      </c>
      <c r="O50" s="20">
        <f t="shared" si="3"/>
        <v>0</v>
      </c>
      <c r="P50" s="20">
        <f>IF(OR($E50&lt;&gt;"CS",$H50&lt;&gt;"x"),0,INDEX($Z$4:$Z$14,MATCH($G50,$X$4:$X60,0),1))*J50*1.1</f>
        <v>0</v>
      </c>
      <c r="Q50" s="26">
        <f>IF($I50&lt;&gt;"x",0,INDEX($Z$27:$Z$37,MATCH($G50,$X$27:$X83,0),1))*J50*1.1</f>
        <v>0</v>
      </c>
      <c r="R50" s="20">
        <f t="shared" si="4"/>
        <v>0</v>
      </c>
      <c r="S50" s="86">
        <f t="shared" si="5"/>
        <v>0</v>
      </c>
    </row>
    <row r="51" spans="2:19">
      <c r="B51" s="14">
        <f t="shared" si="6"/>
        <v>48</v>
      </c>
      <c r="C51" s="37" t="s">
        <v>572</v>
      </c>
      <c r="D51" s="37" t="s">
        <v>573</v>
      </c>
      <c r="E51" s="37" t="s">
        <v>574</v>
      </c>
      <c r="F51" s="38">
        <v>0</v>
      </c>
      <c r="G51" s="37">
        <v>1</v>
      </c>
      <c r="H51" s="37" t="s">
        <v>448</v>
      </c>
      <c r="I51" s="37" t="s">
        <v>448</v>
      </c>
      <c r="J51" s="41">
        <f t="shared" si="8"/>
        <v>0</v>
      </c>
      <c r="K51" s="26">
        <f>IF(OR($E51&lt;&gt;"CS",$H51&lt;&gt;"x"),0,INDEX($Y$4:$Y$14,MATCH($G51,$X$4:$X61,0),1))*J51*1.1</f>
        <v>0</v>
      </c>
      <c r="L51" s="26">
        <f t="shared" si="1"/>
        <v>0</v>
      </c>
      <c r="M51" s="26">
        <f>IF($I51&lt;&gt;"x",0,INDEX($Y$27:$Y$37,MATCH($G51,$X$27:$X84,0),1))*J51*1.1</f>
        <v>0</v>
      </c>
      <c r="N51" s="26">
        <f t="shared" si="2"/>
        <v>0</v>
      </c>
      <c r="O51" s="20">
        <f t="shared" si="3"/>
        <v>0</v>
      </c>
      <c r="P51" s="20">
        <f>IF(OR($E51&lt;&gt;"CS",$H51&lt;&gt;"x"),0,INDEX($Z$4:$Z$14,MATCH($G51,$X$4:$X61,0),1))*J51*1.1</f>
        <v>0</v>
      </c>
      <c r="Q51" s="26">
        <f>IF($I51&lt;&gt;"x",0,INDEX($Z$27:$Z$37,MATCH($G51,$X$27:$X84,0),1))*J51*1.1</f>
        <v>0</v>
      </c>
      <c r="R51" s="20">
        <f t="shared" si="4"/>
        <v>0</v>
      </c>
      <c r="S51" s="86">
        <f t="shared" si="5"/>
        <v>0</v>
      </c>
    </row>
    <row r="52" spans="2:19">
      <c r="B52" s="14">
        <f t="shared" si="6"/>
        <v>49</v>
      </c>
      <c r="C52" s="37" t="s">
        <v>572</v>
      </c>
      <c r="D52" s="37" t="s">
        <v>573</v>
      </c>
      <c r="E52" s="37" t="s">
        <v>574</v>
      </c>
      <c r="F52" s="38">
        <v>0</v>
      </c>
      <c r="G52" s="37">
        <v>1</v>
      </c>
      <c r="H52" s="37" t="s">
        <v>448</v>
      </c>
      <c r="I52" s="37" t="s">
        <v>448</v>
      </c>
      <c r="J52" s="41">
        <f t="shared" si="8"/>
        <v>0</v>
      </c>
      <c r="K52" s="26">
        <f>IF(OR($E52&lt;&gt;"CS",$H52&lt;&gt;"x"),0,INDEX($Y$4:$Y$14,MATCH($G52,$X$4:$X62,0),1))*J52*1.1</f>
        <v>0</v>
      </c>
      <c r="L52" s="26">
        <f t="shared" si="1"/>
        <v>0</v>
      </c>
      <c r="M52" s="26">
        <f>IF($I52&lt;&gt;"x",0,INDEX($Y$27:$Y$37,MATCH($G52,$X$27:$X85,0),1))*J52*1.1</f>
        <v>0</v>
      </c>
      <c r="N52" s="26">
        <f t="shared" si="2"/>
        <v>0</v>
      </c>
      <c r="O52" s="20">
        <f t="shared" si="3"/>
        <v>0</v>
      </c>
      <c r="P52" s="20">
        <f>IF(OR($E52&lt;&gt;"CS",$H52&lt;&gt;"x"),0,INDEX($Z$4:$Z$14,MATCH($G52,$X$4:$X62,0),1))*J52*1.1</f>
        <v>0</v>
      </c>
      <c r="Q52" s="26">
        <f>IF($I52&lt;&gt;"x",0,INDEX($Z$27:$Z$37,MATCH($G52,$X$27:$X85,0),1))*J52*1.1</f>
        <v>0</v>
      </c>
      <c r="R52" s="20">
        <f t="shared" si="4"/>
        <v>0</v>
      </c>
      <c r="S52" s="86">
        <f t="shared" si="5"/>
        <v>0</v>
      </c>
    </row>
    <row r="53" spans="2:19">
      <c r="B53" s="14">
        <f t="shared" si="6"/>
        <v>50</v>
      </c>
      <c r="C53" s="37" t="s">
        <v>572</v>
      </c>
      <c r="D53" s="37" t="s">
        <v>573</v>
      </c>
      <c r="E53" s="37" t="s">
        <v>574</v>
      </c>
      <c r="F53" s="38">
        <v>0</v>
      </c>
      <c r="G53" s="37">
        <v>1</v>
      </c>
      <c r="H53" s="37" t="s">
        <v>448</v>
      </c>
      <c r="I53" s="37" t="s">
        <v>448</v>
      </c>
      <c r="J53" s="41">
        <f t="shared" si="8"/>
        <v>0</v>
      </c>
      <c r="K53" s="26">
        <f>IF(OR($E53&lt;&gt;"CS",$H53&lt;&gt;"x"),0,INDEX($Y$4:$Y$14,MATCH($G53,$X$4:$X63,0),1))*J53*1.1</f>
        <v>0</v>
      </c>
      <c r="L53" s="26">
        <f t="shared" si="1"/>
        <v>0</v>
      </c>
      <c r="M53" s="26">
        <f>IF($I53&lt;&gt;"x",0,INDEX($Y$27:$Y$37,MATCH($G53,$X$27:$X86,0),1))*J53*1.1</f>
        <v>0</v>
      </c>
      <c r="N53" s="26">
        <f t="shared" si="2"/>
        <v>0</v>
      </c>
      <c r="O53" s="20">
        <f t="shared" si="3"/>
        <v>0</v>
      </c>
      <c r="P53" s="20">
        <f>IF(OR($E53&lt;&gt;"CS",$H53&lt;&gt;"x"),0,INDEX($Z$4:$Z$14,MATCH($G53,$X$4:$X63,0),1))*J53*1.1</f>
        <v>0</v>
      </c>
      <c r="Q53" s="26">
        <f>IF($I53&lt;&gt;"x",0,INDEX($Z$27:$Z$37,MATCH($G53,$X$27:$X86,0),1))*J53*1.1</f>
        <v>0</v>
      </c>
      <c r="R53" s="20">
        <f t="shared" si="4"/>
        <v>0</v>
      </c>
      <c r="S53" s="86">
        <f t="shared" si="5"/>
        <v>0</v>
      </c>
    </row>
    <row r="54" spans="2:19">
      <c r="B54" s="14">
        <f t="shared" si="6"/>
        <v>51</v>
      </c>
      <c r="C54" s="37" t="s">
        <v>572</v>
      </c>
      <c r="D54" s="37" t="s">
        <v>573</v>
      </c>
      <c r="E54" s="37" t="s">
        <v>574</v>
      </c>
      <c r="F54" s="38">
        <v>0</v>
      </c>
      <c r="G54" s="37">
        <v>1</v>
      </c>
      <c r="H54" s="37" t="s">
        <v>448</v>
      </c>
      <c r="I54" s="37" t="s">
        <v>448</v>
      </c>
      <c r="J54" s="41">
        <f t="shared" si="8"/>
        <v>0</v>
      </c>
      <c r="K54" s="26">
        <f>IF(OR($E54&lt;&gt;"CS",$H54&lt;&gt;"x"),0,INDEX($Y$4:$Y$14,MATCH($G54,$X$4:$X64,0),1))*J54*1.1</f>
        <v>0</v>
      </c>
      <c r="L54" s="26">
        <f t="shared" si="1"/>
        <v>0</v>
      </c>
      <c r="M54" s="26">
        <f>IF($I54&lt;&gt;"x",0,INDEX($Y$27:$Y$37,MATCH($G54,$X$27:$X87,0),1))*J54*1.1</f>
        <v>0</v>
      </c>
      <c r="N54" s="26">
        <f t="shared" si="2"/>
        <v>0</v>
      </c>
      <c r="O54" s="20">
        <f t="shared" si="3"/>
        <v>0</v>
      </c>
      <c r="P54" s="20">
        <f>IF(OR($E54&lt;&gt;"CS",$H54&lt;&gt;"x"),0,INDEX($Z$4:$Z$14,MATCH($G54,$X$4:$X64,0),1))*J54*1.1</f>
        <v>0</v>
      </c>
      <c r="Q54" s="26">
        <f>IF($I54&lt;&gt;"x",0,INDEX($Z$27:$Z$37,MATCH($G54,$X$27:$X87,0),1))*J54*1.1</f>
        <v>0</v>
      </c>
      <c r="R54" s="20">
        <f t="shared" si="4"/>
        <v>0</v>
      </c>
      <c r="S54" s="86">
        <f t="shared" si="5"/>
        <v>0</v>
      </c>
    </row>
    <row r="55" spans="2:19">
      <c r="B55" s="14">
        <f t="shared" si="6"/>
        <v>52</v>
      </c>
      <c r="C55" s="37" t="s">
        <v>572</v>
      </c>
      <c r="D55" s="37" t="s">
        <v>573</v>
      </c>
      <c r="E55" s="37" t="s">
        <v>574</v>
      </c>
      <c r="F55" s="38">
        <v>0</v>
      </c>
      <c r="G55" s="37">
        <v>1</v>
      </c>
      <c r="H55" s="37" t="s">
        <v>448</v>
      </c>
      <c r="I55" s="37" t="s">
        <v>448</v>
      </c>
      <c r="J55" s="41">
        <f t="shared" si="8"/>
        <v>0</v>
      </c>
      <c r="K55" s="26">
        <f>IF(OR($E55&lt;&gt;"CS",$H55&lt;&gt;"x"),0,INDEX($Y$4:$Y$14,MATCH($G55,$X$4:$X65,0),1))*J55*1.1</f>
        <v>0</v>
      </c>
      <c r="L55" s="26">
        <f t="shared" si="1"/>
        <v>0</v>
      </c>
      <c r="M55" s="26">
        <f>IF($I55&lt;&gt;"x",0,INDEX($Y$27:$Y$37,MATCH($G55,$X$27:$X88,0),1))*J55*1.1</f>
        <v>0</v>
      </c>
      <c r="N55" s="26">
        <f t="shared" si="2"/>
        <v>0</v>
      </c>
      <c r="O55" s="20">
        <f t="shared" si="3"/>
        <v>0</v>
      </c>
      <c r="P55" s="20">
        <f>IF(OR($E55&lt;&gt;"CS",$H55&lt;&gt;"x"),0,INDEX($Z$4:$Z$14,MATCH($G55,$X$4:$X65,0),1))*J55*1.1</f>
        <v>0</v>
      </c>
      <c r="Q55" s="26">
        <f>IF($I55&lt;&gt;"x",0,INDEX($Z$27:$Z$37,MATCH($G55,$X$27:$X88,0),1))*J55*1.1</f>
        <v>0</v>
      </c>
      <c r="R55" s="20">
        <f t="shared" si="4"/>
        <v>0</v>
      </c>
      <c r="S55" s="86">
        <f t="shared" si="5"/>
        <v>0</v>
      </c>
    </row>
    <row r="56" spans="2:19">
      <c r="B56" s="14">
        <f t="shared" si="6"/>
        <v>53</v>
      </c>
      <c r="C56" s="37" t="s">
        <v>572</v>
      </c>
      <c r="D56" s="37" t="s">
        <v>573</v>
      </c>
      <c r="E56" s="37" t="s">
        <v>574</v>
      </c>
      <c r="F56" s="38">
        <v>0</v>
      </c>
      <c r="G56" s="37">
        <v>1</v>
      </c>
      <c r="H56" s="37" t="s">
        <v>448</v>
      </c>
      <c r="I56" s="37" t="s">
        <v>448</v>
      </c>
      <c r="J56" s="41">
        <f t="shared" si="8"/>
        <v>0</v>
      </c>
      <c r="K56" s="26">
        <f>IF(OR($E56&lt;&gt;"CS",$H56&lt;&gt;"x"),0,INDEX($Y$4:$Y$14,MATCH($G56,$X$4:$X66,0),1))*J56*1.1</f>
        <v>0</v>
      </c>
      <c r="L56" s="26">
        <f t="shared" si="1"/>
        <v>0</v>
      </c>
      <c r="M56" s="26">
        <f>IF($I56&lt;&gt;"x",0,INDEX($Y$27:$Y$37,MATCH($G56,$X$27:$X89,0),1))*J56*1.1</f>
        <v>0</v>
      </c>
      <c r="N56" s="26">
        <f t="shared" si="2"/>
        <v>0</v>
      </c>
      <c r="O56" s="20">
        <f t="shared" si="3"/>
        <v>0</v>
      </c>
      <c r="P56" s="20">
        <f>IF(OR($E56&lt;&gt;"CS",$H56&lt;&gt;"x"),0,INDEX($Z$4:$Z$14,MATCH($G56,$X$4:$X66,0),1))*J56*1.1</f>
        <v>0</v>
      </c>
      <c r="Q56" s="26">
        <f>IF($I56&lt;&gt;"x",0,INDEX($Z$27:$Z$37,MATCH($G56,$X$27:$X89,0),1))*J56*1.1</f>
        <v>0</v>
      </c>
      <c r="R56" s="20">
        <f t="shared" si="4"/>
        <v>0</v>
      </c>
      <c r="S56" s="86">
        <f t="shared" si="5"/>
        <v>0</v>
      </c>
    </row>
    <row r="57" spans="2:19">
      <c r="B57" s="14">
        <f t="shared" si="6"/>
        <v>54</v>
      </c>
      <c r="C57" s="37" t="s">
        <v>572</v>
      </c>
      <c r="D57" s="37" t="s">
        <v>573</v>
      </c>
      <c r="E57" s="37" t="s">
        <v>574</v>
      </c>
      <c r="F57" s="38">
        <v>0</v>
      </c>
      <c r="G57" s="37">
        <v>10</v>
      </c>
      <c r="H57" s="37" t="s">
        <v>448</v>
      </c>
      <c r="I57" s="37" t="s">
        <v>448</v>
      </c>
      <c r="J57" s="41">
        <f t="shared" si="8"/>
        <v>0</v>
      </c>
      <c r="K57" s="26">
        <f>IF(OR($E57&lt;&gt;"CS",$H57&lt;&gt;"x"),0,INDEX($Y$4:$Y$14,MATCH($G57,$X$4:$X67,0),1))*J57*1.1</f>
        <v>0</v>
      </c>
      <c r="L57" s="26">
        <f t="shared" si="1"/>
        <v>0</v>
      </c>
      <c r="M57" s="26">
        <f>IF($I57&lt;&gt;"x",0,INDEX($Y$27:$Y$37,MATCH($G57,$X$27:$X90,0),1))*J57*1.1</f>
        <v>0</v>
      </c>
      <c r="N57" s="26">
        <f t="shared" si="2"/>
        <v>0</v>
      </c>
      <c r="O57" s="20">
        <f t="shared" si="3"/>
        <v>0</v>
      </c>
      <c r="P57" s="20">
        <f>IF(OR($E57&lt;&gt;"CS",$H57&lt;&gt;"x"),0,INDEX($Z$4:$Z$14,MATCH($G57,$X$4:$X67,0),1))*J57*1.1</f>
        <v>0</v>
      </c>
      <c r="Q57" s="26">
        <f>IF($I57&lt;&gt;"x",0,INDEX($Z$27:$Z$37,MATCH($G57,$X$27:$X90,0),1))*J57*1.1</f>
        <v>0</v>
      </c>
      <c r="R57" s="20">
        <f t="shared" si="4"/>
        <v>0</v>
      </c>
      <c r="S57" s="86">
        <f t="shared" si="5"/>
        <v>0</v>
      </c>
    </row>
    <row r="58" spans="2:19">
      <c r="B58" s="14">
        <f t="shared" si="6"/>
        <v>55</v>
      </c>
      <c r="C58" s="37" t="s">
        <v>572</v>
      </c>
      <c r="D58" s="37" t="s">
        <v>573</v>
      </c>
      <c r="E58" s="37" t="s">
        <v>574</v>
      </c>
      <c r="F58" s="38">
        <v>0</v>
      </c>
      <c r="G58" s="37">
        <v>10</v>
      </c>
      <c r="H58" s="37" t="s">
        <v>448</v>
      </c>
      <c r="I58" s="37" t="s">
        <v>448</v>
      </c>
      <c r="J58" s="41">
        <f t="shared" si="8"/>
        <v>0</v>
      </c>
      <c r="K58" s="26">
        <f>IF(OR($E58&lt;&gt;"CS",$H58&lt;&gt;"x"),0,INDEX($Y$4:$Y$14,MATCH($G58,$X$4:$X68,0),1))*J58*1.1</f>
        <v>0</v>
      </c>
      <c r="L58" s="26">
        <f t="shared" si="1"/>
        <v>0</v>
      </c>
      <c r="M58" s="26">
        <f>IF($I58&lt;&gt;"x",0,INDEX($Y$27:$Y$37,MATCH($G58,$X$27:$X91,0),1))*J58*1.1</f>
        <v>0</v>
      </c>
      <c r="N58" s="26">
        <f t="shared" si="2"/>
        <v>0</v>
      </c>
      <c r="O58" s="20">
        <f t="shared" si="3"/>
        <v>0</v>
      </c>
      <c r="P58" s="20">
        <f>IF(OR($E58&lt;&gt;"CS",$H58&lt;&gt;"x"),0,INDEX($Z$4:$Z$14,MATCH($G58,$X$4:$X68,0),1))*J58*1.1</f>
        <v>0</v>
      </c>
      <c r="Q58" s="26">
        <f>IF($I58&lt;&gt;"x",0,INDEX($Z$27:$Z$37,MATCH($G58,$X$27:$X91,0),1))*J58*1.1</f>
        <v>0</v>
      </c>
      <c r="R58" s="20">
        <f t="shared" si="4"/>
        <v>0</v>
      </c>
      <c r="S58" s="86">
        <f t="shared" si="5"/>
        <v>0</v>
      </c>
    </row>
    <row r="59" spans="2:19">
      <c r="B59" s="14">
        <f t="shared" si="6"/>
        <v>56</v>
      </c>
      <c r="C59" s="37" t="s">
        <v>572</v>
      </c>
      <c r="D59" s="37" t="s">
        <v>573</v>
      </c>
      <c r="E59" s="37" t="s">
        <v>574</v>
      </c>
      <c r="F59" s="38">
        <v>0</v>
      </c>
      <c r="G59" s="37">
        <v>12</v>
      </c>
      <c r="H59" s="37" t="s">
        <v>448</v>
      </c>
      <c r="I59" s="37" t="s">
        <v>448</v>
      </c>
      <c r="J59" s="41">
        <f t="shared" si="8"/>
        <v>0</v>
      </c>
      <c r="K59" s="26">
        <f>IF(OR($E59&lt;&gt;"CS",$H59&lt;&gt;"x"),0,INDEX($Y$4:$Y$14,MATCH($G59,$X$4:$X69,0),1))*J59*1.1</f>
        <v>0</v>
      </c>
      <c r="L59" s="26">
        <f t="shared" si="1"/>
        <v>0</v>
      </c>
      <c r="M59" s="26">
        <f>IF($I59&lt;&gt;"x",0,INDEX($Y$27:$Y$37,MATCH($G59,$X$27:$X92,0),1))*J59*1.1</f>
        <v>0</v>
      </c>
      <c r="N59" s="26">
        <f t="shared" si="2"/>
        <v>0</v>
      </c>
      <c r="O59" s="20">
        <f t="shared" si="3"/>
        <v>0</v>
      </c>
      <c r="P59" s="20">
        <f>IF(OR($E59&lt;&gt;"CS",$H59&lt;&gt;"x"),0,INDEX($Z$4:$Z$14,MATCH($G59,$X$4:$X69,0),1))*J59*1.1</f>
        <v>0</v>
      </c>
      <c r="Q59" s="26">
        <f>IF($I59&lt;&gt;"x",0,INDEX($Z$27:$Z$37,MATCH($G59,$X$27:$X92,0),1))*J59*1.1</f>
        <v>0</v>
      </c>
      <c r="R59" s="20">
        <f t="shared" si="4"/>
        <v>0</v>
      </c>
      <c r="S59" s="86">
        <f t="shared" si="5"/>
        <v>0</v>
      </c>
    </row>
    <row r="60" spans="2:19">
      <c r="B60" s="14">
        <f t="shared" si="6"/>
        <v>57</v>
      </c>
      <c r="C60" s="37" t="s">
        <v>572</v>
      </c>
      <c r="D60" s="37" t="s">
        <v>573</v>
      </c>
      <c r="E60" s="37" t="s">
        <v>574</v>
      </c>
      <c r="F60" s="38">
        <v>0</v>
      </c>
      <c r="G60" s="37">
        <v>12</v>
      </c>
      <c r="H60" s="37" t="s">
        <v>448</v>
      </c>
      <c r="I60" s="37" t="s">
        <v>448</v>
      </c>
      <c r="J60" s="41">
        <f t="shared" si="8"/>
        <v>0</v>
      </c>
      <c r="K60" s="26">
        <f>IF(OR($E60&lt;&gt;"CS",$H60&lt;&gt;"x"),0,INDEX($Y$4:$Y$14,MATCH($G60,$X$4:$X70,0),1))*J60*1.1</f>
        <v>0</v>
      </c>
      <c r="L60" s="26">
        <f t="shared" si="1"/>
        <v>0</v>
      </c>
      <c r="M60" s="26">
        <f>IF($I60&lt;&gt;"x",0,INDEX($Y$27:$Y$37,MATCH($G60,$X$27:$X93,0),1))*J60*1.1</f>
        <v>0</v>
      </c>
      <c r="N60" s="26">
        <f t="shared" si="2"/>
        <v>0</v>
      </c>
      <c r="O60" s="20">
        <f t="shared" si="3"/>
        <v>0</v>
      </c>
      <c r="P60" s="20">
        <f>IF(OR($E60&lt;&gt;"CS",$H60&lt;&gt;"x"),0,INDEX($Z$4:$Z$14,MATCH($G60,$X$4:$X70,0),1))*J60*1.1</f>
        <v>0</v>
      </c>
      <c r="Q60" s="26">
        <f>IF($I60&lt;&gt;"x",0,INDEX($Z$27:$Z$37,MATCH($G60,$X$27:$X93,0),1))*J60*1.1</f>
        <v>0</v>
      </c>
      <c r="R60" s="20">
        <f t="shared" si="4"/>
        <v>0</v>
      </c>
      <c r="S60" s="86">
        <f t="shared" si="5"/>
        <v>0</v>
      </c>
    </row>
    <row r="61" spans="2:19">
      <c r="B61" s="14">
        <f t="shared" si="6"/>
        <v>58</v>
      </c>
      <c r="C61" s="37" t="s">
        <v>572</v>
      </c>
      <c r="D61" s="37" t="s">
        <v>573</v>
      </c>
      <c r="E61" s="37" t="s">
        <v>574</v>
      </c>
      <c r="F61" s="38">
        <v>0</v>
      </c>
      <c r="G61" s="37">
        <v>6</v>
      </c>
      <c r="H61" s="37" t="s">
        <v>448</v>
      </c>
      <c r="I61" s="37" t="s">
        <v>448</v>
      </c>
      <c r="J61" s="41">
        <f t="shared" si="8"/>
        <v>0</v>
      </c>
      <c r="K61" s="26">
        <f>IF(OR($E61&lt;&gt;"CS",$H61&lt;&gt;"x"),0,INDEX($Y$4:$Y$14,MATCH($G61,$X$4:$X71,0),1))*J61*1.1</f>
        <v>0</v>
      </c>
      <c r="L61" s="26">
        <f t="shared" si="1"/>
        <v>0</v>
      </c>
      <c r="M61" s="26">
        <f>IF($I61&lt;&gt;"x",0,INDEX($Y$27:$Y$37,MATCH($G61,$X$27:$X94,0),1))*J61*1.1</f>
        <v>0</v>
      </c>
      <c r="N61" s="26">
        <f t="shared" si="2"/>
        <v>0</v>
      </c>
      <c r="O61" s="20">
        <f t="shared" si="3"/>
        <v>0</v>
      </c>
      <c r="P61" s="20">
        <f>IF(OR($E61&lt;&gt;"CS",$H61&lt;&gt;"x"),0,INDEX($Z$4:$Z$14,MATCH($G61,$X$4:$X71,0),1))*J61*1.1</f>
        <v>0</v>
      </c>
      <c r="Q61" s="26">
        <f>IF($I61&lt;&gt;"x",0,INDEX($Z$27:$Z$37,MATCH($G61,$X$27:$X94,0),1))*J61*1.1</f>
        <v>0</v>
      </c>
      <c r="R61" s="20">
        <f t="shared" si="4"/>
        <v>0</v>
      </c>
      <c r="S61" s="86">
        <f t="shared" si="5"/>
        <v>0</v>
      </c>
    </row>
    <row r="62" spans="2:19">
      <c r="B62" s="14">
        <f t="shared" si="6"/>
        <v>59</v>
      </c>
      <c r="C62" s="37" t="s">
        <v>572</v>
      </c>
      <c r="D62" s="37" t="s">
        <v>573</v>
      </c>
      <c r="E62" s="37" t="s">
        <v>574</v>
      </c>
      <c r="F62" s="38">
        <v>0</v>
      </c>
      <c r="G62" s="37">
        <v>6</v>
      </c>
      <c r="H62" s="37" t="s">
        <v>448</v>
      </c>
      <c r="I62" s="37" t="s">
        <v>448</v>
      </c>
      <c r="J62" s="41">
        <f t="shared" si="8"/>
        <v>0</v>
      </c>
      <c r="K62" s="26">
        <f>IF(OR($E62&lt;&gt;"CS",$H62&lt;&gt;"x"),0,INDEX($Y$4:$Y$14,MATCH($G62,$X$4:$X72,0),1))*J62*1.1</f>
        <v>0</v>
      </c>
      <c r="L62" s="26">
        <f t="shared" si="1"/>
        <v>0</v>
      </c>
      <c r="M62" s="26">
        <f>IF($I62&lt;&gt;"x",0,INDEX($Y$27:$Y$37,MATCH($G62,$X$27:$X95,0),1))*J62*1.1</f>
        <v>0</v>
      </c>
      <c r="N62" s="26">
        <f t="shared" si="2"/>
        <v>0</v>
      </c>
      <c r="O62" s="20">
        <f t="shared" si="3"/>
        <v>0</v>
      </c>
      <c r="P62" s="20">
        <f>IF(OR($E62&lt;&gt;"CS",$H62&lt;&gt;"x"),0,INDEX($Z$4:$Z$14,MATCH($G62,$X$4:$X72,0),1))*J62*1.1</f>
        <v>0</v>
      </c>
      <c r="Q62" s="26">
        <f>IF($I62&lt;&gt;"x",0,INDEX($Z$27:$Z$37,MATCH($G62,$X$27:$X95,0),1))*J62*1.1</f>
        <v>0</v>
      </c>
      <c r="R62" s="20">
        <f t="shared" si="4"/>
        <v>0</v>
      </c>
      <c r="S62" s="86">
        <f t="shared" si="5"/>
        <v>0</v>
      </c>
    </row>
    <row r="63" spans="2:19">
      <c r="B63" s="14">
        <f t="shared" si="6"/>
        <v>60</v>
      </c>
      <c r="C63" s="37" t="s">
        <v>572</v>
      </c>
      <c r="D63" s="37" t="s">
        <v>573</v>
      </c>
      <c r="E63" s="37" t="s">
        <v>574</v>
      </c>
      <c r="F63" s="38">
        <v>0</v>
      </c>
      <c r="G63" s="37">
        <v>3</v>
      </c>
      <c r="H63" s="37" t="s">
        <v>448</v>
      </c>
      <c r="I63" s="37" t="s">
        <v>448</v>
      </c>
      <c r="J63" s="41">
        <f t="shared" si="8"/>
        <v>0</v>
      </c>
      <c r="K63" s="26">
        <f>IF(OR($E63&lt;&gt;"CS",$H63&lt;&gt;"x"),0,INDEX($Y$4:$Y$14,MATCH($G63,$X$4:$X73,0),1))*J63*1.1</f>
        <v>0</v>
      </c>
      <c r="L63" s="26">
        <f t="shared" si="1"/>
        <v>0</v>
      </c>
      <c r="M63" s="26">
        <f>IF($I63&lt;&gt;"x",0,INDEX($Y$27:$Y$37,MATCH($G63,$X$27:$X96,0),1))*J63*1.1</f>
        <v>0</v>
      </c>
      <c r="N63" s="26">
        <f t="shared" si="2"/>
        <v>0</v>
      </c>
      <c r="O63" s="20">
        <f t="shared" si="3"/>
        <v>0</v>
      </c>
      <c r="P63" s="20">
        <f>IF(OR($E63&lt;&gt;"CS",$H63&lt;&gt;"x"),0,INDEX($Z$4:$Z$14,MATCH($G63,$X$4:$X73,0),1))*J63*1.1</f>
        <v>0</v>
      </c>
      <c r="Q63" s="26">
        <f>IF($I63&lt;&gt;"x",0,INDEX($Z$27:$Z$37,MATCH($G63,$X$27:$X96,0),1))*J63*1.1</f>
        <v>0</v>
      </c>
      <c r="R63" s="20">
        <f t="shared" si="4"/>
        <v>0</v>
      </c>
      <c r="S63" s="86">
        <f t="shared" si="5"/>
        <v>0</v>
      </c>
    </row>
    <row r="64" spans="2:19">
      <c r="B64" s="14">
        <f t="shared" si="6"/>
        <v>61</v>
      </c>
      <c r="C64" s="37" t="s">
        <v>572</v>
      </c>
      <c r="D64" s="37" t="s">
        <v>573</v>
      </c>
      <c r="E64" s="37" t="s">
        <v>574</v>
      </c>
      <c r="F64" s="38">
        <v>0</v>
      </c>
      <c r="G64" s="37">
        <v>3</v>
      </c>
      <c r="H64" s="37" t="s">
        <v>448</v>
      </c>
      <c r="I64" s="37" t="s">
        <v>448</v>
      </c>
      <c r="J64" s="41">
        <f t="shared" si="8"/>
        <v>0</v>
      </c>
      <c r="K64" s="26">
        <f>IF(OR($E64&lt;&gt;"CS",$H64&lt;&gt;"x"),0,INDEX($Y$4:$Y$14,MATCH($G64,$X$4:$X74,0),1))*J64*1.1</f>
        <v>0</v>
      </c>
      <c r="L64" s="26">
        <f t="shared" si="1"/>
        <v>0</v>
      </c>
      <c r="M64" s="26">
        <f>IF($I64&lt;&gt;"x",0,INDEX($Y$27:$Y$37,MATCH($G64,$X$27:$X97,0),1))*J64*1.1</f>
        <v>0</v>
      </c>
      <c r="N64" s="26">
        <f t="shared" si="2"/>
        <v>0</v>
      </c>
      <c r="O64" s="20">
        <f t="shared" si="3"/>
        <v>0</v>
      </c>
      <c r="P64" s="20">
        <f>IF(OR($E64&lt;&gt;"CS",$H64&lt;&gt;"x"),0,INDEX($Z$4:$Z$14,MATCH($G64,$X$4:$X74,0),1))*J64*1.1</f>
        <v>0</v>
      </c>
      <c r="Q64" s="26">
        <f>IF($I64&lt;&gt;"x",0,INDEX($Z$27:$Z$37,MATCH($G64,$X$27:$X97,0),1))*J64*1.1</f>
        <v>0</v>
      </c>
      <c r="R64" s="20">
        <f t="shared" si="4"/>
        <v>0</v>
      </c>
      <c r="S64" s="86">
        <f t="shared" si="5"/>
        <v>0</v>
      </c>
    </row>
    <row r="65" spans="2:19">
      <c r="B65" s="14">
        <f t="shared" si="6"/>
        <v>62</v>
      </c>
      <c r="C65" s="37" t="s">
        <v>572</v>
      </c>
      <c r="D65" s="37" t="s">
        <v>573</v>
      </c>
      <c r="E65" s="37" t="s">
        <v>574</v>
      </c>
      <c r="F65" s="38">
        <v>0</v>
      </c>
      <c r="G65" s="37">
        <v>4</v>
      </c>
      <c r="H65" s="37" t="s">
        <v>448</v>
      </c>
      <c r="I65" s="37" t="s">
        <v>448</v>
      </c>
      <c r="J65" s="41">
        <f t="shared" si="8"/>
        <v>0</v>
      </c>
      <c r="K65" s="26">
        <f>IF(OR($E65&lt;&gt;"CS",$H65&lt;&gt;"x"),0,INDEX($Y$4:$Y$14,MATCH($G65,$X$4:$X75,0),1))*J65*1.1</f>
        <v>0</v>
      </c>
      <c r="L65" s="26">
        <f t="shared" si="1"/>
        <v>0</v>
      </c>
      <c r="M65" s="26">
        <f>IF($I65&lt;&gt;"x",0,INDEX($Y$27:$Y$37,MATCH($G65,$X$27:$X98,0),1))*J65*1.1</f>
        <v>0</v>
      </c>
      <c r="N65" s="26">
        <f t="shared" si="2"/>
        <v>0</v>
      </c>
      <c r="O65" s="20">
        <f t="shared" si="3"/>
        <v>0</v>
      </c>
      <c r="P65" s="20">
        <f>IF(OR($E65&lt;&gt;"CS",$H65&lt;&gt;"x"),0,INDEX($Z$4:$Z$14,MATCH($G65,$X$4:$X75,0),1))*J65*1.1</f>
        <v>0</v>
      </c>
      <c r="Q65" s="26">
        <f>IF($I65&lt;&gt;"x",0,INDEX($Z$27:$Z$37,MATCH($G65,$X$27:$X98,0),1))*J65*1.1</f>
        <v>0</v>
      </c>
      <c r="R65" s="20">
        <f t="shared" si="4"/>
        <v>0</v>
      </c>
      <c r="S65" s="86">
        <f t="shared" si="5"/>
        <v>0</v>
      </c>
    </row>
    <row r="66" spans="2:19">
      <c r="B66" s="14">
        <f t="shared" si="6"/>
        <v>63</v>
      </c>
      <c r="C66" s="37" t="s">
        <v>572</v>
      </c>
      <c r="D66" s="37" t="s">
        <v>573</v>
      </c>
      <c r="E66" s="37" t="s">
        <v>574</v>
      </c>
      <c r="F66" s="38">
        <v>0</v>
      </c>
      <c r="G66" s="37">
        <v>4</v>
      </c>
      <c r="H66" s="37" t="s">
        <v>448</v>
      </c>
      <c r="I66" s="37" t="s">
        <v>448</v>
      </c>
      <c r="J66" s="41">
        <f t="shared" si="8"/>
        <v>0</v>
      </c>
      <c r="K66" s="26">
        <f>IF(OR($E66&lt;&gt;"CS",$H66&lt;&gt;"x"),0,INDEX($Y$4:$Y$14,MATCH($G66,$X$4:$X76,0),1))*J66*1.1</f>
        <v>0</v>
      </c>
      <c r="L66" s="26">
        <f t="shared" si="1"/>
        <v>0</v>
      </c>
      <c r="M66" s="26">
        <f>IF($I66&lt;&gt;"x",0,INDEX($Y$27:$Y$37,MATCH($G66,$X$27:$X99,0),1))*J66*1.1</f>
        <v>0</v>
      </c>
      <c r="N66" s="26">
        <f t="shared" si="2"/>
        <v>0</v>
      </c>
      <c r="O66" s="20">
        <f t="shared" si="3"/>
        <v>0</v>
      </c>
      <c r="P66" s="20">
        <f>IF(OR($E66&lt;&gt;"CS",$H66&lt;&gt;"x"),0,INDEX($Z$4:$Z$14,MATCH($G66,$X$4:$X76,0),1))*J66*1.1</f>
        <v>0</v>
      </c>
      <c r="Q66" s="26">
        <f>IF($I66&lt;&gt;"x",0,INDEX($Z$27:$Z$37,MATCH($G66,$X$27:$X99,0),1))*J66*1.1</f>
        <v>0</v>
      </c>
      <c r="R66" s="20">
        <f t="shared" si="4"/>
        <v>0</v>
      </c>
      <c r="S66" s="86">
        <f t="shared" si="5"/>
        <v>0</v>
      </c>
    </row>
    <row r="67" spans="2:19">
      <c r="B67" s="14">
        <f t="shared" si="6"/>
        <v>64</v>
      </c>
      <c r="C67" s="37" t="s">
        <v>572</v>
      </c>
      <c r="D67" s="37" t="s">
        <v>573</v>
      </c>
      <c r="E67" s="37" t="s">
        <v>574</v>
      </c>
      <c r="F67" s="38">
        <v>0</v>
      </c>
      <c r="G67" s="37">
        <v>3</v>
      </c>
      <c r="H67" s="37" t="s">
        <v>448</v>
      </c>
      <c r="I67" s="37" t="s">
        <v>448</v>
      </c>
      <c r="J67" s="41">
        <f t="shared" si="8"/>
        <v>0</v>
      </c>
      <c r="K67" s="26">
        <f>IF(OR($E67&lt;&gt;"CS",$H67&lt;&gt;"x"),0,INDEX($Y$4:$Y$14,MATCH($G67,$X$4:$X77,0),1))*J67*1.1</f>
        <v>0</v>
      </c>
      <c r="L67" s="26">
        <f t="shared" si="1"/>
        <v>0</v>
      </c>
      <c r="M67" s="26">
        <f>IF($I67&lt;&gt;"x",0,INDEX($Y$27:$Y$37,MATCH($G67,$X$27:$X100,0),1))*J67*1.1</f>
        <v>0</v>
      </c>
      <c r="N67" s="26">
        <f t="shared" si="2"/>
        <v>0</v>
      </c>
      <c r="O67" s="20">
        <f t="shared" si="3"/>
        <v>0</v>
      </c>
      <c r="P67" s="20">
        <f>IF(OR($E67&lt;&gt;"CS",$H67&lt;&gt;"x"),0,INDEX($Z$4:$Z$14,MATCH($G67,$X$4:$X77,0),1))*J67*1.1</f>
        <v>0</v>
      </c>
      <c r="Q67" s="26">
        <f>IF($I67&lt;&gt;"x",0,INDEX($Z$27:$Z$37,MATCH($G67,$X$27:$X100,0),1))*J67*1.1</f>
        <v>0</v>
      </c>
      <c r="R67" s="20">
        <f t="shared" si="4"/>
        <v>0</v>
      </c>
      <c r="S67" s="86">
        <f t="shared" si="5"/>
        <v>0</v>
      </c>
    </row>
    <row r="68" spans="2:19">
      <c r="B68" s="14">
        <f t="shared" si="6"/>
        <v>65</v>
      </c>
      <c r="C68" s="37" t="s">
        <v>572</v>
      </c>
      <c r="D68" s="37" t="s">
        <v>573</v>
      </c>
      <c r="E68" s="37" t="s">
        <v>574</v>
      </c>
      <c r="F68" s="38">
        <v>0</v>
      </c>
      <c r="G68" s="37">
        <v>3</v>
      </c>
      <c r="H68" s="37" t="s">
        <v>448</v>
      </c>
      <c r="I68" s="37" t="s">
        <v>448</v>
      </c>
      <c r="J68" s="41">
        <f t="shared" ref="J68:J99" si="9">IF(F68="","",+$I$2*F68)</f>
        <v>0</v>
      </c>
      <c r="K68" s="26">
        <f>IF(OR($E68&lt;&gt;"CS",$H68&lt;&gt;"x"),0,INDEX($Y$4:$Y$14,MATCH($G68,$X$4:$X78,0),1))*J68*1.1</f>
        <v>0</v>
      </c>
      <c r="L68" s="26">
        <f t="shared" ref="L68:L131" si="10">K68*$L$2</f>
        <v>0</v>
      </c>
      <c r="M68" s="26">
        <f>IF($I68&lt;&gt;"x",0,INDEX($Y$27:$Y$37,MATCH($G68,$X$27:$X101,0),1))*J68*1.1</f>
        <v>0</v>
      </c>
      <c r="N68" s="26">
        <f t="shared" ref="N68:N131" si="11">M68*$N$2</f>
        <v>0</v>
      </c>
      <c r="O68" s="20">
        <f t="shared" ref="O68:O131" si="12">SUM(K68:N68)</f>
        <v>0</v>
      </c>
      <c r="P68" s="20">
        <f>IF(OR($E68&lt;&gt;"CS",$H68&lt;&gt;"x"),0,INDEX($Z$4:$Z$14,MATCH($G68,$X$4:$X78,0),1))*J68*1.1</f>
        <v>0</v>
      </c>
      <c r="Q68" s="26">
        <f>IF($I68&lt;&gt;"x",0,INDEX($Z$27:$Z$37,MATCH($G68,$X$27:$X101,0),1))*J68*1.1</f>
        <v>0</v>
      </c>
      <c r="R68" s="20">
        <f t="shared" ref="R68:R131" si="13">SUM(P68:Q68)</f>
        <v>0</v>
      </c>
      <c r="S68" s="86">
        <f t="shared" ref="S68:S131" si="14">R68+O68</f>
        <v>0</v>
      </c>
    </row>
    <row r="69" spans="2:19">
      <c r="B69" s="14">
        <f t="shared" ref="B69:B132" si="15">1+B68</f>
        <v>66</v>
      </c>
      <c r="C69" s="37" t="s">
        <v>572</v>
      </c>
      <c r="D69" s="37" t="s">
        <v>573</v>
      </c>
      <c r="E69" s="37" t="s">
        <v>574</v>
      </c>
      <c r="F69" s="38">
        <v>0</v>
      </c>
      <c r="G69" s="37">
        <v>3</v>
      </c>
      <c r="H69" s="37" t="s">
        <v>448</v>
      </c>
      <c r="I69" s="37" t="s">
        <v>448</v>
      </c>
      <c r="J69" s="41">
        <f t="shared" si="9"/>
        <v>0</v>
      </c>
      <c r="K69" s="26">
        <f>IF(OR($E69&lt;&gt;"CS",$H69&lt;&gt;"x"),0,INDEX($Y$4:$Y$14,MATCH($G69,$X$4:$X79,0),1))*J69*1.1</f>
        <v>0</v>
      </c>
      <c r="L69" s="26">
        <f t="shared" si="10"/>
        <v>0</v>
      </c>
      <c r="M69" s="26">
        <f>IF($I69&lt;&gt;"x",0,INDEX($Y$27:$Y$37,MATCH($G69,$X$27:$X102,0),1))*J69*1.1</f>
        <v>0</v>
      </c>
      <c r="N69" s="26">
        <f t="shared" si="11"/>
        <v>0</v>
      </c>
      <c r="O69" s="20">
        <f t="shared" si="12"/>
        <v>0</v>
      </c>
      <c r="P69" s="20">
        <f>IF(OR($E69&lt;&gt;"CS",$H69&lt;&gt;"x"),0,INDEX($Z$4:$Z$14,MATCH($G69,$X$4:$X79,0),1))*J69*1.1</f>
        <v>0</v>
      </c>
      <c r="Q69" s="26">
        <f>IF($I69&lt;&gt;"x",0,INDEX($Z$27:$Z$37,MATCH($G69,$X$27:$X102,0),1))*J69*1.1</f>
        <v>0</v>
      </c>
      <c r="R69" s="20">
        <f t="shared" si="13"/>
        <v>0</v>
      </c>
      <c r="S69" s="86">
        <f t="shared" si="14"/>
        <v>0</v>
      </c>
    </row>
    <row r="70" spans="2:19">
      <c r="B70" s="14">
        <f t="shared" si="15"/>
        <v>67</v>
      </c>
      <c r="C70" s="37" t="s">
        <v>572</v>
      </c>
      <c r="D70" s="37" t="s">
        <v>573</v>
      </c>
      <c r="E70" s="37" t="s">
        <v>574</v>
      </c>
      <c r="F70" s="38">
        <v>0</v>
      </c>
      <c r="G70" s="37">
        <v>3</v>
      </c>
      <c r="H70" s="37" t="s">
        <v>448</v>
      </c>
      <c r="I70" s="37" t="s">
        <v>448</v>
      </c>
      <c r="J70" s="41">
        <f t="shared" si="9"/>
        <v>0</v>
      </c>
      <c r="K70" s="26">
        <f>IF(OR($E70&lt;&gt;"CS",$H70&lt;&gt;"x"),0,INDEX($Y$4:$Y$14,MATCH($G70,$X$4:$X80,0),1))*J70*1.1</f>
        <v>0</v>
      </c>
      <c r="L70" s="26">
        <f t="shared" si="10"/>
        <v>0</v>
      </c>
      <c r="M70" s="26">
        <f>IF($I70&lt;&gt;"x",0,INDEX($Y$27:$Y$37,MATCH($G70,$X$27:$X103,0),1))*J70*1.1</f>
        <v>0</v>
      </c>
      <c r="N70" s="26">
        <f t="shared" si="11"/>
        <v>0</v>
      </c>
      <c r="O70" s="20">
        <f t="shared" si="12"/>
        <v>0</v>
      </c>
      <c r="P70" s="20">
        <f>IF(OR($E70&lt;&gt;"CS",$H70&lt;&gt;"x"),0,INDEX($Z$4:$Z$14,MATCH($G70,$X$4:$X80,0),1))*J70*1.1</f>
        <v>0</v>
      </c>
      <c r="Q70" s="26">
        <f>IF($I70&lt;&gt;"x",0,INDEX($Z$27:$Z$37,MATCH($G70,$X$27:$X103,0),1))*J70*1.1</f>
        <v>0</v>
      </c>
      <c r="R70" s="20">
        <f t="shared" si="13"/>
        <v>0</v>
      </c>
      <c r="S70" s="86">
        <f t="shared" si="14"/>
        <v>0</v>
      </c>
    </row>
    <row r="71" spans="2:19">
      <c r="B71" s="14">
        <f t="shared" si="15"/>
        <v>68</v>
      </c>
      <c r="C71" s="37" t="s">
        <v>572</v>
      </c>
      <c r="D71" s="37" t="s">
        <v>573</v>
      </c>
      <c r="E71" s="37" t="s">
        <v>574</v>
      </c>
      <c r="F71" s="38">
        <v>0</v>
      </c>
      <c r="G71" s="37">
        <v>4</v>
      </c>
      <c r="H71" s="37" t="s">
        <v>448</v>
      </c>
      <c r="I71" s="37" t="s">
        <v>448</v>
      </c>
      <c r="J71" s="41">
        <f t="shared" si="9"/>
        <v>0</v>
      </c>
      <c r="K71" s="26">
        <f>IF(OR($E71&lt;&gt;"CS",$H71&lt;&gt;"x"),0,INDEX($Y$4:$Y$14,MATCH($G71,$X$4:$X81,0),1))*J71*1.1</f>
        <v>0</v>
      </c>
      <c r="L71" s="26">
        <f t="shared" si="10"/>
        <v>0</v>
      </c>
      <c r="M71" s="26">
        <f>IF($I71&lt;&gt;"x",0,INDEX($Y$27:$Y$37,MATCH($G71,$X$27:$X104,0),1))*J71*1.1</f>
        <v>0</v>
      </c>
      <c r="N71" s="26">
        <f t="shared" si="11"/>
        <v>0</v>
      </c>
      <c r="O71" s="20">
        <f t="shared" si="12"/>
        <v>0</v>
      </c>
      <c r="P71" s="20">
        <f>IF(OR($E71&lt;&gt;"CS",$H71&lt;&gt;"x"),0,INDEX($Z$4:$Z$14,MATCH($G71,$X$4:$X81,0),1))*J71*1.1</f>
        <v>0</v>
      </c>
      <c r="Q71" s="26">
        <f>IF($I71&lt;&gt;"x",0,INDEX($Z$27:$Z$37,MATCH($G71,$X$27:$X104,0),1))*J71*1.1</f>
        <v>0</v>
      </c>
      <c r="R71" s="20">
        <f t="shared" si="13"/>
        <v>0</v>
      </c>
      <c r="S71" s="86">
        <f t="shared" si="14"/>
        <v>0</v>
      </c>
    </row>
    <row r="72" spans="2:19">
      <c r="B72" s="14">
        <f t="shared" si="15"/>
        <v>69</v>
      </c>
      <c r="C72" s="37" t="s">
        <v>572</v>
      </c>
      <c r="D72" s="37" t="s">
        <v>573</v>
      </c>
      <c r="E72" s="37" t="s">
        <v>574</v>
      </c>
      <c r="F72" s="38">
        <v>0</v>
      </c>
      <c r="G72" s="37">
        <v>4</v>
      </c>
      <c r="H72" s="37" t="s">
        <v>448</v>
      </c>
      <c r="I72" s="37" t="s">
        <v>448</v>
      </c>
      <c r="J72" s="41">
        <f t="shared" si="9"/>
        <v>0</v>
      </c>
      <c r="K72" s="26">
        <f>IF(OR($E72&lt;&gt;"CS",$H72&lt;&gt;"x"),0,INDEX($Y$4:$Y$14,MATCH($G72,$X$4:$X82,0),1))*J72*1.1</f>
        <v>0</v>
      </c>
      <c r="L72" s="26">
        <f t="shared" si="10"/>
        <v>0</v>
      </c>
      <c r="M72" s="26">
        <f>IF($I72&lt;&gt;"x",0,INDEX($Y$27:$Y$37,MATCH($G72,$X$27:$X105,0),1))*J72*1.1</f>
        <v>0</v>
      </c>
      <c r="N72" s="26">
        <f t="shared" si="11"/>
        <v>0</v>
      </c>
      <c r="O72" s="20">
        <f t="shared" si="12"/>
        <v>0</v>
      </c>
      <c r="P72" s="20">
        <f>IF(OR($E72&lt;&gt;"CS",$H72&lt;&gt;"x"),0,INDEX($Z$4:$Z$14,MATCH($G72,$X$4:$X82,0),1))*J72*1.1</f>
        <v>0</v>
      </c>
      <c r="Q72" s="26">
        <f>IF($I72&lt;&gt;"x",0,INDEX($Z$27:$Z$37,MATCH($G72,$X$27:$X105,0),1))*J72*1.1</f>
        <v>0</v>
      </c>
      <c r="R72" s="20">
        <f t="shared" si="13"/>
        <v>0</v>
      </c>
      <c r="S72" s="86">
        <f t="shared" si="14"/>
        <v>0</v>
      </c>
    </row>
    <row r="73" spans="2:19">
      <c r="B73" s="14">
        <f t="shared" si="15"/>
        <v>70</v>
      </c>
      <c r="C73" s="37" t="s">
        <v>572</v>
      </c>
      <c r="D73" s="37" t="s">
        <v>573</v>
      </c>
      <c r="E73" s="37" t="s">
        <v>574</v>
      </c>
      <c r="F73" s="38">
        <v>0</v>
      </c>
      <c r="G73" s="37">
        <v>10</v>
      </c>
      <c r="H73" s="37" t="s">
        <v>448</v>
      </c>
      <c r="I73" s="37" t="s">
        <v>448</v>
      </c>
      <c r="J73" s="41">
        <f t="shared" si="9"/>
        <v>0</v>
      </c>
      <c r="K73" s="26">
        <f>IF(OR($E73&lt;&gt;"CS",$H73&lt;&gt;"x"),0,INDEX($Y$4:$Y$14,MATCH($G73,$X$4:$X83,0),1))*J73*1.1</f>
        <v>0</v>
      </c>
      <c r="L73" s="26">
        <f t="shared" si="10"/>
        <v>0</v>
      </c>
      <c r="M73" s="26">
        <f>IF($I73&lt;&gt;"x",0,INDEX($Y$27:$Y$37,MATCH($G73,$X$27:$X106,0),1))*J73*1.1</f>
        <v>0</v>
      </c>
      <c r="N73" s="26">
        <f t="shared" si="11"/>
        <v>0</v>
      </c>
      <c r="O73" s="20">
        <f t="shared" si="12"/>
        <v>0</v>
      </c>
      <c r="P73" s="20">
        <f>IF(OR($E73&lt;&gt;"CS",$H73&lt;&gt;"x"),0,INDEX($Z$4:$Z$14,MATCH($G73,$X$4:$X83,0),1))*J73*1.1</f>
        <v>0</v>
      </c>
      <c r="Q73" s="26">
        <f>IF($I73&lt;&gt;"x",0,INDEX($Z$27:$Z$37,MATCH($G73,$X$27:$X106,0),1))*J73*1.1</f>
        <v>0</v>
      </c>
      <c r="R73" s="20">
        <f t="shared" si="13"/>
        <v>0</v>
      </c>
      <c r="S73" s="86">
        <f t="shared" si="14"/>
        <v>0</v>
      </c>
    </row>
    <row r="74" spans="2:19">
      <c r="B74" s="14">
        <f t="shared" si="15"/>
        <v>71</v>
      </c>
      <c r="C74" s="37" t="s">
        <v>572</v>
      </c>
      <c r="D74" s="37" t="s">
        <v>573</v>
      </c>
      <c r="E74" s="37" t="s">
        <v>574</v>
      </c>
      <c r="F74" s="38">
        <v>0</v>
      </c>
      <c r="G74" s="37">
        <v>10</v>
      </c>
      <c r="H74" s="37" t="s">
        <v>448</v>
      </c>
      <c r="I74" s="37" t="s">
        <v>448</v>
      </c>
      <c r="J74" s="41">
        <f t="shared" si="9"/>
        <v>0</v>
      </c>
      <c r="K74" s="26">
        <f>IF(OR($E74&lt;&gt;"CS",$H74&lt;&gt;"x"),0,INDEX($Y$4:$Y$14,MATCH($G74,$X$4:$X84,0),1))*J74*1.1</f>
        <v>0</v>
      </c>
      <c r="L74" s="26">
        <f t="shared" si="10"/>
        <v>0</v>
      </c>
      <c r="M74" s="26">
        <f>IF($I74&lt;&gt;"x",0,INDEX($Y$27:$Y$37,MATCH($G74,$X$27:$X107,0),1))*J74*1.1</f>
        <v>0</v>
      </c>
      <c r="N74" s="26">
        <f t="shared" si="11"/>
        <v>0</v>
      </c>
      <c r="O74" s="20">
        <f t="shared" si="12"/>
        <v>0</v>
      </c>
      <c r="P74" s="20">
        <f>IF(OR($E74&lt;&gt;"CS",$H74&lt;&gt;"x"),0,INDEX($Z$4:$Z$14,MATCH($G74,$X$4:$X84,0),1))*J74*1.1</f>
        <v>0</v>
      </c>
      <c r="Q74" s="26">
        <f>IF($I74&lt;&gt;"x",0,INDEX($Z$27:$Z$37,MATCH($G74,$X$27:$X107,0),1))*J74*1.1</f>
        <v>0</v>
      </c>
      <c r="R74" s="20">
        <f t="shared" si="13"/>
        <v>0</v>
      </c>
      <c r="S74" s="86">
        <f t="shared" si="14"/>
        <v>0</v>
      </c>
    </row>
    <row r="75" spans="2:19">
      <c r="B75" s="14">
        <f t="shared" si="15"/>
        <v>72</v>
      </c>
      <c r="C75" s="37" t="s">
        <v>572</v>
      </c>
      <c r="D75" s="37" t="s">
        <v>573</v>
      </c>
      <c r="E75" s="37" t="s">
        <v>574</v>
      </c>
      <c r="F75" s="38">
        <v>0</v>
      </c>
      <c r="G75" s="37">
        <v>4</v>
      </c>
      <c r="H75" s="37" t="s">
        <v>448</v>
      </c>
      <c r="I75" s="37" t="s">
        <v>448</v>
      </c>
      <c r="J75" s="41">
        <f t="shared" si="9"/>
        <v>0</v>
      </c>
      <c r="K75" s="26">
        <f>IF(OR($E75&lt;&gt;"CS",$H75&lt;&gt;"x"),0,INDEX($Y$4:$Y$14,MATCH($G75,$X$4:$X85,0),1))*J75*1.1</f>
        <v>0</v>
      </c>
      <c r="L75" s="26">
        <f t="shared" si="10"/>
        <v>0</v>
      </c>
      <c r="M75" s="26">
        <f>IF($I75&lt;&gt;"x",0,INDEX($Y$27:$Y$37,MATCH($G75,$X$27:$X108,0),1))*J75*1.1</f>
        <v>0</v>
      </c>
      <c r="N75" s="26">
        <f t="shared" si="11"/>
        <v>0</v>
      </c>
      <c r="O75" s="20">
        <f t="shared" si="12"/>
        <v>0</v>
      </c>
      <c r="P75" s="20">
        <f>IF(OR($E75&lt;&gt;"CS",$H75&lt;&gt;"x"),0,INDEX($Z$4:$Z$14,MATCH($G75,$X$4:$X85,0),1))*J75*1.1</f>
        <v>0</v>
      </c>
      <c r="Q75" s="26">
        <f>IF($I75&lt;&gt;"x",0,INDEX($Z$27:$Z$37,MATCH($G75,$X$27:$X108,0),1))*J75*1.1</f>
        <v>0</v>
      </c>
      <c r="R75" s="20">
        <f t="shared" si="13"/>
        <v>0</v>
      </c>
      <c r="S75" s="86">
        <f t="shared" si="14"/>
        <v>0</v>
      </c>
    </row>
    <row r="76" spans="2:19">
      <c r="B76" s="14">
        <f t="shared" si="15"/>
        <v>73</v>
      </c>
      <c r="C76" s="37" t="s">
        <v>572</v>
      </c>
      <c r="D76" s="37" t="s">
        <v>573</v>
      </c>
      <c r="E76" s="37" t="s">
        <v>574</v>
      </c>
      <c r="F76" s="38">
        <v>0</v>
      </c>
      <c r="G76" s="37">
        <v>4</v>
      </c>
      <c r="H76" s="37" t="s">
        <v>448</v>
      </c>
      <c r="I76" s="37" t="s">
        <v>448</v>
      </c>
      <c r="J76" s="41">
        <f t="shared" si="9"/>
        <v>0</v>
      </c>
      <c r="K76" s="26">
        <f>IF(OR($E76&lt;&gt;"CS",$H76&lt;&gt;"x"),0,INDEX($Y$4:$Y$14,MATCH($G76,$X$4:$X86,0),1))*J76*1.1</f>
        <v>0</v>
      </c>
      <c r="L76" s="26">
        <f t="shared" si="10"/>
        <v>0</v>
      </c>
      <c r="M76" s="26">
        <f>IF($I76&lt;&gt;"x",0,INDEX($Y$27:$Y$37,MATCH($G76,$X$27:$X109,0),1))*J76*1.1</f>
        <v>0</v>
      </c>
      <c r="N76" s="26">
        <f t="shared" si="11"/>
        <v>0</v>
      </c>
      <c r="O76" s="20">
        <f t="shared" si="12"/>
        <v>0</v>
      </c>
      <c r="P76" s="20">
        <f>IF(OR($E76&lt;&gt;"CS",$H76&lt;&gt;"x"),0,INDEX($Z$4:$Z$14,MATCH($G76,$X$4:$X86,0),1))*J76*1.1</f>
        <v>0</v>
      </c>
      <c r="Q76" s="26">
        <f>IF($I76&lt;&gt;"x",0,INDEX($Z$27:$Z$37,MATCH($G76,$X$27:$X109,0),1))*J76*1.1</f>
        <v>0</v>
      </c>
      <c r="R76" s="20">
        <f t="shared" si="13"/>
        <v>0</v>
      </c>
      <c r="S76" s="86">
        <f t="shared" si="14"/>
        <v>0</v>
      </c>
    </row>
    <row r="77" spans="2:19">
      <c r="B77" s="14">
        <f t="shared" si="15"/>
        <v>74</v>
      </c>
      <c r="C77" s="37" t="s">
        <v>572</v>
      </c>
      <c r="D77" s="37" t="s">
        <v>573</v>
      </c>
      <c r="E77" s="37" t="s">
        <v>574</v>
      </c>
      <c r="F77" s="38">
        <v>0</v>
      </c>
      <c r="G77" s="37">
        <v>6</v>
      </c>
      <c r="H77" s="37" t="s">
        <v>448</v>
      </c>
      <c r="I77" s="37" t="s">
        <v>448</v>
      </c>
      <c r="J77" s="41">
        <f t="shared" si="9"/>
        <v>0</v>
      </c>
      <c r="K77" s="26">
        <f>IF(OR($E77&lt;&gt;"CS",$H77&lt;&gt;"x"),0,INDEX($Y$4:$Y$14,MATCH($G77,$X$4:$X87,0),1))*J77*1.1</f>
        <v>0</v>
      </c>
      <c r="L77" s="26">
        <f t="shared" si="10"/>
        <v>0</v>
      </c>
      <c r="M77" s="26">
        <f>IF($I77&lt;&gt;"x",0,INDEX($Y$27:$Y$37,MATCH($G77,$X$27:$X110,0),1))*J77*1.1</f>
        <v>0</v>
      </c>
      <c r="N77" s="26">
        <f t="shared" si="11"/>
        <v>0</v>
      </c>
      <c r="O77" s="20">
        <f t="shared" si="12"/>
        <v>0</v>
      </c>
      <c r="P77" s="20">
        <f>IF(OR($E77&lt;&gt;"CS",$H77&lt;&gt;"x"),0,INDEX($Z$4:$Z$14,MATCH($G77,$X$4:$X87,0),1))*J77*1.1</f>
        <v>0</v>
      </c>
      <c r="Q77" s="26">
        <f>IF($I77&lt;&gt;"x",0,INDEX($Z$27:$Z$37,MATCH($G77,$X$27:$X110,0),1))*J77*1.1</f>
        <v>0</v>
      </c>
      <c r="R77" s="20">
        <f t="shared" si="13"/>
        <v>0</v>
      </c>
      <c r="S77" s="86">
        <f t="shared" si="14"/>
        <v>0</v>
      </c>
    </row>
    <row r="78" spans="2:19">
      <c r="B78" s="14">
        <f t="shared" si="15"/>
        <v>75</v>
      </c>
      <c r="C78" s="37" t="s">
        <v>572</v>
      </c>
      <c r="D78" s="37" t="s">
        <v>573</v>
      </c>
      <c r="E78" s="37" t="s">
        <v>574</v>
      </c>
      <c r="F78" s="38">
        <v>0</v>
      </c>
      <c r="G78" s="37">
        <v>6</v>
      </c>
      <c r="H78" s="37" t="s">
        <v>448</v>
      </c>
      <c r="I78" s="37" t="s">
        <v>448</v>
      </c>
      <c r="J78" s="41">
        <f t="shared" si="9"/>
        <v>0</v>
      </c>
      <c r="K78" s="26">
        <f>IF(OR($E78&lt;&gt;"CS",$H78&lt;&gt;"x"),0,INDEX($Y$4:$Y$14,MATCH($G78,$X$4:$X88,0),1))*J78*1.1</f>
        <v>0</v>
      </c>
      <c r="L78" s="26">
        <f t="shared" si="10"/>
        <v>0</v>
      </c>
      <c r="M78" s="26">
        <f>IF($I78&lt;&gt;"x",0,INDEX($Y$27:$Y$37,MATCH($G78,$X$27:$X111,0),1))*J78*1.1</f>
        <v>0</v>
      </c>
      <c r="N78" s="26">
        <f t="shared" si="11"/>
        <v>0</v>
      </c>
      <c r="O78" s="20">
        <f t="shared" si="12"/>
        <v>0</v>
      </c>
      <c r="P78" s="20">
        <f>IF(OR($E78&lt;&gt;"CS",$H78&lt;&gt;"x"),0,INDEX($Z$4:$Z$14,MATCH($G78,$X$4:$X88,0),1))*J78*1.1</f>
        <v>0</v>
      </c>
      <c r="Q78" s="26">
        <f>IF($I78&lt;&gt;"x",0,INDEX($Z$27:$Z$37,MATCH($G78,$X$27:$X111,0),1))*J78*1.1</f>
        <v>0</v>
      </c>
      <c r="R78" s="20">
        <f t="shared" si="13"/>
        <v>0</v>
      </c>
      <c r="S78" s="86">
        <f t="shared" si="14"/>
        <v>0</v>
      </c>
    </row>
    <row r="79" spans="2:19">
      <c r="B79" s="14">
        <f t="shared" si="15"/>
        <v>76</v>
      </c>
      <c r="C79" s="37" t="s">
        <v>572</v>
      </c>
      <c r="D79" s="37" t="s">
        <v>573</v>
      </c>
      <c r="E79" s="37" t="s">
        <v>574</v>
      </c>
      <c r="F79" s="38">
        <v>0</v>
      </c>
      <c r="G79" s="37">
        <v>4</v>
      </c>
      <c r="H79" s="37" t="s">
        <v>448</v>
      </c>
      <c r="I79" s="37" t="s">
        <v>448</v>
      </c>
      <c r="J79" s="41">
        <f t="shared" si="9"/>
        <v>0</v>
      </c>
      <c r="K79" s="26">
        <f>IF(OR($E79&lt;&gt;"CS",$H79&lt;&gt;"x"),0,INDEX($Y$4:$Y$14,MATCH($G79,$X$4:$X89,0),1))*J79*1.1</f>
        <v>0</v>
      </c>
      <c r="L79" s="26">
        <f t="shared" si="10"/>
        <v>0</v>
      </c>
      <c r="M79" s="26">
        <f>IF($I79&lt;&gt;"x",0,INDEX($Y$27:$Y$37,MATCH($G79,$X$27:$X112,0),1))*J79*1.1</f>
        <v>0</v>
      </c>
      <c r="N79" s="26">
        <f t="shared" si="11"/>
        <v>0</v>
      </c>
      <c r="O79" s="20">
        <f t="shared" si="12"/>
        <v>0</v>
      </c>
      <c r="P79" s="20">
        <f>IF(OR($E79&lt;&gt;"CS",$H79&lt;&gt;"x"),0,INDEX($Z$4:$Z$14,MATCH($G79,$X$4:$X89,0),1))*J79*1.1</f>
        <v>0</v>
      </c>
      <c r="Q79" s="26">
        <f>IF($I79&lt;&gt;"x",0,INDEX($Z$27:$Z$37,MATCH($G79,$X$27:$X112,0),1))*J79*1.1</f>
        <v>0</v>
      </c>
      <c r="R79" s="20">
        <f t="shared" si="13"/>
        <v>0</v>
      </c>
      <c r="S79" s="86">
        <f t="shared" si="14"/>
        <v>0</v>
      </c>
    </row>
    <row r="80" spans="2:19">
      <c r="B80" s="14">
        <f t="shared" si="15"/>
        <v>77</v>
      </c>
      <c r="C80" s="37" t="s">
        <v>572</v>
      </c>
      <c r="D80" s="37" t="s">
        <v>573</v>
      </c>
      <c r="E80" s="37" t="s">
        <v>574</v>
      </c>
      <c r="F80" s="38">
        <v>0</v>
      </c>
      <c r="G80" s="37">
        <v>4</v>
      </c>
      <c r="H80" s="37" t="s">
        <v>448</v>
      </c>
      <c r="I80" s="37" t="s">
        <v>448</v>
      </c>
      <c r="J80" s="41">
        <f t="shared" si="9"/>
        <v>0</v>
      </c>
      <c r="K80" s="26">
        <f>IF(OR($E80&lt;&gt;"CS",$H80&lt;&gt;"x"),0,INDEX($Y$4:$Y$14,MATCH($G80,$X$4:$X90,0),1))*J80*1.1</f>
        <v>0</v>
      </c>
      <c r="L80" s="26">
        <f t="shared" si="10"/>
        <v>0</v>
      </c>
      <c r="M80" s="26">
        <f>IF($I80&lt;&gt;"x",0,INDEX($Y$27:$Y$37,MATCH($G80,$X$27:$X113,0),1))*J80*1.1</f>
        <v>0</v>
      </c>
      <c r="N80" s="26">
        <f t="shared" si="11"/>
        <v>0</v>
      </c>
      <c r="O80" s="20">
        <f t="shared" si="12"/>
        <v>0</v>
      </c>
      <c r="P80" s="20">
        <f>IF(OR($E80&lt;&gt;"CS",$H80&lt;&gt;"x"),0,INDEX($Z$4:$Z$14,MATCH($G80,$X$4:$X90,0),1))*J80*1.1</f>
        <v>0</v>
      </c>
      <c r="Q80" s="26">
        <f>IF($I80&lt;&gt;"x",0,INDEX($Z$27:$Z$37,MATCH($G80,$X$27:$X113,0),1))*J80*1.1</f>
        <v>0</v>
      </c>
      <c r="R80" s="20">
        <f t="shared" si="13"/>
        <v>0</v>
      </c>
      <c r="S80" s="86">
        <f t="shared" si="14"/>
        <v>0</v>
      </c>
    </row>
    <row r="81" spans="2:19">
      <c r="B81" s="14">
        <f t="shared" si="15"/>
        <v>78</v>
      </c>
      <c r="C81" s="37" t="s">
        <v>572</v>
      </c>
      <c r="D81" s="37" t="s">
        <v>573</v>
      </c>
      <c r="E81" s="37" t="s">
        <v>574</v>
      </c>
      <c r="F81" s="38">
        <v>0</v>
      </c>
      <c r="G81" s="37">
        <v>2</v>
      </c>
      <c r="H81" s="37" t="s">
        <v>448</v>
      </c>
      <c r="I81" s="37" t="s">
        <v>448</v>
      </c>
      <c r="J81" s="41">
        <f t="shared" si="9"/>
        <v>0</v>
      </c>
      <c r="K81" s="26">
        <f>IF(OR($E81&lt;&gt;"CS",$H81&lt;&gt;"x"),0,INDEX($Y$4:$Y$14,MATCH($G81,$X$4:$X91,0),1))*J81*1.1</f>
        <v>0</v>
      </c>
      <c r="L81" s="26">
        <f t="shared" si="10"/>
        <v>0</v>
      </c>
      <c r="M81" s="26">
        <f>IF($I81&lt;&gt;"x",0,INDEX($Y$27:$Y$37,MATCH($G81,$X$27:$X114,0),1))*J81*1.1</f>
        <v>0</v>
      </c>
      <c r="N81" s="26">
        <f t="shared" si="11"/>
        <v>0</v>
      </c>
      <c r="O81" s="20">
        <f t="shared" si="12"/>
        <v>0</v>
      </c>
      <c r="P81" s="20">
        <f>IF(OR($E81&lt;&gt;"CS",$H81&lt;&gt;"x"),0,INDEX($Z$4:$Z$14,MATCH($G81,$X$4:$X91,0),1))*J81*1.1</f>
        <v>0</v>
      </c>
      <c r="Q81" s="26">
        <f>IF($I81&lt;&gt;"x",0,INDEX($Z$27:$Z$37,MATCH($G81,$X$27:$X114,0),1))*J81*1.1</f>
        <v>0</v>
      </c>
      <c r="R81" s="20">
        <f t="shared" si="13"/>
        <v>0</v>
      </c>
      <c r="S81" s="86">
        <f t="shared" si="14"/>
        <v>0</v>
      </c>
    </row>
    <row r="82" spans="2:19">
      <c r="B82" s="14">
        <f t="shared" si="15"/>
        <v>79</v>
      </c>
      <c r="C82" s="37" t="s">
        <v>572</v>
      </c>
      <c r="D82" s="37" t="s">
        <v>573</v>
      </c>
      <c r="E82" s="37" t="s">
        <v>574</v>
      </c>
      <c r="F82" s="38">
        <v>0</v>
      </c>
      <c r="G82" s="37">
        <v>2</v>
      </c>
      <c r="H82" s="37" t="s">
        <v>448</v>
      </c>
      <c r="I82" s="37" t="s">
        <v>448</v>
      </c>
      <c r="J82" s="41">
        <f t="shared" si="9"/>
        <v>0</v>
      </c>
      <c r="K82" s="26">
        <f>IF(OR($E82&lt;&gt;"CS",$H82&lt;&gt;"x"),0,INDEX($Y$4:$Y$14,MATCH($G82,$X$4:$X92,0),1))*J82*1.1</f>
        <v>0</v>
      </c>
      <c r="L82" s="26">
        <f t="shared" si="10"/>
        <v>0</v>
      </c>
      <c r="M82" s="26">
        <f>IF($I82&lt;&gt;"x",0,INDEX($Y$27:$Y$37,MATCH($G82,$X$27:$X115,0),1))*J82*1.1</f>
        <v>0</v>
      </c>
      <c r="N82" s="26">
        <f t="shared" si="11"/>
        <v>0</v>
      </c>
      <c r="O82" s="20">
        <f t="shared" si="12"/>
        <v>0</v>
      </c>
      <c r="P82" s="20">
        <f>IF(OR($E82&lt;&gt;"CS",$H82&lt;&gt;"x"),0,INDEX($Z$4:$Z$14,MATCH($G82,$X$4:$X92,0),1))*J82*1.1</f>
        <v>0</v>
      </c>
      <c r="Q82" s="26">
        <f>IF($I82&lt;&gt;"x",0,INDEX($Z$27:$Z$37,MATCH($G82,$X$27:$X115,0),1))*J82*1.1</f>
        <v>0</v>
      </c>
      <c r="R82" s="20">
        <f t="shared" si="13"/>
        <v>0</v>
      </c>
      <c r="S82" s="86">
        <f t="shared" si="14"/>
        <v>0</v>
      </c>
    </row>
    <row r="83" spans="2:19">
      <c r="B83" s="14">
        <f t="shared" si="15"/>
        <v>80</v>
      </c>
      <c r="C83" s="37" t="s">
        <v>572</v>
      </c>
      <c r="D83" s="37" t="s">
        <v>573</v>
      </c>
      <c r="E83" s="37" t="s">
        <v>574</v>
      </c>
      <c r="F83" s="38">
        <v>0</v>
      </c>
      <c r="G83" s="37">
        <v>10</v>
      </c>
      <c r="H83" s="37" t="s">
        <v>448</v>
      </c>
      <c r="I83" s="37" t="s">
        <v>448</v>
      </c>
      <c r="J83" s="41">
        <f t="shared" si="9"/>
        <v>0</v>
      </c>
      <c r="K83" s="26">
        <f>IF(OR($E83&lt;&gt;"CS",$H83&lt;&gt;"x"),0,INDEX($Y$4:$Y$14,MATCH($G83,$X$4:$X93,0),1))*J83*1.1</f>
        <v>0</v>
      </c>
      <c r="L83" s="26">
        <f t="shared" si="10"/>
        <v>0</v>
      </c>
      <c r="M83" s="26">
        <f>IF($I83&lt;&gt;"x",0,INDEX($Y$27:$Y$37,MATCH($G83,$X$27:$X116,0),1))*J83*1.1</f>
        <v>0</v>
      </c>
      <c r="N83" s="26">
        <f t="shared" si="11"/>
        <v>0</v>
      </c>
      <c r="O83" s="20">
        <f t="shared" si="12"/>
        <v>0</v>
      </c>
      <c r="P83" s="20">
        <f>IF(OR($E83&lt;&gt;"CS",$H83&lt;&gt;"x"),0,INDEX($Z$4:$Z$14,MATCH($G83,$X$4:$X93,0),1))*J83*1.1</f>
        <v>0</v>
      </c>
      <c r="Q83" s="26">
        <f>IF($I83&lt;&gt;"x",0,INDEX($Z$27:$Z$37,MATCH($G83,$X$27:$X116,0),1))*J83*1.1</f>
        <v>0</v>
      </c>
      <c r="R83" s="20">
        <f t="shared" si="13"/>
        <v>0</v>
      </c>
      <c r="S83" s="86">
        <f t="shared" si="14"/>
        <v>0</v>
      </c>
    </row>
    <row r="84" spans="2:19">
      <c r="B84" s="14">
        <f t="shared" si="15"/>
        <v>81</v>
      </c>
      <c r="C84" s="37" t="s">
        <v>572</v>
      </c>
      <c r="D84" s="37" t="s">
        <v>573</v>
      </c>
      <c r="E84" s="37" t="s">
        <v>574</v>
      </c>
      <c r="F84" s="38">
        <v>0</v>
      </c>
      <c r="G84" s="37">
        <v>10</v>
      </c>
      <c r="H84" s="37" t="s">
        <v>448</v>
      </c>
      <c r="I84" s="37" t="s">
        <v>448</v>
      </c>
      <c r="J84" s="41">
        <f t="shared" si="9"/>
        <v>0</v>
      </c>
      <c r="K84" s="26">
        <f>IF(OR($E84&lt;&gt;"CS",$H84&lt;&gt;"x"),0,INDEX($Y$4:$Y$14,MATCH($G84,$X$4:$X94,0),1))*J84*1.1</f>
        <v>0</v>
      </c>
      <c r="L84" s="26">
        <f t="shared" si="10"/>
        <v>0</v>
      </c>
      <c r="M84" s="26">
        <f>IF($I84&lt;&gt;"x",0,INDEX($Y$27:$Y$37,MATCH($G84,$X$27:$X117,0),1))*J84*1.1</f>
        <v>0</v>
      </c>
      <c r="N84" s="26">
        <f t="shared" si="11"/>
        <v>0</v>
      </c>
      <c r="O84" s="20">
        <f t="shared" si="12"/>
        <v>0</v>
      </c>
      <c r="P84" s="20">
        <f>IF(OR($E84&lt;&gt;"CS",$H84&lt;&gt;"x"),0,INDEX($Z$4:$Z$14,MATCH($G84,$X$4:$X94,0),1))*J84*1.1</f>
        <v>0</v>
      </c>
      <c r="Q84" s="26">
        <f>IF($I84&lt;&gt;"x",0,INDEX($Z$27:$Z$37,MATCH($G84,$X$27:$X117,0),1))*J84*1.1</f>
        <v>0</v>
      </c>
      <c r="R84" s="20">
        <f t="shared" si="13"/>
        <v>0</v>
      </c>
      <c r="S84" s="86">
        <f t="shared" si="14"/>
        <v>0</v>
      </c>
    </row>
    <row r="85" spans="2:19">
      <c r="B85" s="14">
        <f t="shared" si="15"/>
        <v>82</v>
      </c>
      <c r="C85" s="37" t="s">
        <v>572</v>
      </c>
      <c r="D85" s="37" t="s">
        <v>573</v>
      </c>
      <c r="E85" s="37" t="s">
        <v>574</v>
      </c>
      <c r="F85" s="38">
        <v>0</v>
      </c>
      <c r="G85" s="37">
        <v>2</v>
      </c>
      <c r="H85" s="37" t="s">
        <v>448</v>
      </c>
      <c r="I85" s="37" t="s">
        <v>448</v>
      </c>
      <c r="J85" s="41">
        <f t="shared" si="9"/>
        <v>0</v>
      </c>
      <c r="K85" s="26">
        <f>IF(OR($E85&lt;&gt;"CS",$H85&lt;&gt;"x"),0,INDEX($Y$4:$Y$14,MATCH($G85,$X$4:$X95,0),1))*J85*1.1</f>
        <v>0</v>
      </c>
      <c r="L85" s="26">
        <f t="shared" si="10"/>
        <v>0</v>
      </c>
      <c r="M85" s="26">
        <f>IF($I85&lt;&gt;"x",0,INDEX($Y$27:$Y$37,MATCH($G85,$X$27:$X118,0),1))*J85*1.1</f>
        <v>0</v>
      </c>
      <c r="N85" s="26">
        <f t="shared" si="11"/>
        <v>0</v>
      </c>
      <c r="O85" s="20">
        <f t="shared" si="12"/>
        <v>0</v>
      </c>
      <c r="P85" s="20">
        <f>IF(OR($E85&lt;&gt;"CS",$H85&lt;&gt;"x"),0,INDEX($Z$4:$Z$14,MATCH($G85,$X$4:$X95,0),1))*J85*1.1</f>
        <v>0</v>
      </c>
      <c r="Q85" s="26">
        <f>IF($I85&lt;&gt;"x",0,INDEX($Z$27:$Z$37,MATCH($G85,$X$27:$X118,0),1))*J85*1.1</f>
        <v>0</v>
      </c>
      <c r="R85" s="20">
        <f t="shared" si="13"/>
        <v>0</v>
      </c>
      <c r="S85" s="86">
        <f t="shared" si="14"/>
        <v>0</v>
      </c>
    </row>
    <row r="86" spans="2:19">
      <c r="B86" s="14">
        <f t="shared" si="15"/>
        <v>83</v>
      </c>
      <c r="C86" s="37" t="s">
        <v>572</v>
      </c>
      <c r="D86" s="37" t="s">
        <v>573</v>
      </c>
      <c r="E86" s="37" t="s">
        <v>574</v>
      </c>
      <c r="F86" s="38">
        <v>0</v>
      </c>
      <c r="G86" s="37">
        <v>2</v>
      </c>
      <c r="H86" s="37" t="s">
        <v>448</v>
      </c>
      <c r="I86" s="37" t="s">
        <v>448</v>
      </c>
      <c r="J86" s="41">
        <f t="shared" si="9"/>
        <v>0</v>
      </c>
      <c r="K86" s="26">
        <f>IF(OR($E86&lt;&gt;"CS",$H86&lt;&gt;"x"),0,INDEX($Y$4:$Y$14,MATCH($G86,$X$4:$X96,0),1))*J86*1.1</f>
        <v>0</v>
      </c>
      <c r="L86" s="26">
        <f t="shared" si="10"/>
        <v>0</v>
      </c>
      <c r="M86" s="26">
        <f>IF($I86&lt;&gt;"x",0,INDEX($Y$27:$Y$37,MATCH($G86,$X$27:$X119,0),1))*J86*1.1</f>
        <v>0</v>
      </c>
      <c r="N86" s="26">
        <f t="shared" si="11"/>
        <v>0</v>
      </c>
      <c r="O86" s="20">
        <f t="shared" si="12"/>
        <v>0</v>
      </c>
      <c r="P86" s="20">
        <f>IF(OR($E86&lt;&gt;"CS",$H86&lt;&gt;"x"),0,INDEX($Z$4:$Z$14,MATCH($G86,$X$4:$X96,0),1))*J86*1.1</f>
        <v>0</v>
      </c>
      <c r="Q86" s="26">
        <f>IF($I86&lt;&gt;"x",0,INDEX($Z$27:$Z$37,MATCH($G86,$X$27:$X119,0),1))*J86*1.1</f>
        <v>0</v>
      </c>
      <c r="R86" s="20">
        <f t="shared" si="13"/>
        <v>0</v>
      </c>
      <c r="S86" s="86">
        <f t="shared" si="14"/>
        <v>0</v>
      </c>
    </row>
    <row r="87" spans="2:19">
      <c r="B87" s="14">
        <f t="shared" si="15"/>
        <v>84</v>
      </c>
      <c r="C87" s="37" t="s">
        <v>572</v>
      </c>
      <c r="D87" s="37" t="s">
        <v>573</v>
      </c>
      <c r="E87" s="37" t="s">
        <v>574</v>
      </c>
      <c r="F87" s="38">
        <v>0</v>
      </c>
      <c r="G87" s="37">
        <v>3</v>
      </c>
      <c r="H87" s="37" t="s">
        <v>448</v>
      </c>
      <c r="I87" s="37" t="s">
        <v>448</v>
      </c>
      <c r="J87" s="41">
        <f t="shared" si="9"/>
        <v>0</v>
      </c>
      <c r="K87" s="26">
        <f>IF(OR($E87&lt;&gt;"CS",$H87&lt;&gt;"x"),0,INDEX($Y$4:$Y$14,MATCH($G87,$X$4:$X97,0),1))*J87*1.1</f>
        <v>0</v>
      </c>
      <c r="L87" s="26">
        <f t="shared" si="10"/>
        <v>0</v>
      </c>
      <c r="M87" s="26">
        <f>IF($I87&lt;&gt;"x",0,INDEX($Y$27:$Y$37,MATCH($G87,$X$27:$X120,0),1))*J87*1.1</f>
        <v>0</v>
      </c>
      <c r="N87" s="26">
        <f t="shared" si="11"/>
        <v>0</v>
      </c>
      <c r="O87" s="20">
        <f t="shared" si="12"/>
        <v>0</v>
      </c>
      <c r="P87" s="20">
        <f>IF(OR($E87&lt;&gt;"CS",$H87&lt;&gt;"x"),0,INDEX($Z$4:$Z$14,MATCH($G87,$X$4:$X97,0),1))*J87*1.1</f>
        <v>0</v>
      </c>
      <c r="Q87" s="26">
        <f>IF($I87&lt;&gt;"x",0,INDEX($Z$27:$Z$37,MATCH($G87,$X$27:$X120,0),1))*J87*1.1</f>
        <v>0</v>
      </c>
      <c r="R87" s="20">
        <f t="shared" si="13"/>
        <v>0</v>
      </c>
      <c r="S87" s="86">
        <f t="shared" si="14"/>
        <v>0</v>
      </c>
    </row>
    <row r="88" spans="2:19">
      <c r="B88" s="14">
        <f t="shared" si="15"/>
        <v>85</v>
      </c>
      <c r="C88" s="37" t="s">
        <v>572</v>
      </c>
      <c r="D88" s="37" t="s">
        <v>573</v>
      </c>
      <c r="E88" s="37" t="s">
        <v>574</v>
      </c>
      <c r="F88" s="38">
        <v>0</v>
      </c>
      <c r="G88" s="37">
        <v>3</v>
      </c>
      <c r="H88" s="37" t="s">
        <v>448</v>
      </c>
      <c r="I88" s="37" t="s">
        <v>448</v>
      </c>
      <c r="J88" s="41">
        <f t="shared" si="9"/>
        <v>0</v>
      </c>
      <c r="K88" s="26">
        <f>IF(OR($E88&lt;&gt;"CS",$H88&lt;&gt;"x"),0,INDEX($Y$4:$Y$14,MATCH($G88,$X$4:$X98,0),1))*J88*1.1</f>
        <v>0</v>
      </c>
      <c r="L88" s="26">
        <f t="shared" si="10"/>
        <v>0</v>
      </c>
      <c r="M88" s="26">
        <f>IF($I88&lt;&gt;"x",0,INDEX($Y$27:$Y$37,MATCH($G88,$X$27:$X121,0),1))*J88*1.1</f>
        <v>0</v>
      </c>
      <c r="N88" s="26">
        <f t="shared" si="11"/>
        <v>0</v>
      </c>
      <c r="O88" s="20">
        <f t="shared" si="12"/>
        <v>0</v>
      </c>
      <c r="P88" s="20">
        <f>IF(OR($E88&lt;&gt;"CS",$H88&lt;&gt;"x"),0,INDEX($Z$4:$Z$14,MATCH($G88,$X$4:$X98,0),1))*J88*1.1</f>
        <v>0</v>
      </c>
      <c r="Q88" s="26">
        <f>IF($I88&lt;&gt;"x",0,INDEX($Z$27:$Z$37,MATCH($G88,$X$27:$X121,0),1))*J88*1.1</f>
        <v>0</v>
      </c>
      <c r="R88" s="20">
        <f t="shared" si="13"/>
        <v>0</v>
      </c>
      <c r="S88" s="86">
        <f t="shared" si="14"/>
        <v>0</v>
      </c>
    </row>
    <row r="89" spans="2:19">
      <c r="B89" s="14">
        <f t="shared" si="15"/>
        <v>86</v>
      </c>
      <c r="C89" s="37" t="s">
        <v>572</v>
      </c>
      <c r="D89" s="37" t="s">
        <v>573</v>
      </c>
      <c r="E89" s="37" t="s">
        <v>574</v>
      </c>
      <c r="F89" s="38">
        <v>0</v>
      </c>
      <c r="G89" s="37">
        <v>1.25</v>
      </c>
      <c r="H89" s="37" t="s">
        <v>448</v>
      </c>
      <c r="I89" s="37" t="s">
        <v>448</v>
      </c>
      <c r="J89" s="41">
        <f t="shared" si="9"/>
        <v>0</v>
      </c>
      <c r="K89" s="26">
        <f>IF(OR($E89&lt;&gt;"CS",$H89&lt;&gt;"x"),0,INDEX($Y$4:$Y$14,MATCH($G89,$X$4:$X99,0),1))*J89*1.1</f>
        <v>0</v>
      </c>
      <c r="L89" s="26">
        <f t="shared" si="10"/>
        <v>0</v>
      </c>
      <c r="M89" s="26">
        <f>IF($I89&lt;&gt;"x",0,INDEX($Y$27:$Y$37,MATCH($G89,$X$27:$X122,0),1))*J89*1.1</f>
        <v>0</v>
      </c>
      <c r="N89" s="26">
        <f t="shared" si="11"/>
        <v>0</v>
      </c>
      <c r="O89" s="20">
        <f t="shared" si="12"/>
        <v>0</v>
      </c>
      <c r="P89" s="20">
        <f>IF(OR($E89&lt;&gt;"CS",$H89&lt;&gt;"x"),0,INDEX($Z$4:$Z$14,MATCH($G89,$X$4:$X99,0),1))*J89*1.1</f>
        <v>0</v>
      </c>
      <c r="Q89" s="26">
        <f>IF($I89&lt;&gt;"x",0,INDEX($Z$27:$Z$37,MATCH($G89,$X$27:$X122,0),1))*J89*1.1</f>
        <v>0</v>
      </c>
      <c r="R89" s="20">
        <f t="shared" si="13"/>
        <v>0</v>
      </c>
      <c r="S89" s="86">
        <f t="shared" si="14"/>
        <v>0</v>
      </c>
    </row>
    <row r="90" spans="2:19">
      <c r="B90" s="14">
        <f t="shared" si="15"/>
        <v>87</v>
      </c>
      <c r="C90" s="37" t="s">
        <v>572</v>
      </c>
      <c r="D90" s="37" t="s">
        <v>573</v>
      </c>
      <c r="E90" s="37" t="s">
        <v>574</v>
      </c>
      <c r="F90" s="38">
        <v>0</v>
      </c>
      <c r="G90" s="37">
        <v>1.25</v>
      </c>
      <c r="H90" s="37" t="s">
        <v>448</v>
      </c>
      <c r="I90" s="37" t="s">
        <v>448</v>
      </c>
      <c r="J90" s="41">
        <f t="shared" si="9"/>
        <v>0</v>
      </c>
      <c r="K90" s="26">
        <f>IF(OR($E90&lt;&gt;"CS",$H90&lt;&gt;"x"),0,INDEX($Y$4:$Y$14,MATCH($G90,$X$4:$X100,0),1))*J90*1.1</f>
        <v>0</v>
      </c>
      <c r="L90" s="26">
        <f t="shared" si="10"/>
        <v>0</v>
      </c>
      <c r="M90" s="26">
        <f>IF($I90&lt;&gt;"x",0,INDEX($Y$27:$Y$37,MATCH($G90,$X$27:$X123,0),1))*J90*1.1</f>
        <v>0</v>
      </c>
      <c r="N90" s="26">
        <f t="shared" si="11"/>
        <v>0</v>
      </c>
      <c r="O90" s="20">
        <f t="shared" si="12"/>
        <v>0</v>
      </c>
      <c r="P90" s="20">
        <f>IF(OR($E90&lt;&gt;"CS",$H90&lt;&gt;"x"),0,INDEX($Z$4:$Z$14,MATCH($G90,$X$4:$X100,0),1))*J90*1.1</f>
        <v>0</v>
      </c>
      <c r="Q90" s="26">
        <f>IF($I90&lt;&gt;"x",0,INDEX($Z$27:$Z$37,MATCH($G90,$X$27:$X123,0),1))*J90*1.1</f>
        <v>0</v>
      </c>
      <c r="R90" s="20">
        <f t="shared" si="13"/>
        <v>0</v>
      </c>
      <c r="S90" s="86">
        <f t="shared" si="14"/>
        <v>0</v>
      </c>
    </row>
    <row r="91" spans="2:19">
      <c r="B91" s="14">
        <f t="shared" si="15"/>
        <v>88</v>
      </c>
      <c r="C91" s="37" t="s">
        <v>572</v>
      </c>
      <c r="D91" s="37" t="s">
        <v>573</v>
      </c>
      <c r="E91" s="37" t="s">
        <v>574</v>
      </c>
      <c r="F91" s="38">
        <v>0</v>
      </c>
      <c r="G91" s="37">
        <v>1</v>
      </c>
      <c r="H91" s="37" t="s">
        <v>448</v>
      </c>
      <c r="I91" s="37" t="s">
        <v>448</v>
      </c>
      <c r="J91" s="41">
        <f t="shared" si="9"/>
        <v>0</v>
      </c>
      <c r="K91" s="26">
        <f>IF(OR($E91&lt;&gt;"CS",$H91&lt;&gt;"x"),0,INDEX($Y$4:$Y$14,MATCH($G91,$X$4:$X101,0),1))*J91*1.1</f>
        <v>0</v>
      </c>
      <c r="L91" s="26">
        <f t="shared" si="10"/>
        <v>0</v>
      </c>
      <c r="M91" s="26">
        <f>IF($I91&lt;&gt;"x",0,INDEX($Y$27:$Y$37,MATCH($G91,$X$27:$X124,0),1))*J91*1.1</f>
        <v>0</v>
      </c>
      <c r="N91" s="26">
        <f t="shared" si="11"/>
        <v>0</v>
      </c>
      <c r="O91" s="20">
        <f t="shared" si="12"/>
        <v>0</v>
      </c>
      <c r="P91" s="20">
        <f>IF(OR($E91&lt;&gt;"CS",$H91&lt;&gt;"x"),0,INDEX($Z$4:$Z$14,MATCH($G91,$X$4:$X101,0),1))*J91*1.1</f>
        <v>0</v>
      </c>
      <c r="Q91" s="26">
        <f>IF($I91&lt;&gt;"x",0,INDEX($Z$27:$Z$37,MATCH($G91,$X$27:$X124,0),1))*J91*1.1</f>
        <v>0</v>
      </c>
      <c r="R91" s="20">
        <f t="shared" si="13"/>
        <v>0</v>
      </c>
      <c r="S91" s="86">
        <f t="shared" si="14"/>
        <v>0</v>
      </c>
    </row>
    <row r="92" spans="2:19">
      <c r="B92" s="14">
        <f t="shared" si="15"/>
        <v>89</v>
      </c>
      <c r="C92" s="37" t="s">
        <v>572</v>
      </c>
      <c r="D92" s="37" t="s">
        <v>573</v>
      </c>
      <c r="E92" s="37" t="s">
        <v>574</v>
      </c>
      <c r="F92" s="38">
        <v>0</v>
      </c>
      <c r="G92" s="37">
        <v>1</v>
      </c>
      <c r="H92" s="37" t="s">
        <v>448</v>
      </c>
      <c r="I92" s="37" t="s">
        <v>448</v>
      </c>
      <c r="J92" s="41">
        <f t="shared" si="9"/>
        <v>0</v>
      </c>
      <c r="K92" s="26">
        <f>IF(OR($E92&lt;&gt;"CS",$H92&lt;&gt;"x"),0,INDEX($Y$4:$Y$14,MATCH($G92,$X$4:$X102,0),1))*J92*1.1</f>
        <v>0</v>
      </c>
      <c r="L92" s="26">
        <f t="shared" si="10"/>
        <v>0</v>
      </c>
      <c r="M92" s="26">
        <f>IF($I92&lt;&gt;"x",0,INDEX($Y$27:$Y$37,MATCH($G92,$X$27:$X125,0),1))*J92*1.1</f>
        <v>0</v>
      </c>
      <c r="N92" s="26">
        <f t="shared" si="11"/>
        <v>0</v>
      </c>
      <c r="O92" s="20">
        <f t="shared" si="12"/>
        <v>0</v>
      </c>
      <c r="P92" s="20">
        <f>IF(OR($E92&lt;&gt;"CS",$H92&lt;&gt;"x"),0,INDEX($Z$4:$Z$14,MATCH($G92,$X$4:$X102,0),1))*J92*1.1</f>
        <v>0</v>
      </c>
      <c r="Q92" s="26">
        <f>IF($I92&lt;&gt;"x",0,INDEX($Z$27:$Z$37,MATCH($G92,$X$27:$X125,0),1))*J92*1.1</f>
        <v>0</v>
      </c>
      <c r="R92" s="20">
        <f t="shared" si="13"/>
        <v>0</v>
      </c>
      <c r="S92" s="86">
        <f t="shared" si="14"/>
        <v>0</v>
      </c>
    </row>
    <row r="93" spans="2:19">
      <c r="B93" s="14">
        <f t="shared" si="15"/>
        <v>90</v>
      </c>
      <c r="C93" s="37" t="s">
        <v>572</v>
      </c>
      <c r="D93" s="37" t="s">
        <v>573</v>
      </c>
      <c r="E93" s="37" t="s">
        <v>574</v>
      </c>
      <c r="F93" s="38">
        <v>0</v>
      </c>
      <c r="G93" s="37">
        <v>4</v>
      </c>
      <c r="H93" s="37" t="s">
        <v>448</v>
      </c>
      <c r="I93" s="37" t="s">
        <v>448</v>
      </c>
      <c r="J93" s="41">
        <f t="shared" si="9"/>
        <v>0</v>
      </c>
      <c r="K93" s="26">
        <f>IF(OR($E93&lt;&gt;"CS",$H93&lt;&gt;"x"),0,INDEX($Y$4:$Y$14,MATCH($G93,$X$4:$X103,0),1))*J93*1.1</f>
        <v>0</v>
      </c>
      <c r="L93" s="26">
        <f t="shared" si="10"/>
        <v>0</v>
      </c>
      <c r="M93" s="26">
        <f>IF($I93&lt;&gt;"x",0,INDEX($Y$27:$Y$37,MATCH($G93,$X$27:$X126,0),1))*J93*1.1</f>
        <v>0</v>
      </c>
      <c r="N93" s="26">
        <f t="shared" si="11"/>
        <v>0</v>
      </c>
      <c r="O93" s="20">
        <f t="shared" si="12"/>
        <v>0</v>
      </c>
      <c r="P93" s="20">
        <f>IF(OR($E93&lt;&gt;"CS",$H93&lt;&gt;"x"),0,INDEX($Z$4:$Z$14,MATCH($G93,$X$4:$X103,0),1))*J93*1.1</f>
        <v>0</v>
      </c>
      <c r="Q93" s="26">
        <f>IF($I93&lt;&gt;"x",0,INDEX($Z$27:$Z$37,MATCH($G93,$X$27:$X126,0),1))*J93*1.1</f>
        <v>0</v>
      </c>
      <c r="R93" s="20">
        <f t="shared" si="13"/>
        <v>0</v>
      </c>
      <c r="S93" s="86">
        <f t="shared" si="14"/>
        <v>0</v>
      </c>
    </row>
    <row r="94" spans="2:19">
      <c r="B94" s="14">
        <f t="shared" si="15"/>
        <v>91</v>
      </c>
      <c r="C94" s="37" t="s">
        <v>572</v>
      </c>
      <c r="D94" s="37" t="s">
        <v>573</v>
      </c>
      <c r="E94" s="37" t="s">
        <v>574</v>
      </c>
      <c r="F94" s="38">
        <v>0</v>
      </c>
      <c r="G94" s="37">
        <v>4</v>
      </c>
      <c r="H94" s="37" t="s">
        <v>448</v>
      </c>
      <c r="I94" s="37" t="s">
        <v>448</v>
      </c>
      <c r="J94" s="41">
        <f t="shared" si="9"/>
        <v>0</v>
      </c>
      <c r="K94" s="26">
        <f>IF(OR($E94&lt;&gt;"CS",$H94&lt;&gt;"x"),0,INDEX($Y$4:$Y$14,MATCH($G94,$X$4:$X104,0),1))*J94*1.1</f>
        <v>0</v>
      </c>
      <c r="L94" s="26">
        <f t="shared" si="10"/>
        <v>0</v>
      </c>
      <c r="M94" s="26">
        <f>IF($I94&lt;&gt;"x",0,INDEX($Y$27:$Y$37,MATCH($G94,$X$27:$X127,0),1))*J94*1.1</f>
        <v>0</v>
      </c>
      <c r="N94" s="26">
        <f t="shared" si="11"/>
        <v>0</v>
      </c>
      <c r="O94" s="20">
        <f t="shared" si="12"/>
        <v>0</v>
      </c>
      <c r="P94" s="20">
        <f>IF(OR($E94&lt;&gt;"CS",$H94&lt;&gt;"x"),0,INDEX($Z$4:$Z$14,MATCH($G94,$X$4:$X104,0),1))*J94*1.1</f>
        <v>0</v>
      </c>
      <c r="Q94" s="26">
        <f>IF($I94&lt;&gt;"x",0,INDEX($Z$27:$Z$37,MATCH($G94,$X$27:$X127,0),1))*J94*1.1</f>
        <v>0</v>
      </c>
      <c r="R94" s="20">
        <f t="shared" si="13"/>
        <v>0</v>
      </c>
      <c r="S94" s="86">
        <f t="shared" si="14"/>
        <v>0</v>
      </c>
    </row>
    <row r="95" spans="2:19">
      <c r="B95" s="14">
        <f t="shared" si="15"/>
        <v>92</v>
      </c>
      <c r="C95" s="37" t="s">
        <v>572</v>
      </c>
      <c r="D95" s="37" t="s">
        <v>573</v>
      </c>
      <c r="E95" s="37" t="s">
        <v>574</v>
      </c>
      <c r="F95" s="38">
        <v>0</v>
      </c>
      <c r="G95" s="37">
        <v>8</v>
      </c>
      <c r="H95" s="37" t="s">
        <v>448</v>
      </c>
      <c r="I95" s="37" t="s">
        <v>448</v>
      </c>
      <c r="J95" s="41">
        <f t="shared" si="9"/>
        <v>0</v>
      </c>
      <c r="K95" s="26">
        <f>IF(OR($E95&lt;&gt;"CS",$H95&lt;&gt;"x"),0,INDEX($Y$4:$Y$14,MATCH($G95,$X$4:$X105,0),1))*J95*1.1</f>
        <v>0</v>
      </c>
      <c r="L95" s="26">
        <f t="shared" si="10"/>
        <v>0</v>
      </c>
      <c r="M95" s="26">
        <f>IF($I95&lt;&gt;"x",0,INDEX($Y$27:$Y$37,MATCH($G95,$X$27:$X128,0),1))*J95*1.1</f>
        <v>0</v>
      </c>
      <c r="N95" s="26">
        <f t="shared" si="11"/>
        <v>0</v>
      </c>
      <c r="O95" s="20">
        <f t="shared" si="12"/>
        <v>0</v>
      </c>
      <c r="P95" s="20">
        <f>IF(OR($E95&lt;&gt;"CS",$H95&lt;&gt;"x"),0,INDEX($Z$4:$Z$14,MATCH($G95,$X$4:$X105,0),1))*J95*1.1</f>
        <v>0</v>
      </c>
      <c r="Q95" s="26">
        <f>IF($I95&lt;&gt;"x",0,INDEX($Z$27:$Z$37,MATCH($G95,$X$27:$X128,0),1))*J95*1.1</f>
        <v>0</v>
      </c>
      <c r="R95" s="20">
        <f t="shared" si="13"/>
        <v>0</v>
      </c>
      <c r="S95" s="86">
        <f t="shared" si="14"/>
        <v>0</v>
      </c>
    </row>
    <row r="96" spans="2:19">
      <c r="B96" s="14">
        <f t="shared" si="15"/>
        <v>93</v>
      </c>
      <c r="C96" s="37" t="s">
        <v>572</v>
      </c>
      <c r="D96" s="37" t="s">
        <v>573</v>
      </c>
      <c r="E96" s="37" t="s">
        <v>574</v>
      </c>
      <c r="F96" s="38">
        <v>0</v>
      </c>
      <c r="G96" s="37">
        <v>8</v>
      </c>
      <c r="H96" s="37" t="s">
        <v>448</v>
      </c>
      <c r="I96" s="37" t="s">
        <v>448</v>
      </c>
      <c r="J96" s="41">
        <f t="shared" si="9"/>
        <v>0</v>
      </c>
      <c r="K96" s="26">
        <f>IF(OR($E96&lt;&gt;"CS",$H96&lt;&gt;"x"),0,INDEX($Y$4:$Y$14,MATCH($G96,$X$4:$X106,0),1))*J96*1.1</f>
        <v>0</v>
      </c>
      <c r="L96" s="26">
        <f t="shared" si="10"/>
        <v>0</v>
      </c>
      <c r="M96" s="26">
        <f>IF($I96&lt;&gt;"x",0,INDEX($Y$27:$Y$37,MATCH($G96,$X$27:$X129,0),1))*J96*1.1</f>
        <v>0</v>
      </c>
      <c r="N96" s="26">
        <f t="shared" si="11"/>
        <v>0</v>
      </c>
      <c r="O96" s="20">
        <f t="shared" si="12"/>
        <v>0</v>
      </c>
      <c r="P96" s="20">
        <f>IF(OR($E96&lt;&gt;"CS",$H96&lt;&gt;"x"),0,INDEX($Z$4:$Z$14,MATCH($G96,$X$4:$X106,0),1))*J96*1.1</f>
        <v>0</v>
      </c>
      <c r="Q96" s="26">
        <f>IF($I96&lt;&gt;"x",0,INDEX($Z$27:$Z$37,MATCH($G96,$X$27:$X129,0),1))*J96*1.1</f>
        <v>0</v>
      </c>
      <c r="R96" s="20">
        <f t="shared" si="13"/>
        <v>0</v>
      </c>
      <c r="S96" s="86">
        <f t="shared" si="14"/>
        <v>0</v>
      </c>
    </row>
    <row r="97" spans="2:19">
      <c r="B97" s="14">
        <f t="shared" si="15"/>
        <v>94</v>
      </c>
      <c r="C97" s="37" t="s">
        <v>572</v>
      </c>
      <c r="D97" s="37" t="s">
        <v>573</v>
      </c>
      <c r="E97" s="37" t="s">
        <v>574</v>
      </c>
      <c r="F97" s="38">
        <v>0</v>
      </c>
      <c r="G97" s="37">
        <v>6</v>
      </c>
      <c r="H97" s="37" t="s">
        <v>448</v>
      </c>
      <c r="I97" s="37" t="s">
        <v>448</v>
      </c>
      <c r="J97" s="41">
        <f t="shared" si="9"/>
        <v>0</v>
      </c>
      <c r="K97" s="26">
        <f>IF(OR($E97&lt;&gt;"CS",$H97&lt;&gt;"x"),0,INDEX($Y$4:$Y$14,MATCH($G97,$X$4:$X107,0),1))*J97*1.1</f>
        <v>0</v>
      </c>
      <c r="L97" s="26">
        <f t="shared" si="10"/>
        <v>0</v>
      </c>
      <c r="M97" s="26">
        <f>IF($I97&lt;&gt;"x",0,INDEX($Y$27:$Y$37,MATCH($G97,$X$27:$X130,0),1))*J97*1.1</f>
        <v>0</v>
      </c>
      <c r="N97" s="26">
        <f t="shared" si="11"/>
        <v>0</v>
      </c>
      <c r="O97" s="20">
        <f t="shared" si="12"/>
        <v>0</v>
      </c>
      <c r="P97" s="20">
        <f>IF(OR($E97&lt;&gt;"CS",$H97&lt;&gt;"x"),0,INDEX($Z$4:$Z$14,MATCH($G97,$X$4:$X107,0),1))*J97*1.1</f>
        <v>0</v>
      </c>
      <c r="Q97" s="26">
        <f>IF($I97&lt;&gt;"x",0,INDEX($Z$27:$Z$37,MATCH($G97,$X$27:$X130,0),1))*J97*1.1</f>
        <v>0</v>
      </c>
      <c r="R97" s="20">
        <f t="shared" si="13"/>
        <v>0</v>
      </c>
      <c r="S97" s="86">
        <f t="shared" si="14"/>
        <v>0</v>
      </c>
    </row>
    <row r="98" spans="2:19">
      <c r="B98" s="14">
        <f t="shared" si="15"/>
        <v>95</v>
      </c>
      <c r="C98" s="37" t="s">
        <v>572</v>
      </c>
      <c r="D98" s="37" t="s">
        <v>573</v>
      </c>
      <c r="E98" s="37" t="s">
        <v>574</v>
      </c>
      <c r="F98" s="38">
        <v>0</v>
      </c>
      <c r="G98" s="37">
        <v>6</v>
      </c>
      <c r="H98" s="37" t="s">
        <v>448</v>
      </c>
      <c r="I98" s="37" t="s">
        <v>448</v>
      </c>
      <c r="J98" s="41">
        <f t="shared" si="9"/>
        <v>0</v>
      </c>
      <c r="K98" s="26">
        <f>IF(OR($E98&lt;&gt;"CS",$H98&lt;&gt;"x"),0,INDEX($Y$4:$Y$14,MATCH($G98,$X$4:$X108,0),1))*J98*1.1</f>
        <v>0</v>
      </c>
      <c r="L98" s="26">
        <f t="shared" si="10"/>
        <v>0</v>
      </c>
      <c r="M98" s="26">
        <f>IF($I98&lt;&gt;"x",0,INDEX($Y$27:$Y$37,MATCH($G98,$X$27:$X131,0),1))*J98*1.1</f>
        <v>0</v>
      </c>
      <c r="N98" s="26">
        <f t="shared" si="11"/>
        <v>0</v>
      </c>
      <c r="O98" s="20">
        <f t="shared" si="12"/>
        <v>0</v>
      </c>
      <c r="P98" s="20">
        <f>IF(OR($E98&lt;&gt;"CS",$H98&lt;&gt;"x"),0,INDEX($Z$4:$Z$14,MATCH($G98,$X$4:$X108,0),1))*J98*1.1</f>
        <v>0</v>
      </c>
      <c r="Q98" s="26">
        <f>IF($I98&lt;&gt;"x",0,INDEX($Z$27:$Z$37,MATCH($G98,$X$27:$X131,0),1))*J98*1.1</f>
        <v>0</v>
      </c>
      <c r="R98" s="20">
        <f t="shared" si="13"/>
        <v>0</v>
      </c>
      <c r="S98" s="86">
        <f t="shared" si="14"/>
        <v>0</v>
      </c>
    </row>
    <row r="99" spans="2:19">
      <c r="B99" s="14">
        <f t="shared" si="15"/>
        <v>96</v>
      </c>
      <c r="C99" s="37" t="s">
        <v>572</v>
      </c>
      <c r="D99" s="37" t="s">
        <v>573</v>
      </c>
      <c r="E99" s="37" t="s">
        <v>574</v>
      </c>
      <c r="F99" s="38">
        <v>0</v>
      </c>
      <c r="G99" s="37">
        <v>6</v>
      </c>
      <c r="H99" s="37" t="s">
        <v>448</v>
      </c>
      <c r="I99" s="37" t="s">
        <v>448</v>
      </c>
      <c r="J99" s="41">
        <f t="shared" si="9"/>
        <v>0</v>
      </c>
      <c r="K99" s="26">
        <f>IF(OR($E99&lt;&gt;"CS",$H99&lt;&gt;"x"),0,INDEX($Y$4:$Y$14,MATCH($G99,$X$4:$X109,0),1))*J99*1.1</f>
        <v>0</v>
      </c>
      <c r="L99" s="26">
        <f t="shared" si="10"/>
        <v>0</v>
      </c>
      <c r="M99" s="26">
        <f>IF($I99&lt;&gt;"x",0,INDEX($Y$27:$Y$37,MATCH($G99,$X$27:$X132,0),1))*J99*1.1</f>
        <v>0</v>
      </c>
      <c r="N99" s="26">
        <f t="shared" si="11"/>
        <v>0</v>
      </c>
      <c r="O99" s="20">
        <f t="shared" si="12"/>
        <v>0</v>
      </c>
      <c r="P99" s="20">
        <f>IF(OR($E99&lt;&gt;"CS",$H99&lt;&gt;"x"),0,INDEX($Z$4:$Z$14,MATCH($G99,$X$4:$X109,0),1))*J99*1.1</f>
        <v>0</v>
      </c>
      <c r="Q99" s="26">
        <f>IF($I99&lt;&gt;"x",0,INDEX($Z$27:$Z$37,MATCH($G99,$X$27:$X132,0),1))*J99*1.1</f>
        <v>0</v>
      </c>
      <c r="R99" s="20">
        <f t="shared" si="13"/>
        <v>0</v>
      </c>
      <c r="S99" s="86">
        <f t="shared" si="14"/>
        <v>0</v>
      </c>
    </row>
    <row r="100" spans="2:19">
      <c r="B100" s="14">
        <f t="shared" si="15"/>
        <v>97</v>
      </c>
      <c r="C100" s="37" t="s">
        <v>572</v>
      </c>
      <c r="D100" s="37" t="s">
        <v>573</v>
      </c>
      <c r="E100" s="37" t="s">
        <v>574</v>
      </c>
      <c r="F100" s="38">
        <v>0</v>
      </c>
      <c r="G100" s="37">
        <v>6</v>
      </c>
      <c r="H100" s="37" t="s">
        <v>448</v>
      </c>
      <c r="I100" s="37" t="s">
        <v>448</v>
      </c>
      <c r="J100" s="41">
        <f t="shared" ref="J100:J131" si="16">IF(F100="","",+$I$2*F100)</f>
        <v>0</v>
      </c>
      <c r="K100" s="26">
        <f>IF(OR($E100&lt;&gt;"CS",$H100&lt;&gt;"x"),0,INDEX($Y$4:$Y$14,MATCH($G100,$X$4:$X110,0),1))*J100*1.1</f>
        <v>0</v>
      </c>
      <c r="L100" s="26">
        <f t="shared" si="10"/>
        <v>0</v>
      </c>
      <c r="M100" s="26">
        <f>IF($I100&lt;&gt;"x",0,INDEX($Y$27:$Y$37,MATCH($G100,$X$27:$X133,0),1))*J100*1.1</f>
        <v>0</v>
      </c>
      <c r="N100" s="26">
        <f t="shared" si="11"/>
        <v>0</v>
      </c>
      <c r="O100" s="20">
        <f t="shared" si="12"/>
        <v>0</v>
      </c>
      <c r="P100" s="20">
        <f>IF(OR($E100&lt;&gt;"CS",$H100&lt;&gt;"x"),0,INDEX($Z$4:$Z$14,MATCH($G100,$X$4:$X110,0),1))*J100*1.1</f>
        <v>0</v>
      </c>
      <c r="Q100" s="26">
        <f>IF($I100&lt;&gt;"x",0,INDEX($Z$27:$Z$37,MATCH($G100,$X$27:$X133,0),1))*J100*1.1</f>
        <v>0</v>
      </c>
      <c r="R100" s="20">
        <f t="shared" si="13"/>
        <v>0</v>
      </c>
      <c r="S100" s="86">
        <f t="shared" si="14"/>
        <v>0</v>
      </c>
    </row>
    <row r="101" spans="2:19">
      <c r="B101" s="14">
        <f t="shared" si="15"/>
        <v>98</v>
      </c>
      <c r="C101" s="37" t="s">
        <v>572</v>
      </c>
      <c r="D101" s="37" t="s">
        <v>573</v>
      </c>
      <c r="E101" s="37" t="s">
        <v>574</v>
      </c>
      <c r="F101" s="38">
        <v>0</v>
      </c>
      <c r="G101" s="37">
        <v>4</v>
      </c>
      <c r="H101" s="37" t="s">
        <v>448</v>
      </c>
      <c r="I101" s="37" t="s">
        <v>448</v>
      </c>
      <c r="J101" s="41">
        <f t="shared" si="16"/>
        <v>0</v>
      </c>
      <c r="K101" s="26">
        <f>IF(OR($E101&lt;&gt;"CS",$H101&lt;&gt;"x"),0,INDEX($Y$4:$Y$14,MATCH($G101,$X$4:$X111,0),1))*J101*1.1</f>
        <v>0</v>
      </c>
      <c r="L101" s="26">
        <f t="shared" si="10"/>
        <v>0</v>
      </c>
      <c r="M101" s="26">
        <f>IF($I101&lt;&gt;"x",0,INDEX($Y$27:$Y$37,MATCH($G101,$X$27:$X134,0),1))*J101*1.1</f>
        <v>0</v>
      </c>
      <c r="N101" s="26">
        <f t="shared" si="11"/>
        <v>0</v>
      </c>
      <c r="O101" s="20">
        <f t="shared" si="12"/>
        <v>0</v>
      </c>
      <c r="P101" s="20">
        <f>IF(OR($E101&lt;&gt;"CS",$H101&lt;&gt;"x"),0,INDEX($Z$4:$Z$14,MATCH($G101,$X$4:$X111,0),1))*J101*1.1</f>
        <v>0</v>
      </c>
      <c r="Q101" s="26">
        <f>IF($I101&lt;&gt;"x",0,INDEX($Z$27:$Z$37,MATCH($G101,$X$27:$X134,0),1))*J101*1.1</f>
        <v>0</v>
      </c>
      <c r="R101" s="20">
        <f t="shared" si="13"/>
        <v>0</v>
      </c>
      <c r="S101" s="86">
        <f t="shared" si="14"/>
        <v>0</v>
      </c>
    </row>
    <row r="102" spans="2:19">
      <c r="B102" s="14">
        <f t="shared" si="15"/>
        <v>99</v>
      </c>
      <c r="C102" s="37" t="s">
        <v>572</v>
      </c>
      <c r="D102" s="37" t="s">
        <v>573</v>
      </c>
      <c r="E102" s="37" t="s">
        <v>574</v>
      </c>
      <c r="F102" s="38">
        <v>0</v>
      </c>
      <c r="G102" s="37">
        <v>4</v>
      </c>
      <c r="H102" s="37" t="s">
        <v>448</v>
      </c>
      <c r="I102" s="37" t="s">
        <v>448</v>
      </c>
      <c r="J102" s="41">
        <f t="shared" si="16"/>
        <v>0</v>
      </c>
      <c r="K102" s="26">
        <f>IF(OR($E102&lt;&gt;"CS",$H102&lt;&gt;"x"),0,INDEX($Y$4:$Y$14,MATCH($G102,$X$4:$X112,0),1))*J102*1.1</f>
        <v>0</v>
      </c>
      <c r="L102" s="26">
        <f t="shared" si="10"/>
        <v>0</v>
      </c>
      <c r="M102" s="26">
        <f>IF($I102&lt;&gt;"x",0,INDEX($Y$27:$Y$37,MATCH($G102,$X$27:$X135,0),1))*J102*1.1</f>
        <v>0</v>
      </c>
      <c r="N102" s="26">
        <f t="shared" si="11"/>
        <v>0</v>
      </c>
      <c r="O102" s="20">
        <f t="shared" si="12"/>
        <v>0</v>
      </c>
      <c r="P102" s="20">
        <f>IF(OR($E102&lt;&gt;"CS",$H102&lt;&gt;"x"),0,INDEX($Z$4:$Z$14,MATCH($G102,$X$4:$X112,0),1))*J102*1.1</f>
        <v>0</v>
      </c>
      <c r="Q102" s="26">
        <f>IF($I102&lt;&gt;"x",0,INDEX($Z$27:$Z$37,MATCH($G102,$X$27:$X135,0),1))*J102*1.1</f>
        <v>0</v>
      </c>
      <c r="R102" s="20">
        <f t="shared" si="13"/>
        <v>0</v>
      </c>
      <c r="S102" s="86">
        <f t="shared" si="14"/>
        <v>0</v>
      </c>
    </row>
    <row r="103" spans="2:19">
      <c r="B103" s="14">
        <f t="shared" si="15"/>
        <v>100</v>
      </c>
      <c r="C103" s="37" t="s">
        <v>572</v>
      </c>
      <c r="D103" s="37" t="s">
        <v>573</v>
      </c>
      <c r="E103" s="37" t="s">
        <v>574</v>
      </c>
      <c r="F103" s="38">
        <v>0</v>
      </c>
      <c r="G103" s="37">
        <v>2</v>
      </c>
      <c r="H103" s="37" t="s">
        <v>448</v>
      </c>
      <c r="I103" s="37" t="s">
        <v>448</v>
      </c>
      <c r="J103" s="41">
        <f t="shared" si="16"/>
        <v>0</v>
      </c>
      <c r="K103" s="26">
        <f>IF(OR($E103&lt;&gt;"CS",$H103&lt;&gt;"x"),0,INDEX($Y$4:$Y$14,MATCH($G103,$X$4:$X113,0),1))*J103*1.1</f>
        <v>0</v>
      </c>
      <c r="L103" s="26">
        <f t="shared" si="10"/>
        <v>0</v>
      </c>
      <c r="M103" s="26">
        <f>IF($I103&lt;&gt;"x",0,INDEX($Y$27:$Y$37,MATCH($G103,$X$27:$X136,0),1))*J103*1.1</f>
        <v>0</v>
      </c>
      <c r="N103" s="26">
        <f t="shared" si="11"/>
        <v>0</v>
      </c>
      <c r="O103" s="20">
        <f t="shared" si="12"/>
        <v>0</v>
      </c>
      <c r="P103" s="20">
        <f>IF(OR($E103&lt;&gt;"CS",$H103&lt;&gt;"x"),0,INDEX($Z$4:$Z$14,MATCH($G103,$X$4:$X113,0),1))*J103*1.1</f>
        <v>0</v>
      </c>
      <c r="Q103" s="26">
        <f>IF($I103&lt;&gt;"x",0,INDEX($Z$27:$Z$37,MATCH($G103,$X$27:$X136,0),1))*J103*1.1</f>
        <v>0</v>
      </c>
      <c r="R103" s="20">
        <f t="shared" si="13"/>
        <v>0</v>
      </c>
      <c r="S103" s="86">
        <f t="shared" si="14"/>
        <v>0</v>
      </c>
    </row>
    <row r="104" spans="2:19">
      <c r="B104" s="14">
        <f t="shared" si="15"/>
        <v>101</v>
      </c>
      <c r="C104" s="37" t="s">
        <v>572</v>
      </c>
      <c r="D104" s="37" t="s">
        <v>573</v>
      </c>
      <c r="E104" s="37" t="s">
        <v>574</v>
      </c>
      <c r="F104" s="38">
        <v>0</v>
      </c>
      <c r="G104" s="37">
        <v>2</v>
      </c>
      <c r="H104" s="37" t="s">
        <v>448</v>
      </c>
      <c r="I104" s="37" t="s">
        <v>448</v>
      </c>
      <c r="J104" s="41">
        <f t="shared" si="16"/>
        <v>0</v>
      </c>
      <c r="K104" s="26">
        <f>IF(OR($E104&lt;&gt;"CS",$H104&lt;&gt;"x"),0,INDEX($Y$4:$Y$14,MATCH($G104,$X$4:$X114,0),1))*J104*1.1</f>
        <v>0</v>
      </c>
      <c r="L104" s="26">
        <f t="shared" si="10"/>
        <v>0</v>
      </c>
      <c r="M104" s="26">
        <f>IF($I104&lt;&gt;"x",0,INDEX($Y$27:$Y$37,MATCH($G104,$X$27:$X137,0),1))*J104*1.1</f>
        <v>0</v>
      </c>
      <c r="N104" s="26">
        <f t="shared" si="11"/>
        <v>0</v>
      </c>
      <c r="O104" s="20">
        <f t="shared" si="12"/>
        <v>0</v>
      </c>
      <c r="P104" s="20">
        <f>IF(OR($E104&lt;&gt;"CS",$H104&lt;&gt;"x"),0,INDEX($Z$4:$Z$14,MATCH($G104,$X$4:$X114,0),1))*J104*1.1</f>
        <v>0</v>
      </c>
      <c r="Q104" s="26">
        <f>IF($I104&lt;&gt;"x",0,INDEX($Z$27:$Z$37,MATCH($G104,$X$27:$X137,0),1))*J104*1.1</f>
        <v>0</v>
      </c>
      <c r="R104" s="20">
        <f t="shared" si="13"/>
        <v>0</v>
      </c>
      <c r="S104" s="86">
        <f t="shared" si="14"/>
        <v>0</v>
      </c>
    </row>
    <row r="105" spans="2:19">
      <c r="B105" s="14">
        <f t="shared" si="15"/>
        <v>102</v>
      </c>
      <c r="C105" s="37" t="s">
        <v>572</v>
      </c>
      <c r="D105" s="37" t="s">
        <v>573</v>
      </c>
      <c r="E105" s="37" t="s">
        <v>574</v>
      </c>
      <c r="F105" s="38">
        <v>0</v>
      </c>
      <c r="G105" s="37">
        <v>4</v>
      </c>
      <c r="H105" s="37" t="s">
        <v>448</v>
      </c>
      <c r="I105" s="37" t="s">
        <v>448</v>
      </c>
      <c r="J105" s="41">
        <f t="shared" si="16"/>
        <v>0</v>
      </c>
      <c r="K105" s="26">
        <f>IF(OR($E105&lt;&gt;"CS",$H105&lt;&gt;"x"),0,INDEX($Y$4:$Y$14,MATCH($G105,$X$4:$X115,0),1))*J105*1.1</f>
        <v>0</v>
      </c>
      <c r="L105" s="26">
        <f t="shared" si="10"/>
        <v>0</v>
      </c>
      <c r="M105" s="26">
        <f>IF($I105&lt;&gt;"x",0,INDEX($Y$27:$Y$37,MATCH($G105,$X$27:$X138,0),1))*J105*1.1</f>
        <v>0</v>
      </c>
      <c r="N105" s="26">
        <f t="shared" si="11"/>
        <v>0</v>
      </c>
      <c r="O105" s="20">
        <f t="shared" si="12"/>
        <v>0</v>
      </c>
      <c r="P105" s="20">
        <f>IF(OR($E105&lt;&gt;"CS",$H105&lt;&gt;"x"),0,INDEX($Z$4:$Z$14,MATCH($G105,$X$4:$X115,0),1))*J105*1.1</f>
        <v>0</v>
      </c>
      <c r="Q105" s="26">
        <f>IF($I105&lt;&gt;"x",0,INDEX($Z$27:$Z$37,MATCH($G105,$X$27:$X138,0),1))*J105*1.1</f>
        <v>0</v>
      </c>
      <c r="R105" s="20">
        <f t="shared" si="13"/>
        <v>0</v>
      </c>
      <c r="S105" s="86">
        <f t="shared" si="14"/>
        <v>0</v>
      </c>
    </row>
    <row r="106" spans="2:19">
      <c r="B106" s="14">
        <f t="shared" si="15"/>
        <v>103</v>
      </c>
      <c r="C106" s="37" t="s">
        <v>572</v>
      </c>
      <c r="D106" s="37" t="s">
        <v>573</v>
      </c>
      <c r="E106" s="37" t="s">
        <v>574</v>
      </c>
      <c r="F106" s="38">
        <v>0</v>
      </c>
      <c r="G106" s="37">
        <v>4</v>
      </c>
      <c r="H106" s="37" t="s">
        <v>448</v>
      </c>
      <c r="I106" s="37" t="s">
        <v>448</v>
      </c>
      <c r="J106" s="41">
        <f t="shared" si="16"/>
        <v>0</v>
      </c>
      <c r="K106" s="26">
        <f>IF(OR($E106&lt;&gt;"CS",$H106&lt;&gt;"x"),0,INDEX($Y$4:$Y$14,MATCH($G106,$X$4:$X116,0),1))*J106*1.1</f>
        <v>0</v>
      </c>
      <c r="L106" s="26">
        <f t="shared" si="10"/>
        <v>0</v>
      </c>
      <c r="M106" s="26">
        <f>IF($I106&lt;&gt;"x",0,INDEX($Y$27:$Y$37,MATCH($G106,$X$27:$X139,0),1))*J106*1.1</f>
        <v>0</v>
      </c>
      <c r="N106" s="26">
        <f t="shared" si="11"/>
        <v>0</v>
      </c>
      <c r="O106" s="20">
        <f t="shared" si="12"/>
        <v>0</v>
      </c>
      <c r="P106" s="20">
        <f>IF(OR($E106&lt;&gt;"CS",$H106&lt;&gt;"x"),0,INDEX($Z$4:$Z$14,MATCH($G106,$X$4:$X116,0),1))*J106*1.1</f>
        <v>0</v>
      </c>
      <c r="Q106" s="26">
        <f>IF($I106&lt;&gt;"x",0,INDEX($Z$27:$Z$37,MATCH($G106,$X$27:$X139,0),1))*J106*1.1</f>
        <v>0</v>
      </c>
      <c r="R106" s="20">
        <f t="shared" si="13"/>
        <v>0</v>
      </c>
      <c r="S106" s="86">
        <f t="shared" si="14"/>
        <v>0</v>
      </c>
    </row>
    <row r="107" spans="2:19">
      <c r="B107" s="14">
        <f t="shared" si="15"/>
        <v>104</v>
      </c>
      <c r="C107" s="37" t="s">
        <v>572</v>
      </c>
      <c r="D107" s="37" t="s">
        <v>573</v>
      </c>
      <c r="E107" s="37" t="s">
        <v>574</v>
      </c>
      <c r="F107" s="38">
        <v>0</v>
      </c>
      <c r="G107" s="37">
        <v>4</v>
      </c>
      <c r="H107" s="37" t="s">
        <v>448</v>
      </c>
      <c r="I107" s="37" t="s">
        <v>448</v>
      </c>
      <c r="J107" s="41">
        <f t="shared" si="16"/>
        <v>0</v>
      </c>
      <c r="K107" s="26">
        <f>IF(OR($E107&lt;&gt;"CS",$H107&lt;&gt;"x"),0,INDEX($Y$4:$Y$14,MATCH($G107,$X$4:$X117,0),1))*J107*1.1</f>
        <v>0</v>
      </c>
      <c r="L107" s="26">
        <f t="shared" si="10"/>
        <v>0</v>
      </c>
      <c r="M107" s="26">
        <f>IF($I107&lt;&gt;"x",0,INDEX($Y$27:$Y$37,MATCH($G107,$X$27:$X140,0),1))*J107*1.1</f>
        <v>0</v>
      </c>
      <c r="N107" s="26">
        <f t="shared" si="11"/>
        <v>0</v>
      </c>
      <c r="O107" s="20">
        <f t="shared" si="12"/>
        <v>0</v>
      </c>
      <c r="P107" s="20">
        <f>IF(OR($E107&lt;&gt;"CS",$H107&lt;&gt;"x"),0,INDEX($Z$4:$Z$14,MATCH($G107,$X$4:$X117,0),1))*J107*1.1</f>
        <v>0</v>
      </c>
      <c r="Q107" s="26">
        <f>IF($I107&lt;&gt;"x",0,INDEX($Z$27:$Z$37,MATCH($G107,$X$27:$X140,0),1))*J107*1.1</f>
        <v>0</v>
      </c>
      <c r="R107" s="20">
        <f t="shared" si="13"/>
        <v>0</v>
      </c>
      <c r="S107" s="86">
        <f t="shared" si="14"/>
        <v>0</v>
      </c>
    </row>
    <row r="108" spans="2:19">
      <c r="B108" s="14">
        <f t="shared" si="15"/>
        <v>105</v>
      </c>
      <c r="C108" s="37" t="s">
        <v>572</v>
      </c>
      <c r="D108" s="37" t="s">
        <v>573</v>
      </c>
      <c r="E108" s="37" t="s">
        <v>574</v>
      </c>
      <c r="F108" s="38">
        <v>0</v>
      </c>
      <c r="G108" s="37">
        <v>4</v>
      </c>
      <c r="H108" s="37" t="s">
        <v>448</v>
      </c>
      <c r="I108" s="37" t="s">
        <v>448</v>
      </c>
      <c r="J108" s="41">
        <f t="shared" si="16"/>
        <v>0</v>
      </c>
      <c r="K108" s="26">
        <f>IF(OR($E108&lt;&gt;"CS",$H108&lt;&gt;"x"),0,INDEX($Y$4:$Y$14,MATCH($G108,$X$4:$X118,0),1))*J108*1.1</f>
        <v>0</v>
      </c>
      <c r="L108" s="26">
        <f t="shared" si="10"/>
        <v>0</v>
      </c>
      <c r="M108" s="26">
        <f>IF($I108&lt;&gt;"x",0,INDEX($Y$27:$Y$37,MATCH($G108,$X$27:$X141,0),1))*J108*1.1</f>
        <v>0</v>
      </c>
      <c r="N108" s="26">
        <f t="shared" si="11"/>
        <v>0</v>
      </c>
      <c r="O108" s="20">
        <f t="shared" si="12"/>
        <v>0</v>
      </c>
      <c r="P108" s="20">
        <f>IF(OR($E108&lt;&gt;"CS",$H108&lt;&gt;"x"),0,INDEX($Z$4:$Z$14,MATCH($G108,$X$4:$X118,0),1))*J108*1.1</f>
        <v>0</v>
      </c>
      <c r="Q108" s="26">
        <f>IF($I108&lt;&gt;"x",0,INDEX($Z$27:$Z$37,MATCH($G108,$X$27:$X141,0),1))*J108*1.1</f>
        <v>0</v>
      </c>
      <c r="R108" s="20">
        <f t="shared" si="13"/>
        <v>0</v>
      </c>
      <c r="S108" s="86">
        <f t="shared" si="14"/>
        <v>0</v>
      </c>
    </row>
    <row r="109" spans="2:19">
      <c r="B109" s="14">
        <f t="shared" si="15"/>
        <v>106</v>
      </c>
      <c r="C109" s="37" t="s">
        <v>572</v>
      </c>
      <c r="D109" s="37" t="s">
        <v>573</v>
      </c>
      <c r="E109" s="37" t="s">
        <v>574</v>
      </c>
      <c r="F109" s="38">
        <v>0</v>
      </c>
      <c r="G109" s="37">
        <v>12</v>
      </c>
      <c r="H109" s="37" t="s">
        <v>448</v>
      </c>
      <c r="I109" s="37" t="s">
        <v>448</v>
      </c>
      <c r="J109" s="41">
        <f t="shared" si="16"/>
        <v>0</v>
      </c>
      <c r="K109" s="26">
        <f>IF(OR($E109&lt;&gt;"CS",$H109&lt;&gt;"x"),0,INDEX($Y$4:$Y$14,MATCH($G109,$X$4:$X119,0),1))*J109*1.1</f>
        <v>0</v>
      </c>
      <c r="L109" s="26">
        <f t="shared" si="10"/>
        <v>0</v>
      </c>
      <c r="M109" s="26">
        <f>IF($I109&lt;&gt;"x",0,INDEX($Y$27:$Y$37,MATCH($G109,$X$27:$X142,0),1))*J109*1.1</f>
        <v>0</v>
      </c>
      <c r="N109" s="26">
        <f t="shared" si="11"/>
        <v>0</v>
      </c>
      <c r="O109" s="20">
        <f t="shared" si="12"/>
        <v>0</v>
      </c>
      <c r="P109" s="20">
        <f>IF(OR($E109&lt;&gt;"CS",$H109&lt;&gt;"x"),0,INDEX($Z$4:$Z$14,MATCH($G109,$X$4:$X119,0),1))*J109*1.1</f>
        <v>0</v>
      </c>
      <c r="Q109" s="26">
        <f>IF($I109&lt;&gt;"x",0,INDEX($Z$27:$Z$37,MATCH($G109,$X$27:$X142,0),1))*J109*1.1</f>
        <v>0</v>
      </c>
      <c r="R109" s="20">
        <f t="shared" si="13"/>
        <v>0</v>
      </c>
      <c r="S109" s="86">
        <f t="shared" si="14"/>
        <v>0</v>
      </c>
    </row>
    <row r="110" spans="2:19">
      <c r="B110" s="14">
        <f t="shared" si="15"/>
        <v>107</v>
      </c>
      <c r="C110" s="37" t="s">
        <v>572</v>
      </c>
      <c r="D110" s="37" t="s">
        <v>573</v>
      </c>
      <c r="E110" s="37" t="s">
        <v>574</v>
      </c>
      <c r="F110" s="38">
        <v>0</v>
      </c>
      <c r="G110" s="37">
        <v>12</v>
      </c>
      <c r="H110" s="37" t="s">
        <v>448</v>
      </c>
      <c r="I110" s="37" t="s">
        <v>448</v>
      </c>
      <c r="J110" s="41">
        <f t="shared" si="16"/>
        <v>0</v>
      </c>
      <c r="K110" s="26">
        <f>IF(OR($E110&lt;&gt;"CS",$H110&lt;&gt;"x"),0,INDEX($Y$4:$Y$14,MATCH($G110,$X$4:$X120,0),1))*J110*1.1</f>
        <v>0</v>
      </c>
      <c r="L110" s="26">
        <f t="shared" si="10"/>
        <v>0</v>
      </c>
      <c r="M110" s="26">
        <f>IF($I110&lt;&gt;"x",0,INDEX($Y$27:$Y$37,MATCH($G110,$X$27:$X143,0),1))*J110*1.1</f>
        <v>0</v>
      </c>
      <c r="N110" s="26">
        <f t="shared" si="11"/>
        <v>0</v>
      </c>
      <c r="O110" s="20">
        <f t="shared" si="12"/>
        <v>0</v>
      </c>
      <c r="P110" s="20">
        <f>IF(OR($E110&lt;&gt;"CS",$H110&lt;&gt;"x"),0,INDEX($Z$4:$Z$14,MATCH($G110,$X$4:$X120,0),1))*J110*1.1</f>
        <v>0</v>
      </c>
      <c r="Q110" s="26">
        <f>IF($I110&lt;&gt;"x",0,INDEX($Z$27:$Z$37,MATCH($G110,$X$27:$X143,0),1))*J110*1.1</f>
        <v>0</v>
      </c>
      <c r="R110" s="20">
        <f t="shared" si="13"/>
        <v>0</v>
      </c>
      <c r="S110" s="86">
        <f t="shared" si="14"/>
        <v>0</v>
      </c>
    </row>
    <row r="111" spans="2:19">
      <c r="B111" s="14">
        <f t="shared" si="15"/>
        <v>108</v>
      </c>
      <c r="C111" s="37" t="s">
        <v>572</v>
      </c>
      <c r="D111" s="37" t="s">
        <v>573</v>
      </c>
      <c r="E111" s="37" t="s">
        <v>574</v>
      </c>
      <c r="F111" s="38">
        <v>0</v>
      </c>
      <c r="G111" s="37">
        <v>10</v>
      </c>
      <c r="H111" s="37" t="s">
        <v>448</v>
      </c>
      <c r="I111" s="37" t="s">
        <v>448</v>
      </c>
      <c r="J111" s="41">
        <f t="shared" si="16"/>
        <v>0</v>
      </c>
      <c r="K111" s="26">
        <f>IF(OR($E111&lt;&gt;"CS",$H111&lt;&gt;"x"),0,INDEX($Y$4:$Y$14,MATCH($G111,$X$4:$X121,0),1))*J111*1.1</f>
        <v>0</v>
      </c>
      <c r="L111" s="26">
        <f t="shared" si="10"/>
        <v>0</v>
      </c>
      <c r="M111" s="26">
        <f>IF($I111&lt;&gt;"x",0,INDEX($Y$27:$Y$37,MATCH($G111,$X$27:$X144,0),1))*J111*1.1</f>
        <v>0</v>
      </c>
      <c r="N111" s="26">
        <f t="shared" si="11"/>
        <v>0</v>
      </c>
      <c r="O111" s="20">
        <f t="shared" si="12"/>
        <v>0</v>
      </c>
      <c r="P111" s="20">
        <f>IF(OR($E111&lt;&gt;"CS",$H111&lt;&gt;"x"),0,INDEX($Z$4:$Z$14,MATCH($G111,$X$4:$X121,0),1))*J111*1.1</f>
        <v>0</v>
      </c>
      <c r="Q111" s="26">
        <f>IF($I111&lt;&gt;"x",0,INDEX($Z$27:$Z$37,MATCH($G111,$X$27:$X144,0),1))*J111*1.1</f>
        <v>0</v>
      </c>
      <c r="R111" s="20">
        <f t="shared" si="13"/>
        <v>0</v>
      </c>
      <c r="S111" s="86">
        <f t="shared" si="14"/>
        <v>0</v>
      </c>
    </row>
    <row r="112" spans="2:19">
      <c r="B112" s="14">
        <f t="shared" si="15"/>
        <v>109</v>
      </c>
      <c r="C112" s="37" t="s">
        <v>572</v>
      </c>
      <c r="D112" s="37" t="s">
        <v>573</v>
      </c>
      <c r="E112" s="37" t="s">
        <v>574</v>
      </c>
      <c r="F112" s="38">
        <v>0</v>
      </c>
      <c r="G112" s="37">
        <v>10</v>
      </c>
      <c r="H112" s="37" t="s">
        <v>448</v>
      </c>
      <c r="I112" s="37" t="s">
        <v>448</v>
      </c>
      <c r="J112" s="41">
        <f t="shared" si="16"/>
        <v>0</v>
      </c>
      <c r="K112" s="26">
        <f>IF(OR($E112&lt;&gt;"CS",$H112&lt;&gt;"x"),0,INDEX($Y$4:$Y$14,MATCH($G112,$X$4:$X122,0),1))*J112*1.1</f>
        <v>0</v>
      </c>
      <c r="L112" s="26">
        <f t="shared" si="10"/>
        <v>0</v>
      </c>
      <c r="M112" s="26">
        <f>IF($I112&lt;&gt;"x",0,INDEX($Y$27:$Y$37,MATCH($G112,$X$27:$X145,0),1))*J112*1.1</f>
        <v>0</v>
      </c>
      <c r="N112" s="26">
        <f t="shared" si="11"/>
        <v>0</v>
      </c>
      <c r="O112" s="20">
        <f t="shared" si="12"/>
        <v>0</v>
      </c>
      <c r="P112" s="20">
        <f>IF(OR($E112&lt;&gt;"CS",$H112&lt;&gt;"x"),0,INDEX($Z$4:$Z$14,MATCH($G112,$X$4:$X122,0),1))*J112*1.1</f>
        <v>0</v>
      </c>
      <c r="Q112" s="26">
        <f>IF($I112&lt;&gt;"x",0,INDEX($Z$27:$Z$37,MATCH($G112,$X$27:$X145,0),1))*J112*1.1</f>
        <v>0</v>
      </c>
      <c r="R112" s="20">
        <f t="shared" si="13"/>
        <v>0</v>
      </c>
      <c r="S112" s="86">
        <f t="shared" si="14"/>
        <v>0</v>
      </c>
    </row>
    <row r="113" spans="2:19">
      <c r="B113" s="14">
        <f t="shared" si="15"/>
        <v>110</v>
      </c>
      <c r="C113" s="37" t="s">
        <v>572</v>
      </c>
      <c r="D113" s="37" t="s">
        <v>573</v>
      </c>
      <c r="E113" s="37" t="s">
        <v>574</v>
      </c>
      <c r="F113" s="38">
        <v>0</v>
      </c>
      <c r="G113" s="37">
        <v>6</v>
      </c>
      <c r="H113" s="37" t="s">
        <v>448</v>
      </c>
      <c r="I113" s="37" t="s">
        <v>448</v>
      </c>
      <c r="J113" s="41">
        <f t="shared" si="16"/>
        <v>0</v>
      </c>
      <c r="K113" s="26">
        <f>IF(OR($E113&lt;&gt;"CS",$H113&lt;&gt;"x"),0,INDEX($Y$4:$Y$14,MATCH($G113,$X$4:$X123,0),1))*J113*1.1</f>
        <v>0</v>
      </c>
      <c r="L113" s="26">
        <f t="shared" si="10"/>
        <v>0</v>
      </c>
      <c r="M113" s="26">
        <f>IF($I113&lt;&gt;"x",0,INDEX($Y$27:$Y$37,MATCH($G113,$X$27:$X146,0),1))*J113*1.1</f>
        <v>0</v>
      </c>
      <c r="N113" s="26">
        <f t="shared" si="11"/>
        <v>0</v>
      </c>
      <c r="O113" s="20">
        <f t="shared" si="12"/>
        <v>0</v>
      </c>
      <c r="P113" s="20">
        <f>IF(OR($E113&lt;&gt;"CS",$H113&lt;&gt;"x"),0,INDEX($Z$4:$Z$14,MATCH($G113,$X$4:$X123,0),1))*J113*1.1</f>
        <v>0</v>
      </c>
      <c r="Q113" s="26">
        <f>IF($I113&lt;&gt;"x",0,INDEX($Z$27:$Z$37,MATCH($G113,$X$27:$X146,0),1))*J113*1.1</f>
        <v>0</v>
      </c>
      <c r="R113" s="20">
        <f t="shared" si="13"/>
        <v>0</v>
      </c>
      <c r="S113" s="86">
        <f t="shared" si="14"/>
        <v>0</v>
      </c>
    </row>
    <row r="114" spans="2:19">
      <c r="B114" s="14">
        <f t="shared" si="15"/>
        <v>111</v>
      </c>
      <c r="C114" s="37" t="s">
        <v>572</v>
      </c>
      <c r="D114" s="37" t="s">
        <v>573</v>
      </c>
      <c r="E114" s="37" t="s">
        <v>574</v>
      </c>
      <c r="F114" s="38">
        <v>0</v>
      </c>
      <c r="G114" s="37">
        <v>4</v>
      </c>
      <c r="H114" s="37" t="s">
        <v>448</v>
      </c>
      <c r="I114" s="37" t="s">
        <v>448</v>
      </c>
      <c r="J114" s="41">
        <f t="shared" si="16"/>
        <v>0</v>
      </c>
      <c r="K114" s="26">
        <f>IF(OR($E114&lt;&gt;"CS",$H114&lt;&gt;"x"),0,INDEX($Y$4:$Y$14,MATCH($G114,$X$4:$X124,0),1))*J114*1.1</f>
        <v>0</v>
      </c>
      <c r="L114" s="26">
        <f t="shared" si="10"/>
        <v>0</v>
      </c>
      <c r="M114" s="26">
        <f>IF($I114&lt;&gt;"x",0,INDEX($Y$27:$Y$37,MATCH($G114,$X$27:$X147,0),1))*J114*1.1</f>
        <v>0</v>
      </c>
      <c r="N114" s="26">
        <f t="shared" si="11"/>
        <v>0</v>
      </c>
      <c r="O114" s="20">
        <f t="shared" si="12"/>
        <v>0</v>
      </c>
      <c r="P114" s="20">
        <f>IF(OR($E114&lt;&gt;"CS",$H114&lt;&gt;"x"),0,INDEX($Z$4:$Z$14,MATCH($G114,$X$4:$X124,0),1))*J114*1.1</f>
        <v>0</v>
      </c>
      <c r="Q114" s="26">
        <f>IF($I114&lt;&gt;"x",0,INDEX($Z$27:$Z$37,MATCH($G114,$X$27:$X147,0),1))*J114*1.1</f>
        <v>0</v>
      </c>
      <c r="R114" s="20">
        <f t="shared" si="13"/>
        <v>0</v>
      </c>
      <c r="S114" s="86">
        <f t="shared" si="14"/>
        <v>0</v>
      </c>
    </row>
    <row r="115" spans="2:19">
      <c r="B115" s="14">
        <f t="shared" si="15"/>
        <v>112</v>
      </c>
      <c r="C115" s="37" t="s">
        <v>572</v>
      </c>
      <c r="D115" s="37" t="s">
        <v>573</v>
      </c>
      <c r="E115" s="37" t="s">
        <v>574</v>
      </c>
      <c r="F115" s="38">
        <v>0</v>
      </c>
      <c r="G115" s="37">
        <v>4</v>
      </c>
      <c r="H115" s="37" t="s">
        <v>448</v>
      </c>
      <c r="I115" s="37" t="s">
        <v>448</v>
      </c>
      <c r="J115" s="41">
        <f t="shared" si="16"/>
        <v>0</v>
      </c>
      <c r="K115" s="26">
        <f>IF(OR($E115&lt;&gt;"CS",$H115&lt;&gt;"x"),0,INDEX($Y$4:$Y$14,MATCH($G115,$X$4:$X125,0),1))*J115*1.1</f>
        <v>0</v>
      </c>
      <c r="L115" s="26">
        <f t="shared" si="10"/>
        <v>0</v>
      </c>
      <c r="M115" s="26">
        <f>IF($I115&lt;&gt;"x",0,INDEX($Y$27:$Y$37,MATCH($G115,$X$27:$X148,0),1))*J115*1.1</f>
        <v>0</v>
      </c>
      <c r="N115" s="26">
        <f t="shared" si="11"/>
        <v>0</v>
      </c>
      <c r="O115" s="20">
        <f t="shared" si="12"/>
        <v>0</v>
      </c>
      <c r="P115" s="20">
        <f>IF(OR($E115&lt;&gt;"CS",$H115&lt;&gt;"x"),0,INDEX($Z$4:$Z$14,MATCH($G115,$X$4:$X125,0),1))*J115*1.1</f>
        <v>0</v>
      </c>
      <c r="Q115" s="26">
        <f>IF($I115&lt;&gt;"x",0,INDEX($Z$27:$Z$37,MATCH($G115,$X$27:$X148,0),1))*J115*1.1</f>
        <v>0</v>
      </c>
      <c r="R115" s="20">
        <f t="shared" si="13"/>
        <v>0</v>
      </c>
      <c r="S115" s="86">
        <f t="shared" si="14"/>
        <v>0</v>
      </c>
    </row>
    <row r="116" spans="2:19">
      <c r="B116" s="14">
        <f t="shared" si="15"/>
        <v>113</v>
      </c>
      <c r="C116" s="37" t="s">
        <v>572</v>
      </c>
      <c r="D116" s="37" t="s">
        <v>573</v>
      </c>
      <c r="E116" s="37" t="s">
        <v>574</v>
      </c>
      <c r="F116" s="38">
        <v>0</v>
      </c>
      <c r="G116" s="37">
        <v>3</v>
      </c>
      <c r="H116" s="37" t="s">
        <v>448</v>
      </c>
      <c r="I116" s="37" t="s">
        <v>448</v>
      </c>
      <c r="J116" s="41">
        <f t="shared" si="16"/>
        <v>0</v>
      </c>
      <c r="K116" s="26">
        <f>IF(OR($E116&lt;&gt;"CS",$H116&lt;&gt;"x"),0,INDEX($Y$4:$Y$14,MATCH($G116,$X$4:$X126,0),1))*J116*1.1</f>
        <v>0</v>
      </c>
      <c r="L116" s="26">
        <f t="shared" si="10"/>
        <v>0</v>
      </c>
      <c r="M116" s="26">
        <f>IF($I116&lt;&gt;"x",0,INDEX($Y$27:$Y$37,MATCH($G116,$X$27:$X149,0),1))*J116*1.1</f>
        <v>0</v>
      </c>
      <c r="N116" s="26">
        <f t="shared" si="11"/>
        <v>0</v>
      </c>
      <c r="O116" s="20">
        <f t="shared" si="12"/>
        <v>0</v>
      </c>
      <c r="P116" s="20">
        <f>IF(OR($E116&lt;&gt;"CS",$H116&lt;&gt;"x"),0,INDEX($Z$4:$Z$14,MATCH($G116,$X$4:$X126,0),1))*J116*1.1</f>
        <v>0</v>
      </c>
      <c r="Q116" s="26">
        <f>IF($I116&lt;&gt;"x",0,INDEX($Z$27:$Z$37,MATCH($G116,$X$27:$X149,0),1))*J116*1.1</f>
        <v>0</v>
      </c>
      <c r="R116" s="20">
        <f t="shared" si="13"/>
        <v>0</v>
      </c>
      <c r="S116" s="86">
        <f t="shared" si="14"/>
        <v>0</v>
      </c>
    </row>
    <row r="117" spans="2:19">
      <c r="B117" s="14">
        <f t="shared" si="15"/>
        <v>114</v>
      </c>
      <c r="C117" s="37" t="s">
        <v>572</v>
      </c>
      <c r="D117" s="37" t="s">
        <v>573</v>
      </c>
      <c r="E117" s="37" t="s">
        <v>574</v>
      </c>
      <c r="F117" s="38">
        <v>0</v>
      </c>
      <c r="G117" s="37">
        <v>3</v>
      </c>
      <c r="H117" s="37" t="s">
        <v>448</v>
      </c>
      <c r="I117" s="37" t="s">
        <v>448</v>
      </c>
      <c r="J117" s="41">
        <f t="shared" si="16"/>
        <v>0</v>
      </c>
      <c r="K117" s="26">
        <f>IF(OR($E117&lt;&gt;"CS",$H117&lt;&gt;"x"),0,INDEX($Y$4:$Y$14,MATCH($G117,$X$4:$X127,0),1))*J117*1.1</f>
        <v>0</v>
      </c>
      <c r="L117" s="26">
        <f t="shared" si="10"/>
        <v>0</v>
      </c>
      <c r="M117" s="26">
        <f>IF($I117&lt;&gt;"x",0,INDEX($Y$27:$Y$37,MATCH($G117,$X$27:$X150,0),1))*J117*1.1</f>
        <v>0</v>
      </c>
      <c r="N117" s="26">
        <f t="shared" si="11"/>
        <v>0</v>
      </c>
      <c r="O117" s="20">
        <f t="shared" si="12"/>
        <v>0</v>
      </c>
      <c r="P117" s="20">
        <f>IF(OR($E117&lt;&gt;"CS",$H117&lt;&gt;"x"),0,INDEX($Z$4:$Z$14,MATCH($G117,$X$4:$X127,0),1))*J117*1.1</f>
        <v>0</v>
      </c>
      <c r="Q117" s="26">
        <f>IF($I117&lt;&gt;"x",0,INDEX($Z$27:$Z$37,MATCH($G117,$X$27:$X150,0),1))*J117*1.1</f>
        <v>0</v>
      </c>
      <c r="R117" s="20">
        <f t="shared" si="13"/>
        <v>0</v>
      </c>
      <c r="S117" s="86">
        <f t="shared" si="14"/>
        <v>0</v>
      </c>
    </row>
    <row r="118" spans="2:19">
      <c r="B118" s="14">
        <f t="shared" si="15"/>
        <v>115</v>
      </c>
      <c r="C118" s="37" t="s">
        <v>572</v>
      </c>
      <c r="D118" s="37" t="s">
        <v>573</v>
      </c>
      <c r="E118" s="37" t="s">
        <v>574</v>
      </c>
      <c r="F118" s="38">
        <v>0</v>
      </c>
      <c r="G118" s="37">
        <v>12</v>
      </c>
      <c r="H118" s="37" t="s">
        <v>448</v>
      </c>
      <c r="I118" s="37" t="s">
        <v>448</v>
      </c>
      <c r="J118" s="41">
        <f t="shared" si="16"/>
        <v>0</v>
      </c>
      <c r="K118" s="26">
        <f>IF(OR($E118&lt;&gt;"CS",$H118&lt;&gt;"x"),0,INDEX($Y$4:$Y$14,MATCH($G118,$X$4:$X128,0),1))*J118*1.1</f>
        <v>0</v>
      </c>
      <c r="L118" s="26">
        <f t="shared" si="10"/>
        <v>0</v>
      </c>
      <c r="M118" s="26">
        <f>IF($I118&lt;&gt;"x",0,INDEX($Y$27:$Y$37,MATCH($G118,$X$27:$X151,0),1))*J118*1.1</f>
        <v>0</v>
      </c>
      <c r="N118" s="26">
        <f t="shared" si="11"/>
        <v>0</v>
      </c>
      <c r="O118" s="20">
        <f t="shared" si="12"/>
        <v>0</v>
      </c>
      <c r="P118" s="20">
        <f>IF(OR($E118&lt;&gt;"CS",$H118&lt;&gt;"x"),0,INDEX($Z$4:$Z$14,MATCH($G118,$X$4:$X128,0),1))*J118*1.1</f>
        <v>0</v>
      </c>
      <c r="Q118" s="26">
        <f>IF($I118&lt;&gt;"x",0,INDEX($Z$27:$Z$37,MATCH($G118,$X$27:$X151,0),1))*J118*1.1</f>
        <v>0</v>
      </c>
      <c r="R118" s="20">
        <f t="shared" si="13"/>
        <v>0</v>
      </c>
      <c r="S118" s="86">
        <f t="shared" si="14"/>
        <v>0</v>
      </c>
    </row>
    <row r="119" spans="2:19">
      <c r="B119" s="14">
        <f t="shared" si="15"/>
        <v>116</v>
      </c>
      <c r="C119" s="37" t="s">
        <v>572</v>
      </c>
      <c r="D119" s="37" t="s">
        <v>573</v>
      </c>
      <c r="E119" s="37" t="s">
        <v>574</v>
      </c>
      <c r="F119" s="38">
        <v>0</v>
      </c>
      <c r="G119" s="37">
        <v>12</v>
      </c>
      <c r="H119" s="37" t="s">
        <v>448</v>
      </c>
      <c r="I119" s="37" t="s">
        <v>448</v>
      </c>
      <c r="J119" s="41">
        <f t="shared" si="16"/>
        <v>0</v>
      </c>
      <c r="K119" s="26">
        <f>IF(OR($E119&lt;&gt;"CS",$H119&lt;&gt;"x"),0,INDEX($Y$4:$Y$14,MATCH($G119,$X$4:$X129,0),1))*J119*1.1</f>
        <v>0</v>
      </c>
      <c r="L119" s="26">
        <f t="shared" si="10"/>
        <v>0</v>
      </c>
      <c r="M119" s="26">
        <f>IF($I119&lt;&gt;"x",0,INDEX($Y$27:$Y$37,MATCH($G119,$X$27:$X152,0),1))*J119*1.1</f>
        <v>0</v>
      </c>
      <c r="N119" s="26">
        <f t="shared" si="11"/>
        <v>0</v>
      </c>
      <c r="O119" s="20">
        <f t="shared" si="12"/>
        <v>0</v>
      </c>
      <c r="P119" s="20">
        <f>IF(OR($E119&lt;&gt;"CS",$H119&lt;&gt;"x"),0,INDEX($Z$4:$Z$14,MATCH($G119,$X$4:$X129,0),1))*J119*1.1</f>
        <v>0</v>
      </c>
      <c r="Q119" s="26">
        <f>IF($I119&lt;&gt;"x",0,INDEX($Z$27:$Z$37,MATCH($G119,$X$27:$X152,0),1))*J119*1.1</f>
        <v>0</v>
      </c>
      <c r="R119" s="20">
        <f t="shared" si="13"/>
        <v>0</v>
      </c>
      <c r="S119" s="86">
        <f t="shared" si="14"/>
        <v>0</v>
      </c>
    </row>
    <row r="120" spans="2:19">
      <c r="B120" s="14">
        <f t="shared" si="15"/>
        <v>117</v>
      </c>
      <c r="C120" s="37" t="s">
        <v>572</v>
      </c>
      <c r="D120" s="37" t="s">
        <v>573</v>
      </c>
      <c r="E120" s="37" t="s">
        <v>574</v>
      </c>
      <c r="F120" s="38">
        <v>0</v>
      </c>
      <c r="G120" s="37">
        <v>12</v>
      </c>
      <c r="H120" s="37" t="s">
        <v>448</v>
      </c>
      <c r="I120" s="37" t="s">
        <v>448</v>
      </c>
      <c r="J120" s="41">
        <f t="shared" si="16"/>
        <v>0</v>
      </c>
      <c r="K120" s="26">
        <f>IF(OR($E120&lt;&gt;"CS",$H120&lt;&gt;"x"),0,INDEX($Y$4:$Y$14,MATCH($G120,$X$4:$X130,0),1))*J120*1.1</f>
        <v>0</v>
      </c>
      <c r="L120" s="26">
        <f t="shared" si="10"/>
        <v>0</v>
      </c>
      <c r="M120" s="26">
        <f>IF($I120&lt;&gt;"x",0,INDEX($Y$27:$Y$37,MATCH($G120,$X$27:$X153,0),1))*J120*1.1</f>
        <v>0</v>
      </c>
      <c r="N120" s="26">
        <f t="shared" si="11"/>
        <v>0</v>
      </c>
      <c r="O120" s="20">
        <f t="shared" si="12"/>
        <v>0</v>
      </c>
      <c r="P120" s="20">
        <f>IF(OR($E120&lt;&gt;"CS",$H120&lt;&gt;"x"),0,INDEX($Z$4:$Z$14,MATCH($G120,$X$4:$X130,0),1))*J120*1.1</f>
        <v>0</v>
      </c>
      <c r="Q120" s="26">
        <f>IF($I120&lt;&gt;"x",0,INDEX($Z$27:$Z$37,MATCH($G120,$X$27:$X153,0),1))*J120*1.1</f>
        <v>0</v>
      </c>
      <c r="R120" s="20">
        <f t="shared" si="13"/>
        <v>0</v>
      </c>
      <c r="S120" s="86">
        <f t="shared" si="14"/>
        <v>0</v>
      </c>
    </row>
    <row r="121" spans="2:19">
      <c r="B121" s="14">
        <f t="shared" si="15"/>
        <v>118</v>
      </c>
      <c r="C121" s="37" t="s">
        <v>572</v>
      </c>
      <c r="D121" s="37" t="s">
        <v>573</v>
      </c>
      <c r="E121" s="37" t="s">
        <v>574</v>
      </c>
      <c r="F121" s="38">
        <v>0</v>
      </c>
      <c r="G121" s="37">
        <v>12</v>
      </c>
      <c r="H121" s="37" t="s">
        <v>448</v>
      </c>
      <c r="I121" s="37" t="s">
        <v>448</v>
      </c>
      <c r="J121" s="41">
        <f t="shared" si="16"/>
        <v>0</v>
      </c>
      <c r="K121" s="26">
        <f>IF(OR($E121&lt;&gt;"CS",$H121&lt;&gt;"x"),0,INDEX($Y$4:$Y$14,MATCH($G121,$X$4:$X131,0),1))*J121*1.1</f>
        <v>0</v>
      </c>
      <c r="L121" s="26">
        <f t="shared" si="10"/>
        <v>0</v>
      </c>
      <c r="M121" s="26">
        <f>IF($I121&lt;&gt;"x",0,INDEX($Y$27:$Y$37,MATCH($G121,$X$27:$X154,0),1))*J121*1.1</f>
        <v>0</v>
      </c>
      <c r="N121" s="26">
        <f t="shared" si="11"/>
        <v>0</v>
      </c>
      <c r="O121" s="20">
        <f t="shared" si="12"/>
        <v>0</v>
      </c>
      <c r="P121" s="20">
        <f>IF(OR($E121&lt;&gt;"CS",$H121&lt;&gt;"x"),0,INDEX($Z$4:$Z$14,MATCH($G121,$X$4:$X131,0),1))*J121*1.1</f>
        <v>0</v>
      </c>
      <c r="Q121" s="26">
        <f>IF($I121&lt;&gt;"x",0,INDEX($Z$27:$Z$37,MATCH($G121,$X$27:$X154,0),1))*J121*1.1</f>
        <v>0</v>
      </c>
      <c r="R121" s="20">
        <f t="shared" si="13"/>
        <v>0</v>
      </c>
      <c r="S121" s="86">
        <f t="shared" si="14"/>
        <v>0</v>
      </c>
    </row>
    <row r="122" spans="2:19">
      <c r="B122" s="14">
        <f t="shared" si="15"/>
        <v>119</v>
      </c>
      <c r="C122" s="37" t="s">
        <v>572</v>
      </c>
      <c r="D122" s="37" t="s">
        <v>573</v>
      </c>
      <c r="E122" s="37" t="s">
        <v>574</v>
      </c>
      <c r="F122" s="38">
        <v>0</v>
      </c>
      <c r="G122" s="37">
        <v>3</v>
      </c>
      <c r="H122" s="37" t="s">
        <v>448</v>
      </c>
      <c r="I122" s="37" t="s">
        <v>448</v>
      </c>
      <c r="J122" s="41">
        <f t="shared" si="16"/>
        <v>0</v>
      </c>
      <c r="K122" s="26">
        <f>IF(OR($E122&lt;&gt;"CS",$H122&lt;&gt;"x"),0,INDEX($Y$4:$Y$14,MATCH($G122,$X$4:$X132,0),1))*J122*1.1</f>
        <v>0</v>
      </c>
      <c r="L122" s="26">
        <f t="shared" si="10"/>
        <v>0</v>
      </c>
      <c r="M122" s="26">
        <f>IF($I122&lt;&gt;"x",0,INDEX($Y$27:$Y$37,MATCH($G122,$X$27:$X155,0),1))*J122*1.1</f>
        <v>0</v>
      </c>
      <c r="N122" s="26">
        <f t="shared" si="11"/>
        <v>0</v>
      </c>
      <c r="O122" s="20">
        <f t="shared" si="12"/>
        <v>0</v>
      </c>
      <c r="P122" s="20">
        <f>IF(OR($E122&lt;&gt;"CS",$H122&lt;&gt;"x"),0,INDEX($Z$4:$Z$14,MATCH($G122,$X$4:$X132,0),1))*J122*1.1</f>
        <v>0</v>
      </c>
      <c r="Q122" s="26">
        <f>IF($I122&lt;&gt;"x",0,INDEX($Z$27:$Z$37,MATCH($G122,$X$27:$X155,0),1))*J122*1.1</f>
        <v>0</v>
      </c>
      <c r="R122" s="20">
        <f t="shared" si="13"/>
        <v>0</v>
      </c>
      <c r="S122" s="86">
        <f t="shared" si="14"/>
        <v>0</v>
      </c>
    </row>
    <row r="123" spans="2:19">
      <c r="B123" s="14">
        <f t="shared" si="15"/>
        <v>120</v>
      </c>
      <c r="C123" s="37" t="s">
        <v>572</v>
      </c>
      <c r="D123" s="37" t="s">
        <v>573</v>
      </c>
      <c r="E123" s="37" t="s">
        <v>574</v>
      </c>
      <c r="F123" s="38">
        <v>0</v>
      </c>
      <c r="G123" s="37">
        <v>3</v>
      </c>
      <c r="H123" s="37" t="s">
        <v>448</v>
      </c>
      <c r="I123" s="37" t="s">
        <v>448</v>
      </c>
      <c r="J123" s="41">
        <f t="shared" si="16"/>
        <v>0</v>
      </c>
      <c r="K123" s="26">
        <f>IF(OR($E123&lt;&gt;"CS",$H123&lt;&gt;"x"),0,INDEX($Y$4:$Y$14,MATCH($G123,$X$4:$X133,0),1))*J123*1.1</f>
        <v>0</v>
      </c>
      <c r="L123" s="26">
        <f t="shared" si="10"/>
        <v>0</v>
      </c>
      <c r="M123" s="26">
        <f>IF($I123&lt;&gt;"x",0,INDEX($Y$27:$Y$37,MATCH($G123,$X$27:$X156,0),1))*J123*1.1</f>
        <v>0</v>
      </c>
      <c r="N123" s="26">
        <f t="shared" si="11"/>
        <v>0</v>
      </c>
      <c r="O123" s="20">
        <f t="shared" si="12"/>
        <v>0</v>
      </c>
      <c r="P123" s="20">
        <f>IF(OR($E123&lt;&gt;"CS",$H123&lt;&gt;"x"),0,INDEX($Z$4:$Z$14,MATCH($G123,$X$4:$X133,0),1))*J123*1.1</f>
        <v>0</v>
      </c>
      <c r="Q123" s="26">
        <f>IF($I123&lt;&gt;"x",0,INDEX($Z$27:$Z$37,MATCH($G123,$X$27:$X156,0),1))*J123*1.1</f>
        <v>0</v>
      </c>
      <c r="R123" s="20">
        <f t="shared" si="13"/>
        <v>0</v>
      </c>
      <c r="S123" s="86">
        <f t="shared" si="14"/>
        <v>0</v>
      </c>
    </row>
    <row r="124" spans="2:19">
      <c r="B124" s="14">
        <f t="shared" si="15"/>
        <v>121</v>
      </c>
      <c r="C124" s="37" t="s">
        <v>572</v>
      </c>
      <c r="D124" s="37" t="s">
        <v>573</v>
      </c>
      <c r="E124" s="37" t="s">
        <v>574</v>
      </c>
      <c r="F124" s="38">
        <v>0</v>
      </c>
      <c r="G124" s="37">
        <v>4</v>
      </c>
      <c r="H124" s="37" t="s">
        <v>448</v>
      </c>
      <c r="I124" s="37" t="s">
        <v>448</v>
      </c>
      <c r="J124" s="41">
        <f t="shared" si="16"/>
        <v>0</v>
      </c>
      <c r="K124" s="26">
        <f>IF(OR($E124&lt;&gt;"CS",$H124&lt;&gt;"x"),0,INDEX($Y$4:$Y$14,MATCH($G124,$X$4:$X134,0),1))*J124*1.1</f>
        <v>0</v>
      </c>
      <c r="L124" s="26">
        <f t="shared" si="10"/>
        <v>0</v>
      </c>
      <c r="M124" s="26">
        <f>IF($I124&lt;&gt;"x",0,INDEX($Y$27:$Y$37,MATCH($G124,$X$27:$X157,0),1))*J124*1.1</f>
        <v>0</v>
      </c>
      <c r="N124" s="26">
        <f t="shared" si="11"/>
        <v>0</v>
      </c>
      <c r="O124" s="20">
        <f t="shared" si="12"/>
        <v>0</v>
      </c>
      <c r="P124" s="20">
        <f>IF(OR($E124&lt;&gt;"CS",$H124&lt;&gt;"x"),0,INDEX($Z$4:$Z$14,MATCH($G124,$X$4:$X134,0),1))*J124*1.1</f>
        <v>0</v>
      </c>
      <c r="Q124" s="26">
        <f>IF($I124&lt;&gt;"x",0,INDEX($Z$27:$Z$37,MATCH($G124,$X$27:$X157,0),1))*J124*1.1</f>
        <v>0</v>
      </c>
      <c r="R124" s="20">
        <f t="shared" si="13"/>
        <v>0</v>
      </c>
      <c r="S124" s="86">
        <f t="shared" si="14"/>
        <v>0</v>
      </c>
    </row>
    <row r="125" spans="2:19">
      <c r="B125" s="14">
        <f t="shared" si="15"/>
        <v>122</v>
      </c>
      <c r="C125" s="37" t="s">
        <v>572</v>
      </c>
      <c r="D125" s="37" t="s">
        <v>573</v>
      </c>
      <c r="E125" s="37" t="s">
        <v>574</v>
      </c>
      <c r="F125" s="38">
        <v>0</v>
      </c>
      <c r="G125" s="37">
        <v>4</v>
      </c>
      <c r="H125" s="37" t="s">
        <v>448</v>
      </c>
      <c r="I125" s="37" t="s">
        <v>448</v>
      </c>
      <c r="J125" s="41">
        <f t="shared" si="16"/>
        <v>0</v>
      </c>
      <c r="K125" s="26">
        <f>IF(OR($E125&lt;&gt;"CS",$H125&lt;&gt;"x"),0,INDEX($Y$4:$Y$14,MATCH($G125,$X$4:$X135,0),1))*J125*1.1</f>
        <v>0</v>
      </c>
      <c r="L125" s="26">
        <f t="shared" si="10"/>
        <v>0</v>
      </c>
      <c r="M125" s="26">
        <f>IF($I125&lt;&gt;"x",0,INDEX($Y$27:$Y$37,MATCH($G125,$X$27:$X158,0),1))*J125*1.1</f>
        <v>0</v>
      </c>
      <c r="N125" s="26">
        <f t="shared" si="11"/>
        <v>0</v>
      </c>
      <c r="O125" s="20">
        <f t="shared" si="12"/>
        <v>0</v>
      </c>
      <c r="P125" s="20">
        <f>IF(OR($E125&lt;&gt;"CS",$H125&lt;&gt;"x"),0,INDEX($Z$4:$Z$14,MATCH($G125,$X$4:$X135,0),1))*J125*1.1</f>
        <v>0</v>
      </c>
      <c r="Q125" s="26">
        <f>IF($I125&lt;&gt;"x",0,INDEX($Z$27:$Z$37,MATCH($G125,$X$27:$X158,0),1))*J125*1.1</f>
        <v>0</v>
      </c>
      <c r="R125" s="20">
        <f t="shared" si="13"/>
        <v>0</v>
      </c>
      <c r="S125" s="86">
        <f t="shared" si="14"/>
        <v>0</v>
      </c>
    </row>
    <row r="126" spans="2:19">
      <c r="B126" s="14">
        <f t="shared" si="15"/>
        <v>123</v>
      </c>
      <c r="C126" s="37" t="s">
        <v>572</v>
      </c>
      <c r="D126" s="37" t="s">
        <v>573</v>
      </c>
      <c r="E126" s="37" t="s">
        <v>574</v>
      </c>
      <c r="F126" s="38">
        <v>0</v>
      </c>
      <c r="G126" s="37">
        <v>3</v>
      </c>
      <c r="H126" s="37" t="s">
        <v>448</v>
      </c>
      <c r="I126" s="37" t="s">
        <v>448</v>
      </c>
      <c r="J126" s="41">
        <f t="shared" si="16"/>
        <v>0</v>
      </c>
      <c r="K126" s="26">
        <f>IF(OR($E126&lt;&gt;"CS",$H126&lt;&gt;"x"),0,INDEX($Y$4:$Y$14,MATCH($G126,$X$4:$X136,0),1))*J126*1.1</f>
        <v>0</v>
      </c>
      <c r="L126" s="26">
        <f t="shared" si="10"/>
        <v>0</v>
      </c>
      <c r="M126" s="26">
        <f>IF($I126&lt;&gt;"x",0,INDEX($Y$27:$Y$37,MATCH($G126,$X$27:$X159,0),1))*J126*1.1</f>
        <v>0</v>
      </c>
      <c r="N126" s="26">
        <f t="shared" si="11"/>
        <v>0</v>
      </c>
      <c r="O126" s="20">
        <f t="shared" si="12"/>
        <v>0</v>
      </c>
      <c r="P126" s="20">
        <f>IF(OR($E126&lt;&gt;"CS",$H126&lt;&gt;"x"),0,INDEX($Z$4:$Z$14,MATCH($G126,$X$4:$X136,0),1))*J126*1.1</f>
        <v>0</v>
      </c>
      <c r="Q126" s="26">
        <f>IF($I126&lt;&gt;"x",0,INDEX($Z$27:$Z$37,MATCH($G126,$X$27:$X159,0),1))*J126*1.1</f>
        <v>0</v>
      </c>
      <c r="R126" s="20">
        <f t="shared" si="13"/>
        <v>0</v>
      </c>
      <c r="S126" s="86">
        <f t="shared" si="14"/>
        <v>0</v>
      </c>
    </row>
    <row r="127" spans="2:19">
      <c r="B127" s="14">
        <f t="shared" si="15"/>
        <v>124</v>
      </c>
      <c r="C127" s="37" t="s">
        <v>572</v>
      </c>
      <c r="D127" s="37" t="s">
        <v>573</v>
      </c>
      <c r="E127" s="37" t="s">
        <v>574</v>
      </c>
      <c r="F127" s="38">
        <v>0</v>
      </c>
      <c r="G127" s="37">
        <v>3</v>
      </c>
      <c r="H127" s="37" t="s">
        <v>448</v>
      </c>
      <c r="I127" s="37" t="s">
        <v>448</v>
      </c>
      <c r="J127" s="41">
        <f t="shared" si="16"/>
        <v>0</v>
      </c>
      <c r="K127" s="26">
        <f>IF(OR($E127&lt;&gt;"CS",$H127&lt;&gt;"x"),0,INDEX($Y$4:$Y$14,MATCH($G127,$X$4:$X137,0),1))*J127*1.1</f>
        <v>0</v>
      </c>
      <c r="L127" s="26">
        <f t="shared" si="10"/>
        <v>0</v>
      </c>
      <c r="M127" s="26">
        <f>IF($I127&lt;&gt;"x",0,INDEX($Y$27:$Y$37,MATCH($G127,$X$27:$X160,0),1))*J127*1.1</f>
        <v>0</v>
      </c>
      <c r="N127" s="26">
        <f t="shared" si="11"/>
        <v>0</v>
      </c>
      <c r="O127" s="20">
        <f t="shared" si="12"/>
        <v>0</v>
      </c>
      <c r="P127" s="20">
        <f>IF(OR($E127&lt;&gt;"CS",$H127&lt;&gt;"x"),0,INDEX($Z$4:$Z$14,MATCH($G127,$X$4:$X137,0),1))*J127*1.1</f>
        <v>0</v>
      </c>
      <c r="Q127" s="26">
        <f>IF($I127&lt;&gt;"x",0,INDEX($Z$27:$Z$37,MATCH($G127,$X$27:$X160,0),1))*J127*1.1</f>
        <v>0</v>
      </c>
      <c r="R127" s="20">
        <f t="shared" si="13"/>
        <v>0</v>
      </c>
      <c r="S127" s="86">
        <f t="shared" si="14"/>
        <v>0</v>
      </c>
    </row>
    <row r="128" spans="2:19">
      <c r="B128" s="14">
        <f t="shared" si="15"/>
        <v>125</v>
      </c>
      <c r="C128" s="37" t="s">
        <v>572</v>
      </c>
      <c r="D128" s="37" t="s">
        <v>573</v>
      </c>
      <c r="E128" s="37" t="s">
        <v>574</v>
      </c>
      <c r="F128" s="38">
        <v>0</v>
      </c>
      <c r="G128" s="37">
        <v>12</v>
      </c>
      <c r="H128" s="37" t="s">
        <v>448</v>
      </c>
      <c r="I128" s="37" t="s">
        <v>448</v>
      </c>
      <c r="J128" s="41">
        <f t="shared" si="16"/>
        <v>0</v>
      </c>
      <c r="K128" s="26">
        <f>IF(OR($E128&lt;&gt;"CS",$H128&lt;&gt;"x"),0,INDEX($Y$4:$Y$14,MATCH($G128,$X$4:$X138,0),1))*J128*1.1</f>
        <v>0</v>
      </c>
      <c r="L128" s="26">
        <f t="shared" si="10"/>
        <v>0</v>
      </c>
      <c r="M128" s="26">
        <f>IF($I128&lt;&gt;"x",0,INDEX($Y$27:$Y$37,MATCH($G128,$X$27:$X161,0),1))*J128*1.1</f>
        <v>0</v>
      </c>
      <c r="N128" s="26">
        <f t="shared" si="11"/>
        <v>0</v>
      </c>
      <c r="O128" s="20">
        <f t="shared" si="12"/>
        <v>0</v>
      </c>
      <c r="P128" s="20">
        <f>IF(OR($E128&lt;&gt;"CS",$H128&lt;&gt;"x"),0,INDEX($Z$4:$Z$14,MATCH($G128,$X$4:$X138,0),1))*J128*1.1</f>
        <v>0</v>
      </c>
      <c r="Q128" s="26">
        <f>IF($I128&lt;&gt;"x",0,INDEX($Z$27:$Z$37,MATCH($G128,$X$27:$X161,0),1))*J128*1.1</f>
        <v>0</v>
      </c>
      <c r="R128" s="20">
        <f t="shared" si="13"/>
        <v>0</v>
      </c>
      <c r="S128" s="86">
        <f t="shared" si="14"/>
        <v>0</v>
      </c>
    </row>
    <row r="129" spans="2:19">
      <c r="B129" s="14">
        <f t="shared" si="15"/>
        <v>126</v>
      </c>
      <c r="C129" s="37" t="s">
        <v>572</v>
      </c>
      <c r="D129" s="37" t="s">
        <v>573</v>
      </c>
      <c r="E129" s="37" t="s">
        <v>574</v>
      </c>
      <c r="F129" s="38">
        <v>0</v>
      </c>
      <c r="G129" s="37">
        <v>12</v>
      </c>
      <c r="H129" s="37" t="s">
        <v>448</v>
      </c>
      <c r="I129" s="37" t="s">
        <v>448</v>
      </c>
      <c r="J129" s="41">
        <f t="shared" si="16"/>
        <v>0</v>
      </c>
      <c r="K129" s="26">
        <f>IF(OR($E129&lt;&gt;"CS",$H129&lt;&gt;"x"),0,INDEX($Y$4:$Y$14,MATCH($G129,$X$4:$X139,0),1))*J129*1.1</f>
        <v>0</v>
      </c>
      <c r="L129" s="26">
        <f t="shared" si="10"/>
        <v>0</v>
      </c>
      <c r="M129" s="26">
        <f>IF($I129&lt;&gt;"x",0,INDEX($Y$27:$Y$37,MATCH($G129,$X$27:$X162,0),1))*J129*1.1</f>
        <v>0</v>
      </c>
      <c r="N129" s="26">
        <f t="shared" si="11"/>
        <v>0</v>
      </c>
      <c r="O129" s="20">
        <f t="shared" si="12"/>
        <v>0</v>
      </c>
      <c r="P129" s="20">
        <f>IF(OR($E129&lt;&gt;"CS",$H129&lt;&gt;"x"),0,INDEX($Z$4:$Z$14,MATCH($G129,$X$4:$X139,0),1))*J129*1.1</f>
        <v>0</v>
      </c>
      <c r="Q129" s="26">
        <f>IF($I129&lt;&gt;"x",0,INDEX($Z$27:$Z$37,MATCH($G129,$X$27:$X162,0),1))*J129*1.1</f>
        <v>0</v>
      </c>
      <c r="R129" s="20">
        <f t="shared" si="13"/>
        <v>0</v>
      </c>
      <c r="S129" s="86">
        <f t="shared" si="14"/>
        <v>0</v>
      </c>
    </row>
    <row r="130" spans="2:19">
      <c r="B130" s="14">
        <f t="shared" si="15"/>
        <v>127</v>
      </c>
      <c r="C130" s="37" t="s">
        <v>572</v>
      </c>
      <c r="D130" s="37" t="s">
        <v>573</v>
      </c>
      <c r="E130" s="37" t="s">
        <v>574</v>
      </c>
      <c r="F130" s="38">
        <v>0</v>
      </c>
      <c r="G130" s="37">
        <v>4</v>
      </c>
      <c r="H130" s="37" t="s">
        <v>448</v>
      </c>
      <c r="I130" s="37" t="s">
        <v>448</v>
      </c>
      <c r="J130" s="41">
        <f t="shared" si="16"/>
        <v>0</v>
      </c>
      <c r="K130" s="26">
        <f>IF(OR($E130&lt;&gt;"CS",$H130&lt;&gt;"x"),0,INDEX($Y$4:$Y$14,MATCH($G130,$X$4:$X140,0),1))*J130*1.1</f>
        <v>0</v>
      </c>
      <c r="L130" s="26">
        <f t="shared" si="10"/>
        <v>0</v>
      </c>
      <c r="M130" s="26">
        <f>IF($I130&lt;&gt;"x",0,INDEX($Y$27:$Y$37,MATCH($G130,$X$27:$X163,0),1))*J130*1.1</f>
        <v>0</v>
      </c>
      <c r="N130" s="26">
        <f t="shared" si="11"/>
        <v>0</v>
      </c>
      <c r="O130" s="20">
        <f t="shared" si="12"/>
        <v>0</v>
      </c>
      <c r="P130" s="20">
        <f>IF(OR($E130&lt;&gt;"CS",$H130&lt;&gt;"x"),0,INDEX($Z$4:$Z$14,MATCH($G130,$X$4:$X140,0),1))*J130*1.1</f>
        <v>0</v>
      </c>
      <c r="Q130" s="26">
        <f>IF($I130&lt;&gt;"x",0,INDEX($Z$27:$Z$37,MATCH($G130,$X$27:$X163,0),1))*J130*1.1</f>
        <v>0</v>
      </c>
      <c r="R130" s="20">
        <f t="shared" si="13"/>
        <v>0</v>
      </c>
      <c r="S130" s="86">
        <f t="shared" si="14"/>
        <v>0</v>
      </c>
    </row>
    <row r="131" spans="2:19">
      <c r="B131" s="14">
        <f t="shared" si="15"/>
        <v>128</v>
      </c>
      <c r="C131" s="37" t="s">
        <v>572</v>
      </c>
      <c r="D131" s="37" t="s">
        <v>573</v>
      </c>
      <c r="E131" s="37" t="s">
        <v>574</v>
      </c>
      <c r="F131" s="38">
        <v>0</v>
      </c>
      <c r="G131" s="37">
        <v>4</v>
      </c>
      <c r="H131" s="37" t="s">
        <v>448</v>
      </c>
      <c r="I131" s="37" t="s">
        <v>448</v>
      </c>
      <c r="J131" s="41">
        <f t="shared" si="16"/>
        <v>0</v>
      </c>
      <c r="K131" s="26">
        <f>IF(OR($E131&lt;&gt;"CS",$H131&lt;&gt;"x"),0,INDEX($Y$4:$Y$14,MATCH($G131,$X$4:$X141,0),1))*J131*1.1</f>
        <v>0</v>
      </c>
      <c r="L131" s="26">
        <f t="shared" si="10"/>
        <v>0</v>
      </c>
      <c r="M131" s="26">
        <f>IF($I131&lt;&gt;"x",0,INDEX($Y$27:$Y$37,MATCH($G131,$X$27:$X164,0),1))*J131*1.1</f>
        <v>0</v>
      </c>
      <c r="N131" s="26">
        <f t="shared" si="11"/>
        <v>0</v>
      </c>
      <c r="O131" s="20">
        <f t="shared" si="12"/>
        <v>0</v>
      </c>
      <c r="P131" s="20">
        <f>IF(OR($E131&lt;&gt;"CS",$H131&lt;&gt;"x"),0,INDEX($Z$4:$Z$14,MATCH($G131,$X$4:$X141,0),1))*J131*1.1</f>
        <v>0</v>
      </c>
      <c r="Q131" s="26">
        <f>IF($I131&lt;&gt;"x",0,INDEX($Z$27:$Z$37,MATCH($G131,$X$27:$X164,0),1))*J131*1.1</f>
        <v>0</v>
      </c>
      <c r="R131" s="20">
        <f t="shared" si="13"/>
        <v>0</v>
      </c>
      <c r="S131" s="86">
        <f t="shared" si="14"/>
        <v>0</v>
      </c>
    </row>
    <row r="132" spans="2:19">
      <c r="B132" s="14">
        <f t="shared" si="15"/>
        <v>129</v>
      </c>
      <c r="C132" s="37" t="s">
        <v>572</v>
      </c>
      <c r="D132" s="37" t="s">
        <v>573</v>
      </c>
      <c r="E132" s="37" t="s">
        <v>574</v>
      </c>
      <c r="F132" s="38">
        <v>0</v>
      </c>
      <c r="G132" s="37">
        <v>2</v>
      </c>
      <c r="H132" s="37" t="s">
        <v>448</v>
      </c>
      <c r="I132" s="37" t="s">
        <v>448</v>
      </c>
      <c r="J132" s="41">
        <f t="shared" ref="J132:J163" si="17">IF(F132="","",+$I$2*F132)</f>
        <v>0</v>
      </c>
      <c r="K132" s="26">
        <f>IF(OR($E132&lt;&gt;"CS",$H132&lt;&gt;"x"),0,INDEX($Y$4:$Y$14,MATCH($G132,$X$4:$X142,0),1))*J132*1.1</f>
        <v>0</v>
      </c>
      <c r="L132" s="26">
        <f t="shared" ref="L132:L195" si="18">K132*$L$2</f>
        <v>0</v>
      </c>
      <c r="M132" s="26">
        <f>IF($I132&lt;&gt;"x",0,INDEX($Y$27:$Y$37,MATCH($G132,$X$27:$X165,0),1))*J132*1.1</f>
        <v>0</v>
      </c>
      <c r="N132" s="26">
        <f t="shared" ref="N132:N195" si="19">M132*$N$2</f>
        <v>0</v>
      </c>
      <c r="O132" s="20">
        <f t="shared" ref="O132:O195" si="20">SUM(K132:N132)</f>
        <v>0</v>
      </c>
      <c r="P132" s="20">
        <f>IF(OR($E132&lt;&gt;"CS",$H132&lt;&gt;"x"),0,INDEX($Z$4:$Z$14,MATCH($G132,$X$4:$X142,0),1))*J132*1.1</f>
        <v>0</v>
      </c>
      <c r="Q132" s="26">
        <f>IF($I132&lt;&gt;"x",0,INDEX($Z$27:$Z$37,MATCH($G132,$X$27:$X165,0),1))*J132*1.1</f>
        <v>0</v>
      </c>
      <c r="R132" s="20">
        <f t="shared" ref="R132:R195" si="21">SUM(P132:Q132)</f>
        <v>0</v>
      </c>
      <c r="S132" s="86">
        <f t="shared" ref="S132:S195" si="22">R132+O132</f>
        <v>0</v>
      </c>
    </row>
    <row r="133" spans="2:19">
      <c r="B133" s="14">
        <f t="shared" ref="B133:B196" si="23">1+B132</f>
        <v>130</v>
      </c>
      <c r="C133" s="37" t="s">
        <v>572</v>
      </c>
      <c r="D133" s="37" t="s">
        <v>573</v>
      </c>
      <c r="E133" s="37" t="s">
        <v>574</v>
      </c>
      <c r="F133" s="38">
        <v>0</v>
      </c>
      <c r="G133" s="37">
        <v>2</v>
      </c>
      <c r="H133" s="37" t="s">
        <v>448</v>
      </c>
      <c r="I133" s="37" t="s">
        <v>448</v>
      </c>
      <c r="J133" s="41">
        <f t="shared" si="17"/>
        <v>0</v>
      </c>
      <c r="K133" s="26">
        <f>IF(OR($E133&lt;&gt;"CS",$H133&lt;&gt;"x"),0,INDEX($Y$4:$Y$14,MATCH($G133,$X$4:$X143,0),1))*J133*1.1</f>
        <v>0</v>
      </c>
      <c r="L133" s="26">
        <f t="shared" si="18"/>
        <v>0</v>
      </c>
      <c r="M133" s="26">
        <f>IF($I133&lt;&gt;"x",0,INDEX($Y$27:$Y$37,MATCH($G133,$X$27:$X166,0),1))*J133*1.1</f>
        <v>0</v>
      </c>
      <c r="N133" s="26">
        <f t="shared" si="19"/>
        <v>0</v>
      </c>
      <c r="O133" s="20">
        <f t="shared" si="20"/>
        <v>0</v>
      </c>
      <c r="P133" s="20">
        <f>IF(OR($E133&lt;&gt;"CS",$H133&lt;&gt;"x"),0,INDEX($Z$4:$Z$14,MATCH($G133,$X$4:$X143,0),1))*J133*1.1</f>
        <v>0</v>
      </c>
      <c r="Q133" s="26">
        <f>IF($I133&lt;&gt;"x",0,INDEX($Z$27:$Z$37,MATCH($G133,$X$27:$X166,0),1))*J133*1.1</f>
        <v>0</v>
      </c>
      <c r="R133" s="20">
        <f t="shared" si="21"/>
        <v>0</v>
      </c>
      <c r="S133" s="86">
        <f t="shared" si="22"/>
        <v>0</v>
      </c>
    </row>
    <row r="134" spans="2:19">
      <c r="B134" s="14">
        <f t="shared" si="23"/>
        <v>131</v>
      </c>
      <c r="C134" s="37" t="s">
        <v>572</v>
      </c>
      <c r="D134" s="37" t="s">
        <v>573</v>
      </c>
      <c r="E134" s="37" t="s">
        <v>574</v>
      </c>
      <c r="F134" s="38">
        <v>0</v>
      </c>
      <c r="G134" s="37">
        <v>3</v>
      </c>
      <c r="H134" s="37" t="s">
        <v>448</v>
      </c>
      <c r="I134" s="37" t="s">
        <v>448</v>
      </c>
      <c r="J134" s="41">
        <f t="shared" si="17"/>
        <v>0</v>
      </c>
      <c r="K134" s="26">
        <f>IF(OR($E134&lt;&gt;"CS",$H134&lt;&gt;"x"),0,INDEX($Y$4:$Y$14,MATCH($G134,$X$4:$X144,0),1))*J134*1.1</f>
        <v>0</v>
      </c>
      <c r="L134" s="26">
        <f t="shared" si="18"/>
        <v>0</v>
      </c>
      <c r="M134" s="26">
        <f>IF($I134&lt;&gt;"x",0,INDEX($Y$27:$Y$37,MATCH($G134,$X$27:$X167,0),1))*J134*1.1</f>
        <v>0</v>
      </c>
      <c r="N134" s="26">
        <f t="shared" si="19"/>
        <v>0</v>
      </c>
      <c r="O134" s="20">
        <f t="shared" si="20"/>
        <v>0</v>
      </c>
      <c r="P134" s="20">
        <f>IF(OR($E134&lt;&gt;"CS",$H134&lt;&gt;"x"),0,INDEX($Z$4:$Z$14,MATCH($G134,$X$4:$X144,0),1))*J134*1.1</f>
        <v>0</v>
      </c>
      <c r="Q134" s="26">
        <f>IF($I134&lt;&gt;"x",0,INDEX($Z$27:$Z$37,MATCH($G134,$X$27:$X167,0),1))*J134*1.1</f>
        <v>0</v>
      </c>
      <c r="R134" s="20">
        <f t="shared" si="21"/>
        <v>0</v>
      </c>
      <c r="S134" s="86">
        <f t="shared" si="22"/>
        <v>0</v>
      </c>
    </row>
    <row r="135" spans="2:19">
      <c r="B135" s="14">
        <f t="shared" si="23"/>
        <v>132</v>
      </c>
      <c r="C135" s="37" t="s">
        <v>572</v>
      </c>
      <c r="D135" s="37" t="s">
        <v>573</v>
      </c>
      <c r="E135" s="37" t="s">
        <v>574</v>
      </c>
      <c r="F135" s="38">
        <v>0</v>
      </c>
      <c r="G135" s="37">
        <v>3</v>
      </c>
      <c r="H135" s="37" t="s">
        <v>448</v>
      </c>
      <c r="I135" s="37" t="s">
        <v>448</v>
      </c>
      <c r="J135" s="41">
        <f t="shared" si="17"/>
        <v>0</v>
      </c>
      <c r="K135" s="26">
        <f>IF(OR($E135&lt;&gt;"CS",$H135&lt;&gt;"x"),0,INDEX($Y$4:$Y$14,MATCH($G135,$X$4:$X145,0),1))*J135*1.1</f>
        <v>0</v>
      </c>
      <c r="L135" s="26">
        <f t="shared" si="18"/>
        <v>0</v>
      </c>
      <c r="M135" s="26">
        <f>IF($I135&lt;&gt;"x",0,INDEX($Y$27:$Y$37,MATCH($G135,$X$27:$X168,0),1))*J135*1.1</f>
        <v>0</v>
      </c>
      <c r="N135" s="26">
        <f t="shared" si="19"/>
        <v>0</v>
      </c>
      <c r="O135" s="20">
        <f t="shared" si="20"/>
        <v>0</v>
      </c>
      <c r="P135" s="20">
        <f>IF(OR($E135&lt;&gt;"CS",$H135&lt;&gt;"x"),0,INDEX($Z$4:$Z$14,MATCH($G135,$X$4:$X145,0),1))*J135*1.1</f>
        <v>0</v>
      </c>
      <c r="Q135" s="26">
        <f>IF($I135&lt;&gt;"x",0,INDEX($Z$27:$Z$37,MATCH($G135,$X$27:$X168,0),1))*J135*1.1</f>
        <v>0</v>
      </c>
      <c r="R135" s="20">
        <f t="shared" si="21"/>
        <v>0</v>
      </c>
      <c r="S135" s="86">
        <f t="shared" si="22"/>
        <v>0</v>
      </c>
    </row>
    <row r="136" spans="2:19">
      <c r="B136" s="14">
        <f t="shared" si="23"/>
        <v>133</v>
      </c>
      <c r="C136" s="37" t="s">
        <v>572</v>
      </c>
      <c r="D136" s="37" t="s">
        <v>573</v>
      </c>
      <c r="E136" s="37" t="s">
        <v>574</v>
      </c>
      <c r="F136" s="38">
        <v>0</v>
      </c>
      <c r="G136" s="37">
        <v>6</v>
      </c>
      <c r="H136" s="37" t="s">
        <v>448</v>
      </c>
      <c r="I136" s="37" t="s">
        <v>448</v>
      </c>
      <c r="J136" s="41">
        <f t="shared" si="17"/>
        <v>0</v>
      </c>
      <c r="K136" s="26">
        <f>IF(OR($E136&lt;&gt;"CS",$H136&lt;&gt;"x"),0,INDEX($Y$4:$Y$14,MATCH($G136,$X$4:$X146,0),1))*J136*1.1</f>
        <v>0</v>
      </c>
      <c r="L136" s="26">
        <f t="shared" si="18"/>
        <v>0</v>
      </c>
      <c r="M136" s="26">
        <f>IF($I136&lt;&gt;"x",0,INDEX($Y$27:$Y$37,MATCH($G136,$X$27:$X169,0),1))*J136*1.1</f>
        <v>0</v>
      </c>
      <c r="N136" s="26">
        <f t="shared" si="19"/>
        <v>0</v>
      </c>
      <c r="O136" s="20">
        <f t="shared" si="20"/>
        <v>0</v>
      </c>
      <c r="P136" s="20">
        <f>IF(OR($E136&lt;&gt;"CS",$H136&lt;&gt;"x"),0,INDEX($Z$4:$Z$14,MATCH($G136,$X$4:$X146,0),1))*J136*1.1</f>
        <v>0</v>
      </c>
      <c r="Q136" s="26">
        <f>IF($I136&lt;&gt;"x",0,INDEX($Z$27:$Z$37,MATCH($G136,$X$27:$X169,0),1))*J136*1.1</f>
        <v>0</v>
      </c>
      <c r="R136" s="20">
        <f t="shared" si="21"/>
        <v>0</v>
      </c>
      <c r="S136" s="86">
        <f t="shared" si="22"/>
        <v>0</v>
      </c>
    </row>
    <row r="137" spans="2:19">
      <c r="B137" s="14">
        <f t="shared" si="23"/>
        <v>134</v>
      </c>
      <c r="C137" s="37" t="s">
        <v>572</v>
      </c>
      <c r="D137" s="37" t="s">
        <v>573</v>
      </c>
      <c r="E137" s="37" t="s">
        <v>574</v>
      </c>
      <c r="F137" s="38">
        <v>0</v>
      </c>
      <c r="G137" s="37">
        <v>6</v>
      </c>
      <c r="H137" s="37" t="s">
        <v>448</v>
      </c>
      <c r="I137" s="37" t="s">
        <v>448</v>
      </c>
      <c r="J137" s="41">
        <f t="shared" si="17"/>
        <v>0</v>
      </c>
      <c r="K137" s="26">
        <f>IF(OR($E137&lt;&gt;"CS",$H137&lt;&gt;"x"),0,INDEX($Y$4:$Y$14,MATCH($G137,$X$4:$X147,0),1))*J137*1.1</f>
        <v>0</v>
      </c>
      <c r="L137" s="26">
        <f t="shared" si="18"/>
        <v>0</v>
      </c>
      <c r="M137" s="26">
        <f>IF($I137&lt;&gt;"x",0,INDEX($Y$27:$Y$37,MATCH($G137,$X$27:$X170,0),1))*J137*1.1</f>
        <v>0</v>
      </c>
      <c r="N137" s="26">
        <f t="shared" si="19"/>
        <v>0</v>
      </c>
      <c r="O137" s="20">
        <f t="shared" si="20"/>
        <v>0</v>
      </c>
      <c r="P137" s="20">
        <f>IF(OR($E137&lt;&gt;"CS",$H137&lt;&gt;"x"),0,INDEX($Z$4:$Z$14,MATCH($G137,$X$4:$X147,0),1))*J137*1.1</f>
        <v>0</v>
      </c>
      <c r="Q137" s="26">
        <f>IF($I137&lt;&gt;"x",0,INDEX($Z$27:$Z$37,MATCH($G137,$X$27:$X170,0),1))*J137*1.1</f>
        <v>0</v>
      </c>
      <c r="R137" s="20">
        <f t="shared" si="21"/>
        <v>0</v>
      </c>
      <c r="S137" s="86">
        <f t="shared" si="22"/>
        <v>0</v>
      </c>
    </row>
    <row r="138" spans="2:19">
      <c r="B138" s="14">
        <f t="shared" si="23"/>
        <v>135</v>
      </c>
      <c r="C138" s="37" t="s">
        <v>572</v>
      </c>
      <c r="D138" s="37" t="s">
        <v>573</v>
      </c>
      <c r="E138" s="37" t="s">
        <v>574</v>
      </c>
      <c r="F138" s="38">
        <v>0</v>
      </c>
      <c r="G138" s="37">
        <v>4</v>
      </c>
      <c r="H138" s="37" t="s">
        <v>448</v>
      </c>
      <c r="I138" s="37" t="s">
        <v>448</v>
      </c>
      <c r="J138" s="41">
        <f t="shared" si="17"/>
        <v>0</v>
      </c>
      <c r="K138" s="26">
        <f>IF(OR($E138&lt;&gt;"CS",$H138&lt;&gt;"x"),0,INDEX($Y$4:$Y$14,MATCH($G138,$X$4:$X148,0),1))*J138*1.1</f>
        <v>0</v>
      </c>
      <c r="L138" s="26">
        <f t="shared" si="18"/>
        <v>0</v>
      </c>
      <c r="M138" s="26">
        <f>IF($I138&lt;&gt;"x",0,INDEX($Y$27:$Y$37,MATCH($G138,$X$27:$X171,0),1))*J138*1.1</f>
        <v>0</v>
      </c>
      <c r="N138" s="26">
        <f t="shared" si="19"/>
        <v>0</v>
      </c>
      <c r="O138" s="20">
        <f t="shared" si="20"/>
        <v>0</v>
      </c>
      <c r="P138" s="20">
        <f>IF(OR($E138&lt;&gt;"CS",$H138&lt;&gt;"x"),0,INDEX($Z$4:$Z$14,MATCH($G138,$X$4:$X148,0),1))*J138*1.1</f>
        <v>0</v>
      </c>
      <c r="Q138" s="26">
        <f>IF($I138&lt;&gt;"x",0,INDEX($Z$27:$Z$37,MATCH($G138,$X$27:$X171,0),1))*J138*1.1</f>
        <v>0</v>
      </c>
      <c r="R138" s="20">
        <f t="shared" si="21"/>
        <v>0</v>
      </c>
      <c r="S138" s="86">
        <f t="shared" si="22"/>
        <v>0</v>
      </c>
    </row>
    <row r="139" spans="2:19">
      <c r="B139" s="14">
        <f t="shared" si="23"/>
        <v>136</v>
      </c>
      <c r="C139" s="37" t="s">
        <v>572</v>
      </c>
      <c r="D139" s="37" t="s">
        <v>573</v>
      </c>
      <c r="E139" s="37" t="s">
        <v>574</v>
      </c>
      <c r="F139" s="38">
        <v>0</v>
      </c>
      <c r="G139" s="37">
        <v>4</v>
      </c>
      <c r="H139" s="37" t="s">
        <v>448</v>
      </c>
      <c r="I139" s="37" t="s">
        <v>448</v>
      </c>
      <c r="J139" s="41">
        <f t="shared" si="17"/>
        <v>0</v>
      </c>
      <c r="K139" s="26">
        <f>IF(OR($E139&lt;&gt;"CS",$H139&lt;&gt;"x"),0,INDEX($Y$4:$Y$14,MATCH($G139,$X$4:$X149,0),1))*J139*1.1</f>
        <v>0</v>
      </c>
      <c r="L139" s="26">
        <f t="shared" si="18"/>
        <v>0</v>
      </c>
      <c r="M139" s="26">
        <f>IF($I139&lt;&gt;"x",0,INDEX($Y$27:$Y$37,MATCH($G139,$X$27:$X172,0),1))*J139*1.1</f>
        <v>0</v>
      </c>
      <c r="N139" s="26">
        <f t="shared" si="19"/>
        <v>0</v>
      </c>
      <c r="O139" s="20">
        <f t="shared" si="20"/>
        <v>0</v>
      </c>
      <c r="P139" s="20">
        <f>IF(OR($E139&lt;&gt;"CS",$H139&lt;&gt;"x"),0,INDEX($Z$4:$Z$14,MATCH($G139,$X$4:$X149,0),1))*J139*1.1</f>
        <v>0</v>
      </c>
      <c r="Q139" s="26">
        <f>IF($I139&lt;&gt;"x",0,INDEX($Z$27:$Z$37,MATCH($G139,$X$27:$X172,0),1))*J139*1.1</f>
        <v>0</v>
      </c>
      <c r="R139" s="20">
        <f t="shared" si="21"/>
        <v>0</v>
      </c>
      <c r="S139" s="86">
        <f t="shared" si="22"/>
        <v>0</v>
      </c>
    </row>
    <row r="140" spans="2:19">
      <c r="B140" s="14">
        <f t="shared" si="23"/>
        <v>137</v>
      </c>
      <c r="C140" s="37" t="s">
        <v>572</v>
      </c>
      <c r="D140" s="37" t="s">
        <v>573</v>
      </c>
      <c r="E140" s="37" t="s">
        <v>574</v>
      </c>
      <c r="F140" s="38">
        <v>0</v>
      </c>
      <c r="G140" s="37">
        <v>3</v>
      </c>
      <c r="H140" s="37" t="s">
        <v>448</v>
      </c>
      <c r="I140" s="37" t="s">
        <v>448</v>
      </c>
      <c r="J140" s="41">
        <f t="shared" si="17"/>
        <v>0</v>
      </c>
      <c r="K140" s="26">
        <f>IF(OR($E140&lt;&gt;"CS",$H140&lt;&gt;"x"),0,INDEX($Y$4:$Y$14,MATCH($G140,$X$4:$X150,0),1))*J140*1.1</f>
        <v>0</v>
      </c>
      <c r="L140" s="26">
        <f t="shared" si="18"/>
        <v>0</v>
      </c>
      <c r="M140" s="26">
        <f>IF($I140&lt;&gt;"x",0,INDEX($Y$27:$Y$37,MATCH($G140,$X$27:$X173,0),1))*J140*1.1</f>
        <v>0</v>
      </c>
      <c r="N140" s="26">
        <f t="shared" si="19"/>
        <v>0</v>
      </c>
      <c r="O140" s="20">
        <f t="shared" si="20"/>
        <v>0</v>
      </c>
      <c r="P140" s="20">
        <f>IF(OR($E140&lt;&gt;"CS",$H140&lt;&gt;"x"),0,INDEX($Z$4:$Z$14,MATCH($G140,$X$4:$X150,0),1))*J140*1.1</f>
        <v>0</v>
      </c>
      <c r="Q140" s="26">
        <f>IF($I140&lt;&gt;"x",0,INDEX($Z$27:$Z$37,MATCH($G140,$X$27:$X173,0),1))*J140*1.1</f>
        <v>0</v>
      </c>
      <c r="R140" s="20">
        <f t="shared" si="21"/>
        <v>0</v>
      </c>
      <c r="S140" s="86">
        <f t="shared" si="22"/>
        <v>0</v>
      </c>
    </row>
    <row r="141" spans="2:19">
      <c r="B141" s="14">
        <f t="shared" si="23"/>
        <v>138</v>
      </c>
      <c r="C141" s="37" t="s">
        <v>572</v>
      </c>
      <c r="D141" s="37" t="s">
        <v>573</v>
      </c>
      <c r="E141" s="37" t="s">
        <v>574</v>
      </c>
      <c r="F141" s="38">
        <v>0</v>
      </c>
      <c r="G141" s="37">
        <v>3</v>
      </c>
      <c r="H141" s="37" t="s">
        <v>448</v>
      </c>
      <c r="I141" s="37" t="s">
        <v>448</v>
      </c>
      <c r="J141" s="41">
        <f t="shared" si="17"/>
        <v>0</v>
      </c>
      <c r="K141" s="26">
        <f>IF(OR($E141&lt;&gt;"CS",$H141&lt;&gt;"x"),0,INDEX($Y$4:$Y$14,MATCH($G141,$X$4:$X151,0),1))*J141*1.1</f>
        <v>0</v>
      </c>
      <c r="L141" s="26">
        <f t="shared" si="18"/>
        <v>0</v>
      </c>
      <c r="M141" s="26">
        <f>IF($I141&lt;&gt;"x",0,INDEX($Y$27:$Y$37,MATCH($G141,$X$27:$X174,0),1))*J141*1.1</f>
        <v>0</v>
      </c>
      <c r="N141" s="26">
        <f t="shared" si="19"/>
        <v>0</v>
      </c>
      <c r="O141" s="20">
        <f t="shared" si="20"/>
        <v>0</v>
      </c>
      <c r="P141" s="20">
        <f>IF(OR($E141&lt;&gt;"CS",$H141&lt;&gt;"x"),0,INDEX($Z$4:$Z$14,MATCH($G141,$X$4:$X151,0),1))*J141*1.1</f>
        <v>0</v>
      </c>
      <c r="Q141" s="26">
        <f>IF($I141&lt;&gt;"x",0,INDEX($Z$27:$Z$37,MATCH($G141,$X$27:$X174,0),1))*J141*1.1</f>
        <v>0</v>
      </c>
      <c r="R141" s="20">
        <f t="shared" si="21"/>
        <v>0</v>
      </c>
      <c r="S141" s="86">
        <f t="shared" si="22"/>
        <v>0</v>
      </c>
    </row>
    <row r="142" spans="2:19">
      <c r="B142" s="14">
        <f t="shared" si="23"/>
        <v>139</v>
      </c>
      <c r="C142" s="37" t="s">
        <v>572</v>
      </c>
      <c r="D142" s="37" t="s">
        <v>573</v>
      </c>
      <c r="E142" s="37" t="s">
        <v>574</v>
      </c>
      <c r="F142" s="38">
        <v>0</v>
      </c>
      <c r="G142" s="37">
        <v>3</v>
      </c>
      <c r="H142" s="37" t="s">
        <v>448</v>
      </c>
      <c r="I142" s="37" t="s">
        <v>448</v>
      </c>
      <c r="J142" s="41">
        <f t="shared" si="17"/>
        <v>0</v>
      </c>
      <c r="K142" s="26">
        <f>IF(OR($E142&lt;&gt;"CS",$H142&lt;&gt;"x"),0,INDEX($Y$4:$Y$14,MATCH($G142,$X$4:$X152,0),1))*J142*1.1</f>
        <v>0</v>
      </c>
      <c r="L142" s="26">
        <f t="shared" si="18"/>
        <v>0</v>
      </c>
      <c r="M142" s="26">
        <f>IF($I142&lt;&gt;"x",0,INDEX($Y$27:$Y$37,MATCH($G142,$X$27:$X175,0),1))*J142*1.1</f>
        <v>0</v>
      </c>
      <c r="N142" s="26">
        <f t="shared" si="19"/>
        <v>0</v>
      </c>
      <c r="O142" s="20">
        <f t="shared" si="20"/>
        <v>0</v>
      </c>
      <c r="P142" s="20">
        <f>IF(OR($E142&lt;&gt;"CS",$H142&lt;&gt;"x"),0,INDEX($Z$4:$Z$14,MATCH($G142,$X$4:$X152,0),1))*J142*1.1</f>
        <v>0</v>
      </c>
      <c r="Q142" s="26">
        <f>IF($I142&lt;&gt;"x",0,INDEX($Z$27:$Z$37,MATCH($G142,$X$27:$X175,0),1))*J142*1.1</f>
        <v>0</v>
      </c>
      <c r="R142" s="20">
        <f t="shared" si="21"/>
        <v>0</v>
      </c>
      <c r="S142" s="86">
        <f t="shared" si="22"/>
        <v>0</v>
      </c>
    </row>
    <row r="143" spans="2:19">
      <c r="B143" s="14">
        <f t="shared" si="23"/>
        <v>140</v>
      </c>
      <c r="C143" s="37" t="s">
        <v>572</v>
      </c>
      <c r="D143" s="37" t="s">
        <v>573</v>
      </c>
      <c r="E143" s="37" t="s">
        <v>574</v>
      </c>
      <c r="F143" s="38">
        <v>0</v>
      </c>
      <c r="G143" s="37">
        <v>3</v>
      </c>
      <c r="H143" s="37" t="s">
        <v>448</v>
      </c>
      <c r="I143" s="37" t="s">
        <v>448</v>
      </c>
      <c r="J143" s="41">
        <f t="shared" si="17"/>
        <v>0</v>
      </c>
      <c r="K143" s="26">
        <f>IF(OR($E143&lt;&gt;"CS",$H143&lt;&gt;"x"),0,INDEX($Y$4:$Y$14,MATCH($G143,$X$4:$X153,0),1))*J143*1.1</f>
        <v>0</v>
      </c>
      <c r="L143" s="26">
        <f t="shared" si="18"/>
        <v>0</v>
      </c>
      <c r="M143" s="26">
        <f>IF($I143&lt;&gt;"x",0,INDEX($Y$27:$Y$37,MATCH($G143,$X$27:$X176,0),1))*J143*1.1</f>
        <v>0</v>
      </c>
      <c r="N143" s="26">
        <f t="shared" si="19"/>
        <v>0</v>
      </c>
      <c r="O143" s="20">
        <f t="shared" si="20"/>
        <v>0</v>
      </c>
      <c r="P143" s="20">
        <f>IF(OR($E143&lt;&gt;"CS",$H143&lt;&gt;"x"),0,INDEX($Z$4:$Z$14,MATCH($G143,$X$4:$X153,0),1))*J143*1.1</f>
        <v>0</v>
      </c>
      <c r="Q143" s="26">
        <f>IF($I143&lt;&gt;"x",0,INDEX($Z$27:$Z$37,MATCH($G143,$X$27:$X176,0),1))*J143*1.1</f>
        <v>0</v>
      </c>
      <c r="R143" s="20">
        <f t="shared" si="21"/>
        <v>0</v>
      </c>
      <c r="S143" s="86">
        <f t="shared" si="22"/>
        <v>0</v>
      </c>
    </row>
    <row r="144" spans="2:19">
      <c r="B144" s="14">
        <f t="shared" si="23"/>
        <v>141</v>
      </c>
      <c r="C144" s="37" t="s">
        <v>572</v>
      </c>
      <c r="D144" s="37" t="s">
        <v>573</v>
      </c>
      <c r="E144" s="37" t="s">
        <v>574</v>
      </c>
      <c r="F144" s="38">
        <v>0</v>
      </c>
      <c r="G144" s="37">
        <v>3</v>
      </c>
      <c r="H144" s="37" t="s">
        <v>448</v>
      </c>
      <c r="I144" s="37" t="s">
        <v>448</v>
      </c>
      <c r="J144" s="41">
        <f t="shared" si="17"/>
        <v>0</v>
      </c>
      <c r="K144" s="26">
        <f>IF(OR($E144&lt;&gt;"CS",$H144&lt;&gt;"x"),0,INDEX($Y$4:$Y$14,MATCH($G144,$X$4:$X154,0),1))*J144*1.1</f>
        <v>0</v>
      </c>
      <c r="L144" s="26">
        <f t="shared" si="18"/>
        <v>0</v>
      </c>
      <c r="M144" s="26">
        <f>IF($I144&lt;&gt;"x",0,INDEX($Y$27:$Y$37,MATCH($G144,$X$27:$X177,0),1))*J144*1.1</f>
        <v>0</v>
      </c>
      <c r="N144" s="26">
        <f t="shared" si="19"/>
        <v>0</v>
      </c>
      <c r="O144" s="20">
        <f t="shared" si="20"/>
        <v>0</v>
      </c>
      <c r="P144" s="20">
        <f>IF(OR($E144&lt;&gt;"CS",$H144&lt;&gt;"x"),0,INDEX($Z$4:$Z$14,MATCH($G144,$X$4:$X154,0),1))*J144*1.1</f>
        <v>0</v>
      </c>
      <c r="Q144" s="26">
        <f>IF($I144&lt;&gt;"x",0,INDEX($Z$27:$Z$37,MATCH($G144,$X$27:$X177,0),1))*J144*1.1</f>
        <v>0</v>
      </c>
      <c r="R144" s="20">
        <f t="shared" si="21"/>
        <v>0</v>
      </c>
      <c r="S144" s="86">
        <f t="shared" si="22"/>
        <v>0</v>
      </c>
    </row>
    <row r="145" spans="2:19">
      <c r="B145" s="14">
        <f t="shared" si="23"/>
        <v>142</v>
      </c>
      <c r="C145" s="37" t="s">
        <v>572</v>
      </c>
      <c r="D145" s="37" t="s">
        <v>573</v>
      </c>
      <c r="E145" s="37" t="s">
        <v>574</v>
      </c>
      <c r="F145" s="38">
        <v>0</v>
      </c>
      <c r="G145" s="37">
        <v>3</v>
      </c>
      <c r="H145" s="37" t="s">
        <v>448</v>
      </c>
      <c r="I145" s="37" t="s">
        <v>448</v>
      </c>
      <c r="J145" s="41">
        <f t="shared" si="17"/>
        <v>0</v>
      </c>
      <c r="K145" s="26">
        <f>IF(OR($E145&lt;&gt;"CS",$H145&lt;&gt;"x"),0,INDEX($Y$4:$Y$14,MATCH($G145,$X$4:$X155,0),1))*J145*1.1</f>
        <v>0</v>
      </c>
      <c r="L145" s="26">
        <f t="shared" si="18"/>
        <v>0</v>
      </c>
      <c r="M145" s="26">
        <f>IF($I145&lt;&gt;"x",0,INDEX($Y$27:$Y$37,MATCH($G145,$X$27:$X178,0),1))*J145*1.1</f>
        <v>0</v>
      </c>
      <c r="N145" s="26">
        <f t="shared" si="19"/>
        <v>0</v>
      </c>
      <c r="O145" s="20">
        <f t="shared" si="20"/>
        <v>0</v>
      </c>
      <c r="P145" s="20">
        <f>IF(OR($E145&lt;&gt;"CS",$H145&lt;&gt;"x"),0,INDEX($Z$4:$Z$14,MATCH($G145,$X$4:$X155,0),1))*J145*1.1</f>
        <v>0</v>
      </c>
      <c r="Q145" s="26">
        <f>IF($I145&lt;&gt;"x",0,INDEX($Z$27:$Z$37,MATCH($G145,$X$27:$X178,0),1))*J145*1.1</f>
        <v>0</v>
      </c>
      <c r="R145" s="20">
        <f t="shared" si="21"/>
        <v>0</v>
      </c>
      <c r="S145" s="86">
        <f t="shared" si="22"/>
        <v>0</v>
      </c>
    </row>
    <row r="146" spans="2:19">
      <c r="B146" s="14">
        <f t="shared" si="23"/>
        <v>143</v>
      </c>
      <c r="C146" s="37" t="s">
        <v>572</v>
      </c>
      <c r="D146" s="37" t="s">
        <v>573</v>
      </c>
      <c r="E146" s="37" t="s">
        <v>574</v>
      </c>
      <c r="F146" s="38">
        <v>0</v>
      </c>
      <c r="G146" s="37">
        <v>4</v>
      </c>
      <c r="H146" s="37" t="s">
        <v>448</v>
      </c>
      <c r="I146" s="37" t="s">
        <v>448</v>
      </c>
      <c r="J146" s="41">
        <f t="shared" si="17"/>
        <v>0</v>
      </c>
      <c r="K146" s="26">
        <f>IF(OR($E146&lt;&gt;"CS",$H146&lt;&gt;"x"),0,INDEX($Y$4:$Y$14,MATCH($G146,$X$4:$X156,0),1))*J146*1.1</f>
        <v>0</v>
      </c>
      <c r="L146" s="26">
        <f t="shared" si="18"/>
        <v>0</v>
      </c>
      <c r="M146" s="26">
        <f>IF($I146&lt;&gt;"x",0,INDEX($Y$27:$Y$37,MATCH($G146,$X$27:$X179,0),1))*J146*1.1</f>
        <v>0</v>
      </c>
      <c r="N146" s="26">
        <f t="shared" si="19"/>
        <v>0</v>
      </c>
      <c r="O146" s="20">
        <f t="shared" si="20"/>
        <v>0</v>
      </c>
      <c r="P146" s="20">
        <f>IF(OR($E146&lt;&gt;"CS",$H146&lt;&gt;"x"),0,INDEX($Z$4:$Z$14,MATCH($G146,$X$4:$X156,0),1))*J146*1.1</f>
        <v>0</v>
      </c>
      <c r="Q146" s="26">
        <f>IF($I146&lt;&gt;"x",0,INDEX($Z$27:$Z$37,MATCH($G146,$X$27:$X179,0),1))*J146*1.1</f>
        <v>0</v>
      </c>
      <c r="R146" s="20">
        <f t="shared" si="21"/>
        <v>0</v>
      </c>
      <c r="S146" s="86">
        <f t="shared" si="22"/>
        <v>0</v>
      </c>
    </row>
    <row r="147" spans="2:19">
      <c r="B147" s="14">
        <f t="shared" si="23"/>
        <v>144</v>
      </c>
      <c r="C147" s="37" t="s">
        <v>572</v>
      </c>
      <c r="D147" s="37" t="s">
        <v>573</v>
      </c>
      <c r="E147" s="37" t="s">
        <v>574</v>
      </c>
      <c r="F147" s="38">
        <v>0</v>
      </c>
      <c r="G147" s="37">
        <v>4</v>
      </c>
      <c r="H147" s="37" t="s">
        <v>448</v>
      </c>
      <c r="I147" s="37" t="s">
        <v>448</v>
      </c>
      <c r="J147" s="41">
        <f t="shared" si="17"/>
        <v>0</v>
      </c>
      <c r="K147" s="26">
        <f>IF(OR($E147&lt;&gt;"CS",$H147&lt;&gt;"x"),0,INDEX($Y$4:$Y$14,MATCH($G147,$X$4:$X157,0),1))*J147*1.1</f>
        <v>0</v>
      </c>
      <c r="L147" s="26">
        <f t="shared" si="18"/>
        <v>0</v>
      </c>
      <c r="M147" s="26">
        <f>IF($I147&lt;&gt;"x",0,INDEX($Y$27:$Y$37,MATCH($G147,$X$27:$X180,0),1))*J147*1.1</f>
        <v>0</v>
      </c>
      <c r="N147" s="26">
        <f t="shared" si="19"/>
        <v>0</v>
      </c>
      <c r="O147" s="20">
        <f t="shared" si="20"/>
        <v>0</v>
      </c>
      <c r="P147" s="20">
        <f>IF(OR($E147&lt;&gt;"CS",$H147&lt;&gt;"x"),0,INDEX($Z$4:$Z$14,MATCH($G147,$X$4:$X157,0),1))*J147*1.1</f>
        <v>0</v>
      </c>
      <c r="Q147" s="26">
        <f>IF($I147&lt;&gt;"x",0,INDEX($Z$27:$Z$37,MATCH($G147,$X$27:$X180,0),1))*J147*1.1</f>
        <v>0</v>
      </c>
      <c r="R147" s="20">
        <f t="shared" si="21"/>
        <v>0</v>
      </c>
      <c r="S147" s="86">
        <f t="shared" si="22"/>
        <v>0</v>
      </c>
    </row>
    <row r="148" spans="2:19">
      <c r="B148" s="14">
        <f t="shared" si="23"/>
        <v>145</v>
      </c>
      <c r="C148" s="37" t="s">
        <v>572</v>
      </c>
      <c r="D148" s="37" t="s">
        <v>573</v>
      </c>
      <c r="E148" s="37" t="s">
        <v>574</v>
      </c>
      <c r="F148" s="38">
        <v>0</v>
      </c>
      <c r="G148" s="37">
        <v>3</v>
      </c>
      <c r="H148" s="37" t="s">
        <v>448</v>
      </c>
      <c r="I148" s="37" t="s">
        <v>448</v>
      </c>
      <c r="J148" s="41">
        <f t="shared" si="17"/>
        <v>0</v>
      </c>
      <c r="K148" s="26">
        <f>IF(OR($E148&lt;&gt;"CS",$H148&lt;&gt;"x"),0,INDEX($Y$4:$Y$14,MATCH($G148,$X$4:$X158,0),1))*J148*1.1</f>
        <v>0</v>
      </c>
      <c r="L148" s="26">
        <f t="shared" si="18"/>
        <v>0</v>
      </c>
      <c r="M148" s="26">
        <f>IF($I148&lt;&gt;"x",0,INDEX($Y$27:$Y$37,MATCH($G148,$X$27:$X181,0),1))*J148*1.1</f>
        <v>0</v>
      </c>
      <c r="N148" s="26">
        <f t="shared" si="19"/>
        <v>0</v>
      </c>
      <c r="O148" s="20">
        <f t="shared" si="20"/>
        <v>0</v>
      </c>
      <c r="P148" s="20">
        <f>IF(OR($E148&lt;&gt;"CS",$H148&lt;&gt;"x"),0,INDEX($Z$4:$Z$14,MATCH($G148,$X$4:$X158,0),1))*J148*1.1</f>
        <v>0</v>
      </c>
      <c r="Q148" s="26">
        <f>IF($I148&lt;&gt;"x",0,INDEX($Z$27:$Z$37,MATCH($G148,$X$27:$X181,0),1))*J148*1.1</f>
        <v>0</v>
      </c>
      <c r="R148" s="20">
        <f t="shared" si="21"/>
        <v>0</v>
      </c>
      <c r="S148" s="86">
        <f t="shared" si="22"/>
        <v>0</v>
      </c>
    </row>
    <row r="149" spans="2:19">
      <c r="B149" s="14">
        <f t="shared" si="23"/>
        <v>146</v>
      </c>
      <c r="C149" s="37" t="s">
        <v>572</v>
      </c>
      <c r="D149" s="37" t="s">
        <v>573</v>
      </c>
      <c r="E149" s="37" t="s">
        <v>574</v>
      </c>
      <c r="F149" s="38">
        <v>0</v>
      </c>
      <c r="G149" s="37">
        <v>3</v>
      </c>
      <c r="H149" s="37" t="s">
        <v>448</v>
      </c>
      <c r="I149" s="37" t="s">
        <v>448</v>
      </c>
      <c r="J149" s="41">
        <f t="shared" si="17"/>
        <v>0</v>
      </c>
      <c r="K149" s="26">
        <f>IF(OR($E149&lt;&gt;"CS",$H149&lt;&gt;"x"),0,INDEX($Y$4:$Y$14,MATCH($G149,$X$4:$X159,0),1))*J149*1.1</f>
        <v>0</v>
      </c>
      <c r="L149" s="26">
        <f t="shared" si="18"/>
        <v>0</v>
      </c>
      <c r="M149" s="26">
        <f>IF($I149&lt;&gt;"x",0,INDEX($Y$27:$Y$37,MATCH($G149,$X$27:$X182,0),1))*J149*1.1</f>
        <v>0</v>
      </c>
      <c r="N149" s="26">
        <f t="shared" si="19"/>
        <v>0</v>
      </c>
      <c r="O149" s="20">
        <f t="shared" si="20"/>
        <v>0</v>
      </c>
      <c r="P149" s="20">
        <f>IF(OR($E149&lt;&gt;"CS",$H149&lt;&gt;"x"),0,INDEX($Z$4:$Z$14,MATCH($G149,$X$4:$X159,0),1))*J149*1.1</f>
        <v>0</v>
      </c>
      <c r="Q149" s="26">
        <f>IF($I149&lt;&gt;"x",0,INDEX($Z$27:$Z$37,MATCH($G149,$X$27:$X182,0),1))*J149*1.1</f>
        <v>0</v>
      </c>
      <c r="R149" s="20">
        <f t="shared" si="21"/>
        <v>0</v>
      </c>
      <c r="S149" s="86">
        <f t="shared" si="22"/>
        <v>0</v>
      </c>
    </row>
    <row r="150" spans="2:19">
      <c r="B150" s="14">
        <f t="shared" si="23"/>
        <v>147</v>
      </c>
      <c r="C150" s="37" t="s">
        <v>572</v>
      </c>
      <c r="D150" s="37" t="s">
        <v>573</v>
      </c>
      <c r="E150" s="37" t="s">
        <v>574</v>
      </c>
      <c r="F150" s="38">
        <v>0</v>
      </c>
      <c r="G150" s="37">
        <v>4</v>
      </c>
      <c r="H150" s="37" t="s">
        <v>448</v>
      </c>
      <c r="I150" s="37" t="s">
        <v>448</v>
      </c>
      <c r="J150" s="41">
        <f t="shared" si="17"/>
        <v>0</v>
      </c>
      <c r="K150" s="26">
        <f>IF(OR($E150&lt;&gt;"CS",$H150&lt;&gt;"x"),0,INDEX($Y$4:$Y$14,MATCH($G150,$X$4:$X160,0),1))*J150*1.1</f>
        <v>0</v>
      </c>
      <c r="L150" s="26">
        <f t="shared" si="18"/>
        <v>0</v>
      </c>
      <c r="M150" s="26">
        <f>IF($I150&lt;&gt;"x",0,INDEX($Y$27:$Y$37,MATCH($G150,$X$27:$X183,0),1))*J150*1.1</f>
        <v>0</v>
      </c>
      <c r="N150" s="26">
        <f t="shared" si="19"/>
        <v>0</v>
      </c>
      <c r="O150" s="20">
        <f t="shared" si="20"/>
        <v>0</v>
      </c>
      <c r="P150" s="20">
        <f>IF(OR($E150&lt;&gt;"CS",$H150&lt;&gt;"x"),0,INDEX($Z$4:$Z$14,MATCH($G150,$X$4:$X160,0),1))*J150*1.1</f>
        <v>0</v>
      </c>
      <c r="Q150" s="26">
        <f>IF($I150&lt;&gt;"x",0,INDEX($Z$27:$Z$37,MATCH($G150,$X$27:$X183,0),1))*J150*1.1</f>
        <v>0</v>
      </c>
      <c r="R150" s="20">
        <f t="shared" si="21"/>
        <v>0</v>
      </c>
      <c r="S150" s="86">
        <f t="shared" si="22"/>
        <v>0</v>
      </c>
    </row>
    <row r="151" spans="2:19">
      <c r="B151" s="14">
        <f t="shared" si="23"/>
        <v>148</v>
      </c>
      <c r="C151" s="37" t="s">
        <v>572</v>
      </c>
      <c r="D151" s="37" t="s">
        <v>573</v>
      </c>
      <c r="E151" s="37" t="s">
        <v>574</v>
      </c>
      <c r="F151" s="38">
        <v>0</v>
      </c>
      <c r="G151" s="37">
        <v>4</v>
      </c>
      <c r="H151" s="37" t="s">
        <v>448</v>
      </c>
      <c r="I151" s="37" t="s">
        <v>448</v>
      </c>
      <c r="J151" s="41">
        <f t="shared" si="17"/>
        <v>0</v>
      </c>
      <c r="K151" s="26">
        <f>IF(OR($E151&lt;&gt;"CS",$H151&lt;&gt;"x"),0,INDEX($Y$4:$Y$14,MATCH($G151,$X$4:$X161,0),1))*J151*1.1</f>
        <v>0</v>
      </c>
      <c r="L151" s="26">
        <f t="shared" si="18"/>
        <v>0</v>
      </c>
      <c r="M151" s="26">
        <f>IF($I151&lt;&gt;"x",0,INDEX($Y$27:$Y$37,MATCH($G151,$X$27:$X184,0),1))*J151*1.1</f>
        <v>0</v>
      </c>
      <c r="N151" s="26">
        <f t="shared" si="19"/>
        <v>0</v>
      </c>
      <c r="O151" s="20">
        <f t="shared" si="20"/>
        <v>0</v>
      </c>
      <c r="P151" s="20">
        <f>IF(OR($E151&lt;&gt;"CS",$H151&lt;&gt;"x"),0,INDEX($Z$4:$Z$14,MATCH($G151,$X$4:$X161,0),1))*J151*1.1</f>
        <v>0</v>
      </c>
      <c r="Q151" s="26">
        <f>IF($I151&lt;&gt;"x",0,INDEX($Z$27:$Z$37,MATCH($G151,$X$27:$X184,0),1))*J151*1.1</f>
        <v>0</v>
      </c>
      <c r="R151" s="20">
        <f t="shared" si="21"/>
        <v>0</v>
      </c>
      <c r="S151" s="86">
        <f t="shared" si="22"/>
        <v>0</v>
      </c>
    </row>
    <row r="152" spans="2:19">
      <c r="B152" s="14">
        <f t="shared" si="23"/>
        <v>149</v>
      </c>
      <c r="C152" s="37" t="s">
        <v>572</v>
      </c>
      <c r="D152" s="37" t="s">
        <v>573</v>
      </c>
      <c r="E152" s="37" t="s">
        <v>574</v>
      </c>
      <c r="F152" s="38">
        <v>0</v>
      </c>
      <c r="G152" s="37">
        <v>2</v>
      </c>
      <c r="H152" s="37" t="s">
        <v>448</v>
      </c>
      <c r="I152" s="37" t="s">
        <v>448</v>
      </c>
      <c r="J152" s="41">
        <f t="shared" si="17"/>
        <v>0</v>
      </c>
      <c r="K152" s="26">
        <f>IF(OR($E152&lt;&gt;"CS",$H152&lt;&gt;"x"),0,INDEX($Y$4:$Y$14,MATCH($G152,$X$4:$X162,0),1))*J152*1.1</f>
        <v>0</v>
      </c>
      <c r="L152" s="26">
        <f t="shared" si="18"/>
        <v>0</v>
      </c>
      <c r="M152" s="26">
        <f>IF($I152&lt;&gt;"x",0,INDEX($Y$27:$Y$37,MATCH($G152,$X$27:$X185,0),1))*J152*1.1</f>
        <v>0</v>
      </c>
      <c r="N152" s="26">
        <f t="shared" si="19"/>
        <v>0</v>
      </c>
      <c r="O152" s="20">
        <f t="shared" si="20"/>
        <v>0</v>
      </c>
      <c r="P152" s="20">
        <f>IF(OR($E152&lt;&gt;"CS",$H152&lt;&gt;"x"),0,INDEX($Z$4:$Z$14,MATCH($G152,$X$4:$X162,0),1))*J152*1.1</f>
        <v>0</v>
      </c>
      <c r="Q152" s="26">
        <f>IF($I152&lt;&gt;"x",0,INDEX($Z$27:$Z$37,MATCH($G152,$X$27:$X185,0),1))*J152*1.1</f>
        <v>0</v>
      </c>
      <c r="R152" s="20">
        <f t="shared" si="21"/>
        <v>0</v>
      </c>
      <c r="S152" s="86">
        <f t="shared" si="22"/>
        <v>0</v>
      </c>
    </row>
    <row r="153" spans="2:19">
      <c r="B153" s="14">
        <f t="shared" si="23"/>
        <v>150</v>
      </c>
      <c r="C153" s="37" t="s">
        <v>572</v>
      </c>
      <c r="D153" s="37" t="s">
        <v>573</v>
      </c>
      <c r="E153" s="37" t="s">
        <v>574</v>
      </c>
      <c r="F153" s="38">
        <v>0</v>
      </c>
      <c r="G153" s="37">
        <v>2</v>
      </c>
      <c r="H153" s="37" t="s">
        <v>448</v>
      </c>
      <c r="I153" s="37" t="s">
        <v>448</v>
      </c>
      <c r="J153" s="41">
        <f t="shared" si="17"/>
        <v>0</v>
      </c>
      <c r="K153" s="26">
        <f>IF(OR($E153&lt;&gt;"CS",$H153&lt;&gt;"x"),0,INDEX($Y$4:$Y$14,MATCH($G153,$X$4:$X163,0),1))*J153*1.1</f>
        <v>0</v>
      </c>
      <c r="L153" s="26">
        <f t="shared" si="18"/>
        <v>0</v>
      </c>
      <c r="M153" s="26">
        <f>IF($I153&lt;&gt;"x",0,INDEX($Y$27:$Y$37,MATCH($G153,$X$27:$X186,0),1))*J153*1.1</f>
        <v>0</v>
      </c>
      <c r="N153" s="26">
        <f t="shared" si="19"/>
        <v>0</v>
      </c>
      <c r="O153" s="20">
        <f t="shared" si="20"/>
        <v>0</v>
      </c>
      <c r="P153" s="20">
        <f>IF(OR($E153&lt;&gt;"CS",$H153&lt;&gt;"x"),0,INDEX($Z$4:$Z$14,MATCH($G153,$X$4:$X163,0),1))*J153*1.1</f>
        <v>0</v>
      </c>
      <c r="Q153" s="26">
        <f>IF($I153&lt;&gt;"x",0,INDEX($Z$27:$Z$37,MATCH($G153,$X$27:$X186,0),1))*J153*1.1</f>
        <v>0</v>
      </c>
      <c r="R153" s="20">
        <f t="shared" si="21"/>
        <v>0</v>
      </c>
      <c r="S153" s="86">
        <f t="shared" si="22"/>
        <v>0</v>
      </c>
    </row>
    <row r="154" spans="2:19">
      <c r="B154" s="14">
        <f t="shared" si="23"/>
        <v>151</v>
      </c>
      <c r="C154" s="37" t="s">
        <v>572</v>
      </c>
      <c r="D154" s="37" t="s">
        <v>573</v>
      </c>
      <c r="E154" s="37" t="s">
        <v>574</v>
      </c>
      <c r="F154" s="38">
        <v>0</v>
      </c>
      <c r="G154" s="37">
        <v>3</v>
      </c>
      <c r="H154" s="37" t="s">
        <v>448</v>
      </c>
      <c r="I154" s="37" t="s">
        <v>448</v>
      </c>
      <c r="J154" s="41">
        <f t="shared" si="17"/>
        <v>0</v>
      </c>
      <c r="K154" s="26">
        <f>IF(OR($E154&lt;&gt;"CS",$H154&lt;&gt;"x"),0,INDEX($Y$4:$Y$14,MATCH($G154,$X$4:$X164,0),1))*J154*1.1</f>
        <v>0</v>
      </c>
      <c r="L154" s="26">
        <f t="shared" si="18"/>
        <v>0</v>
      </c>
      <c r="M154" s="26">
        <f>IF($I154&lt;&gt;"x",0,INDEX($Y$27:$Y$37,MATCH($G154,$X$27:$X187,0),1))*J154*1.1</f>
        <v>0</v>
      </c>
      <c r="N154" s="26">
        <f t="shared" si="19"/>
        <v>0</v>
      </c>
      <c r="O154" s="20">
        <f t="shared" si="20"/>
        <v>0</v>
      </c>
      <c r="P154" s="20">
        <f>IF(OR($E154&lt;&gt;"CS",$H154&lt;&gt;"x"),0,INDEX($Z$4:$Z$14,MATCH($G154,$X$4:$X164,0),1))*J154*1.1</f>
        <v>0</v>
      </c>
      <c r="Q154" s="26">
        <f>IF($I154&lt;&gt;"x",0,INDEX($Z$27:$Z$37,MATCH($G154,$X$27:$X187,0),1))*J154*1.1</f>
        <v>0</v>
      </c>
      <c r="R154" s="20">
        <f t="shared" si="21"/>
        <v>0</v>
      </c>
      <c r="S154" s="86">
        <f t="shared" si="22"/>
        <v>0</v>
      </c>
    </row>
    <row r="155" spans="2:19">
      <c r="B155" s="14">
        <f t="shared" si="23"/>
        <v>152</v>
      </c>
      <c r="C155" s="37" t="s">
        <v>572</v>
      </c>
      <c r="D155" s="37" t="s">
        <v>573</v>
      </c>
      <c r="E155" s="37" t="s">
        <v>574</v>
      </c>
      <c r="F155" s="38">
        <v>0</v>
      </c>
      <c r="G155" s="37">
        <v>3</v>
      </c>
      <c r="H155" s="37" t="s">
        <v>448</v>
      </c>
      <c r="I155" s="37" t="s">
        <v>448</v>
      </c>
      <c r="J155" s="41">
        <f t="shared" si="17"/>
        <v>0</v>
      </c>
      <c r="K155" s="26">
        <f>IF(OR($E155&lt;&gt;"CS",$H155&lt;&gt;"x"),0,INDEX($Y$4:$Y$14,MATCH($G155,$X$4:$X165,0),1))*J155*1.1</f>
        <v>0</v>
      </c>
      <c r="L155" s="26">
        <f t="shared" si="18"/>
        <v>0</v>
      </c>
      <c r="M155" s="26">
        <f>IF($I155&lt;&gt;"x",0,INDEX($Y$27:$Y$37,MATCH($G155,$X$27:$X188,0),1))*J155*1.1</f>
        <v>0</v>
      </c>
      <c r="N155" s="26">
        <f t="shared" si="19"/>
        <v>0</v>
      </c>
      <c r="O155" s="20">
        <f t="shared" si="20"/>
        <v>0</v>
      </c>
      <c r="P155" s="20">
        <f>IF(OR($E155&lt;&gt;"CS",$H155&lt;&gt;"x"),0,INDEX($Z$4:$Z$14,MATCH($G155,$X$4:$X165,0),1))*J155*1.1</f>
        <v>0</v>
      </c>
      <c r="Q155" s="26">
        <f>IF($I155&lt;&gt;"x",0,INDEX($Z$27:$Z$37,MATCH($G155,$X$27:$X188,0),1))*J155*1.1</f>
        <v>0</v>
      </c>
      <c r="R155" s="20">
        <f t="shared" si="21"/>
        <v>0</v>
      </c>
      <c r="S155" s="86">
        <f t="shared" si="22"/>
        <v>0</v>
      </c>
    </row>
    <row r="156" spans="2:19">
      <c r="B156" s="14">
        <f t="shared" si="23"/>
        <v>153</v>
      </c>
      <c r="C156" s="37" t="s">
        <v>572</v>
      </c>
      <c r="D156" s="37" t="s">
        <v>573</v>
      </c>
      <c r="E156" s="37" t="s">
        <v>574</v>
      </c>
      <c r="F156" s="38">
        <v>0</v>
      </c>
      <c r="G156" s="37">
        <v>3</v>
      </c>
      <c r="H156" s="37" t="s">
        <v>448</v>
      </c>
      <c r="I156" s="37" t="s">
        <v>448</v>
      </c>
      <c r="J156" s="41">
        <f t="shared" si="17"/>
        <v>0</v>
      </c>
      <c r="K156" s="26">
        <f>IF(OR($E156&lt;&gt;"CS",$H156&lt;&gt;"x"),0,INDEX($Y$4:$Y$14,MATCH($G156,$X$4:$X166,0),1))*J156*1.1</f>
        <v>0</v>
      </c>
      <c r="L156" s="26">
        <f t="shared" si="18"/>
        <v>0</v>
      </c>
      <c r="M156" s="26">
        <f>IF($I156&lt;&gt;"x",0,INDEX($Y$27:$Y$37,MATCH($G156,$X$27:$X189,0),1))*J156*1.1</f>
        <v>0</v>
      </c>
      <c r="N156" s="26">
        <f t="shared" si="19"/>
        <v>0</v>
      </c>
      <c r="O156" s="20">
        <f t="shared" si="20"/>
        <v>0</v>
      </c>
      <c r="P156" s="20">
        <f>IF(OR($E156&lt;&gt;"CS",$H156&lt;&gt;"x"),0,INDEX($Z$4:$Z$14,MATCH($G156,$X$4:$X166,0),1))*J156*1.1</f>
        <v>0</v>
      </c>
      <c r="Q156" s="26">
        <f>IF($I156&lt;&gt;"x",0,INDEX($Z$27:$Z$37,MATCH($G156,$X$27:$X189,0),1))*J156*1.1</f>
        <v>0</v>
      </c>
      <c r="R156" s="20">
        <f t="shared" si="21"/>
        <v>0</v>
      </c>
      <c r="S156" s="86">
        <f t="shared" si="22"/>
        <v>0</v>
      </c>
    </row>
    <row r="157" spans="2:19">
      <c r="B157" s="14">
        <f t="shared" si="23"/>
        <v>154</v>
      </c>
      <c r="C157" s="37" t="s">
        <v>572</v>
      </c>
      <c r="D157" s="37" t="s">
        <v>573</v>
      </c>
      <c r="E157" s="37" t="s">
        <v>574</v>
      </c>
      <c r="F157" s="38">
        <v>0</v>
      </c>
      <c r="G157" s="37">
        <v>3</v>
      </c>
      <c r="H157" s="37" t="s">
        <v>448</v>
      </c>
      <c r="I157" s="37" t="s">
        <v>448</v>
      </c>
      <c r="J157" s="41">
        <f t="shared" si="17"/>
        <v>0</v>
      </c>
      <c r="K157" s="26">
        <f>IF(OR($E157&lt;&gt;"CS",$H157&lt;&gt;"x"),0,INDEX($Y$4:$Y$14,MATCH($G157,$X$4:$X167,0),1))*J157*1.1</f>
        <v>0</v>
      </c>
      <c r="L157" s="26">
        <f t="shared" si="18"/>
        <v>0</v>
      </c>
      <c r="M157" s="26">
        <f>IF($I157&lt;&gt;"x",0,INDEX($Y$27:$Y$37,MATCH($G157,$X$27:$X190,0),1))*J157*1.1</f>
        <v>0</v>
      </c>
      <c r="N157" s="26">
        <f t="shared" si="19"/>
        <v>0</v>
      </c>
      <c r="O157" s="20">
        <f t="shared" si="20"/>
        <v>0</v>
      </c>
      <c r="P157" s="20">
        <f>IF(OR($E157&lt;&gt;"CS",$H157&lt;&gt;"x"),0,INDEX($Z$4:$Z$14,MATCH($G157,$X$4:$X167,0),1))*J157*1.1</f>
        <v>0</v>
      </c>
      <c r="Q157" s="26">
        <f>IF($I157&lt;&gt;"x",0,INDEX($Z$27:$Z$37,MATCH($G157,$X$27:$X190,0),1))*J157*1.1</f>
        <v>0</v>
      </c>
      <c r="R157" s="20">
        <f t="shared" si="21"/>
        <v>0</v>
      </c>
      <c r="S157" s="86">
        <f t="shared" si="22"/>
        <v>0</v>
      </c>
    </row>
    <row r="158" spans="2:19">
      <c r="B158" s="14">
        <f t="shared" si="23"/>
        <v>155</v>
      </c>
      <c r="C158" s="37" t="s">
        <v>572</v>
      </c>
      <c r="D158" s="37" t="s">
        <v>573</v>
      </c>
      <c r="E158" s="37" t="s">
        <v>574</v>
      </c>
      <c r="F158" s="38">
        <v>0</v>
      </c>
      <c r="G158" s="37">
        <v>6</v>
      </c>
      <c r="H158" s="37" t="s">
        <v>448</v>
      </c>
      <c r="I158" s="37" t="s">
        <v>448</v>
      </c>
      <c r="J158" s="41">
        <f t="shared" si="17"/>
        <v>0</v>
      </c>
      <c r="K158" s="26">
        <f>IF(OR($E158&lt;&gt;"CS",$H158&lt;&gt;"x"),0,INDEX($Y$4:$Y$14,MATCH($G158,$X$4:$X168,0),1))*J158*1.1</f>
        <v>0</v>
      </c>
      <c r="L158" s="26">
        <f t="shared" si="18"/>
        <v>0</v>
      </c>
      <c r="M158" s="26">
        <f>IF($I158&lt;&gt;"x",0,INDEX($Y$27:$Y$37,MATCH($G158,$X$27:$X191,0),1))*J158*1.1</f>
        <v>0</v>
      </c>
      <c r="N158" s="26">
        <f t="shared" si="19"/>
        <v>0</v>
      </c>
      <c r="O158" s="20">
        <f t="shared" si="20"/>
        <v>0</v>
      </c>
      <c r="P158" s="20">
        <f>IF(OR($E158&lt;&gt;"CS",$H158&lt;&gt;"x"),0,INDEX($Z$4:$Z$14,MATCH($G158,$X$4:$X168,0),1))*J158*1.1</f>
        <v>0</v>
      </c>
      <c r="Q158" s="26">
        <f>IF($I158&lt;&gt;"x",0,INDEX($Z$27:$Z$37,MATCH($G158,$X$27:$X191,0),1))*J158*1.1</f>
        <v>0</v>
      </c>
      <c r="R158" s="20">
        <f t="shared" si="21"/>
        <v>0</v>
      </c>
      <c r="S158" s="86">
        <f t="shared" si="22"/>
        <v>0</v>
      </c>
    </row>
    <row r="159" spans="2:19">
      <c r="B159" s="14">
        <f t="shared" si="23"/>
        <v>156</v>
      </c>
      <c r="C159" s="37" t="s">
        <v>572</v>
      </c>
      <c r="D159" s="37" t="s">
        <v>573</v>
      </c>
      <c r="E159" s="37" t="s">
        <v>574</v>
      </c>
      <c r="F159" s="38">
        <v>0</v>
      </c>
      <c r="G159" s="37">
        <v>6</v>
      </c>
      <c r="H159" s="37" t="s">
        <v>448</v>
      </c>
      <c r="I159" s="37" t="s">
        <v>448</v>
      </c>
      <c r="J159" s="41">
        <f t="shared" si="17"/>
        <v>0</v>
      </c>
      <c r="K159" s="26">
        <f>IF(OR($E159&lt;&gt;"CS",$H159&lt;&gt;"x"),0,INDEX($Y$4:$Y$14,MATCH($G159,$X$4:$X169,0),1))*J159*1.1</f>
        <v>0</v>
      </c>
      <c r="L159" s="26">
        <f t="shared" si="18"/>
        <v>0</v>
      </c>
      <c r="M159" s="26">
        <f>IF($I159&lt;&gt;"x",0,INDEX($Y$27:$Y$37,MATCH($G159,$X$27:$X192,0),1))*J159*1.1</f>
        <v>0</v>
      </c>
      <c r="N159" s="26">
        <f t="shared" si="19"/>
        <v>0</v>
      </c>
      <c r="O159" s="20">
        <f t="shared" si="20"/>
        <v>0</v>
      </c>
      <c r="P159" s="20">
        <f>IF(OR($E159&lt;&gt;"CS",$H159&lt;&gt;"x"),0,INDEX($Z$4:$Z$14,MATCH($G159,$X$4:$X169,0),1))*J159*1.1</f>
        <v>0</v>
      </c>
      <c r="Q159" s="26">
        <f>IF($I159&lt;&gt;"x",0,INDEX($Z$27:$Z$37,MATCH($G159,$X$27:$X192,0),1))*J159*1.1</f>
        <v>0</v>
      </c>
      <c r="R159" s="20">
        <f t="shared" si="21"/>
        <v>0</v>
      </c>
      <c r="S159" s="86">
        <f t="shared" si="22"/>
        <v>0</v>
      </c>
    </row>
    <row r="160" spans="2:19">
      <c r="B160" s="14">
        <f t="shared" si="23"/>
        <v>157</v>
      </c>
      <c r="C160" s="37" t="s">
        <v>572</v>
      </c>
      <c r="D160" s="37" t="s">
        <v>573</v>
      </c>
      <c r="E160" s="37" t="s">
        <v>574</v>
      </c>
      <c r="F160" s="38">
        <v>0</v>
      </c>
      <c r="G160" s="37">
        <v>4</v>
      </c>
      <c r="H160" s="37" t="s">
        <v>448</v>
      </c>
      <c r="I160" s="37" t="s">
        <v>448</v>
      </c>
      <c r="J160" s="41">
        <f t="shared" si="17"/>
        <v>0</v>
      </c>
      <c r="K160" s="26">
        <f>IF(OR($E160&lt;&gt;"CS",$H160&lt;&gt;"x"),0,INDEX($Y$4:$Y$14,MATCH($G160,$X$4:$X170,0),1))*J160*1.1</f>
        <v>0</v>
      </c>
      <c r="L160" s="26">
        <f t="shared" si="18"/>
        <v>0</v>
      </c>
      <c r="M160" s="26">
        <f>IF($I160&lt;&gt;"x",0,INDEX($Y$27:$Y$37,MATCH($G160,$X$27:$X193,0),1))*J160*1.1</f>
        <v>0</v>
      </c>
      <c r="N160" s="26">
        <f t="shared" si="19"/>
        <v>0</v>
      </c>
      <c r="O160" s="20">
        <f t="shared" si="20"/>
        <v>0</v>
      </c>
      <c r="P160" s="20">
        <f>IF(OR($E160&lt;&gt;"CS",$H160&lt;&gt;"x"),0,INDEX($Z$4:$Z$14,MATCH($G160,$X$4:$X170,0),1))*J160*1.1</f>
        <v>0</v>
      </c>
      <c r="Q160" s="26">
        <f>IF($I160&lt;&gt;"x",0,INDEX($Z$27:$Z$37,MATCH($G160,$X$27:$X193,0),1))*J160*1.1</f>
        <v>0</v>
      </c>
      <c r="R160" s="20">
        <f t="shared" si="21"/>
        <v>0</v>
      </c>
      <c r="S160" s="86">
        <f t="shared" si="22"/>
        <v>0</v>
      </c>
    </row>
    <row r="161" spans="2:19">
      <c r="B161" s="14">
        <f t="shared" si="23"/>
        <v>158</v>
      </c>
      <c r="C161" s="37" t="s">
        <v>572</v>
      </c>
      <c r="D161" s="37" t="s">
        <v>573</v>
      </c>
      <c r="E161" s="37" t="s">
        <v>574</v>
      </c>
      <c r="F161" s="38">
        <v>0</v>
      </c>
      <c r="G161" s="37">
        <v>4</v>
      </c>
      <c r="H161" s="37" t="s">
        <v>448</v>
      </c>
      <c r="I161" s="37" t="s">
        <v>448</v>
      </c>
      <c r="J161" s="41">
        <f t="shared" si="17"/>
        <v>0</v>
      </c>
      <c r="K161" s="26">
        <f>IF(OR($E161&lt;&gt;"CS",$H161&lt;&gt;"x"),0,INDEX($Y$4:$Y$14,MATCH($G161,$X$4:$X171,0),1))*J161*1.1</f>
        <v>0</v>
      </c>
      <c r="L161" s="26">
        <f t="shared" si="18"/>
        <v>0</v>
      </c>
      <c r="M161" s="26">
        <f>IF($I161&lt;&gt;"x",0,INDEX($Y$27:$Y$37,MATCH($G161,$X$27:$X194,0),1))*J161*1.1</f>
        <v>0</v>
      </c>
      <c r="N161" s="26">
        <f t="shared" si="19"/>
        <v>0</v>
      </c>
      <c r="O161" s="20">
        <f t="shared" si="20"/>
        <v>0</v>
      </c>
      <c r="P161" s="20">
        <f>IF(OR($E161&lt;&gt;"CS",$H161&lt;&gt;"x"),0,INDEX($Z$4:$Z$14,MATCH($G161,$X$4:$X171,0),1))*J161*1.1</f>
        <v>0</v>
      </c>
      <c r="Q161" s="26">
        <f>IF($I161&lt;&gt;"x",0,INDEX($Z$27:$Z$37,MATCH($G161,$X$27:$X194,0),1))*J161*1.1</f>
        <v>0</v>
      </c>
      <c r="R161" s="20">
        <f t="shared" si="21"/>
        <v>0</v>
      </c>
      <c r="S161" s="86">
        <f t="shared" si="22"/>
        <v>0</v>
      </c>
    </row>
    <row r="162" spans="2:19">
      <c r="B162" s="14">
        <f t="shared" si="23"/>
        <v>159</v>
      </c>
      <c r="C162" s="37" t="s">
        <v>572</v>
      </c>
      <c r="D162" s="37" t="s">
        <v>573</v>
      </c>
      <c r="E162" s="37" t="s">
        <v>574</v>
      </c>
      <c r="F162" s="38">
        <v>0</v>
      </c>
      <c r="G162" s="37">
        <v>2</v>
      </c>
      <c r="H162" s="37" t="s">
        <v>448</v>
      </c>
      <c r="I162" s="37" t="s">
        <v>448</v>
      </c>
      <c r="J162" s="41">
        <f t="shared" si="17"/>
        <v>0</v>
      </c>
      <c r="K162" s="26">
        <f>IF(OR($E162&lt;&gt;"CS",$H162&lt;&gt;"x"),0,INDEX($Y$4:$Y$14,MATCH($G162,$X$4:$X172,0),1))*J162*1.1</f>
        <v>0</v>
      </c>
      <c r="L162" s="26">
        <f t="shared" si="18"/>
        <v>0</v>
      </c>
      <c r="M162" s="26">
        <f>IF($I162&lt;&gt;"x",0,INDEX($Y$27:$Y$37,MATCH($G162,$X$27:$X195,0),1))*J162*1.1</f>
        <v>0</v>
      </c>
      <c r="N162" s="26">
        <f t="shared" si="19"/>
        <v>0</v>
      </c>
      <c r="O162" s="20">
        <f t="shared" si="20"/>
        <v>0</v>
      </c>
      <c r="P162" s="20">
        <f>IF(OR($E162&lt;&gt;"CS",$H162&lt;&gt;"x"),0,INDEX($Z$4:$Z$14,MATCH($G162,$X$4:$X172,0),1))*J162*1.1</f>
        <v>0</v>
      </c>
      <c r="Q162" s="26">
        <f>IF($I162&lt;&gt;"x",0,INDEX($Z$27:$Z$37,MATCH($G162,$X$27:$X195,0),1))*J162*1.1</f>
        <v>0</v>
      </c>
      <c r="R162" s="20">
        <f t="shared" si="21"/>
        <v>0</v>
      </c>
      <c r="S162" s="86">
        <f t="shared" si="22"/>
        <v>0</v>
      </c>
    </row>
    <row r="163" spans="2:19">
      <c r="B163" s="14">
        <f t="shared" si="23"/>
        <v>160</v>
      </c>
      <c r="C163" s="37" t="s">
        <v>572</v>
      </c>
      <c r="D163" s="37" t="s">
        <v>573</v>
      </c>
      <c r="E163" s="37" t="s">
        <v>574</v>
      </c>
      <c r="F163" s="38">
        <v>0</v>
      </c>
      <c r="G163" s="37">
        <v>2</v>
      </c>
      <c r="H163" s="37" t="s">
        <v>448</v>
      </c>
      <c r="I163" s="37" t="s">
        <v>448</v>
      </c>
      <c r="J163" s="41">
        <f t="shared" si="17"/>
        <v>0</v>
      </c>
      <c r="K163" s="26">
        <f>IF(OR($E163&lt;&gt;"CS",$H163&lt;&gt;"x"),0,INDEX($Y$4:$Y$14,MATCH($G163,$X$4:$X173,0),1))*J163*1.1</f>
        <v>0</v>
      </c>
      <c r="L163" s="26">
        <f t="shared" si="18"/>
        <v>0</v>
      </c>
      <c r="M163" s="26">
        <f>IF($I163&lt;&gt;"x",0,INDEX($Y$27:$Y$37,MATCH($G163,$X$27:$X196,0),1))*J163*1.1</f>
        <v>0</v>
      </c>
      <c r="N163" s="26">
        <f t="shared" si="19"/>
        <v>0</v>
      </c>
      <c r="O163" s="20">
        <f t="shared" si="20"/>
        <v>0</v>
      </c>
      <c r="P163" s="20">
        <f>IF(OR($E163&lt;&gt;"CS",$H163&lt;&gt;"x"),0,INDEX($Z$4:$Z$14,MATCH($G163,$X$4:$X173,0),1))*J163*1.1</f>
        <v>0</v>
      </c>
      <c r="Q163" s="26">
        <f>IF($I163&lt;&gt;"x",0,INDEX($Z$27:$Z$37,MATCH($G163,$X$27:$X196,0),1))*J163*1.1</f>
        <v>0</v>
      </c>
      <c r="R163" s="20">
        <f t="shared" si="21"/>
        <v>0</v>
      </c>
      <c r="S163" s="86">
        <f t="shared" si="22"/>
        <v>0</v>
      </c>
    </row>
    <row r="164" spans="2:19">
      <c r="B164" s="14">
        <f t="shared" si="23"/>
        <v>161</v>
      </c>
      <c r="C164" s="37" t="s">
        <v>572</v>
      </c>
      <c r="D164" s="37" t="s">
        <v>573</v>
      </c>
      <c r="E164" s="37" t="s">
        <v>574</v>
      </c>
      <c r="F164" s="38">
        <v>0</v>
      </c>
      <c r="G164" s="37">
        <v>3</v>
      </c>
      <c r="H164" s="37" t="s">
        <v>448</v>
      </c>
      <c r="I164" s="37" t="s">
        <v>448</v>
      </c>
      <c r="J164" s="41">
        <f t="shared" ref="J164:J195" si="24">IF(F164="","",+$I$2*F164)</f>
        <v>0</v>
      </c>
      <c r="K164" s="26">
        <f>IF(OR($E164&lt;&gt;"CS",$H164&lt;&gt;"x"),0,INDEX($Y$4:$Y$14,MATCH($G164,$X$4:$X174,0),1))*J164*1.1</f>
        <v>0</v>
      </c>
      <c r="L164" s="26">
        <f t="shared" si="18"/>
        <v>0</v>
      </c>
      <c r="M164" s="26">
        <f>IF($I164&lt;&gt;"x",0,INDEX($Y$27:$Y$37,MATCH($G164,$X$27:$X197,0),1))*J164*1.1</f>
        <v>0</v>
      </c>
      <c r="N164" s="26">
        <f t="shared" si="19"/>
        <v>0</v>
      </c>
      <c r="O164" s="20">
        <f t="shared" si="20"/>
        <v>0</v>
      </c>
      <c r="P164" s="20">
        <f>IF(OR($E164&lt;&gt;"CS",$H164&lt;&gt;"x"),0,INDEX($Z$4:$Z$14,MATCH($G164,$X$4:$X174,0),1))*J164*1.1</f>
        <v>0</v>
      </c>
      <c r="Q164" s="26">
        <f>IF($I164&lt;&gt;"x",0,INDEX($Z$27:$Z$37,MATCH($G164,$X$27:$X197,0),1))*J164*1.1</f>
        <v>0</v>
      </c>
      <c r="R164" s="20">
        <f t="shared" si="21"/>
        <v>0</v>
      </c>
      <c r="S164" s="86">
        <f t="shared" si="22"/>
        <v>0</v>
      </c>
    </row>
    <row r="165" spans="2:19">
      <c r="B165" s="14">
        <f t="shared" si="23"/>
        <v>162</v>
      </c>
      <c r="C165" s="37" t="s">
        <v>572</v>
      </c>
      <c r="D165" s="37" t="s">
        <v>573</v>
      </c>
      <c r="E165" s="37" t="s">
        <v>574</v>
      </c>
      <c r="F165" s="38">
        <v>0</v>
      </c>
      <c r="G165" s="37">
        <v>3</v>
      </c>
      <c r="H165" s="37" t="s">
        <v>448</v>
      </c>
      <c r="I165" s="37" t="s">
        <v>448</v>
      </c>
      <c r="J165" s="41">
        <f t="shared" si="24"/>
        <v>0</v>
      </c>
      <c r="K165" s="26">
        <f>IF(OR($E165&lt;&gt;"CS",$H165&lt;&gt;"x"),0,INDEX($Y$4:$Y$14,MATCH($G165,$X$4:$X175,0),1))*J165*1.1</f>
        <v>0</v>
      </c>
      <c r="L165" s="26">
        <f t="shared" si="18"/>
        <v>0</v>
      </c>
      <c r="M165" s="26">
        <f>IF($I165&lt;&gt;"x",0,INDEX($Y$27:$Y$37,MATCH($G165,$X$27:$X198,0),1))*J165*1.1</f>
        <v>0</v>
      </c>
      <c r="N165" s="26">
        <f t="shared" si="19"/>
        <v>0</v>
      </c>
      <c r="O165" s="20">
        <f t="shared" si="20"/>
        <v>0</v>
      </c>
      <c r="P165" s="20">
        <f>IF(OR($E165&lt;&gt;"CS",$H165&lt;&gt;"x"),0,INDEX($Z$4:$Z$14,MATCH($G165,$X$4:$X175,0),1))*J165*1.1</f>
        <v>0</v>
      </c>
      <c r="Q165" s="26">
        <f>IF($I165&lt;&gt;"x",0,INDEX($Z$27:$Z$37,MATCH($G165,$X$27:$X198,0),1))*J165*1.1</f>
        <v>0</v>
      </c>
      <c r="R165" s="20">
        <f t="shared" si="21"/>
        <v>0</v>
      </c>
      <c r="S165" s="86">
        <f t="shared" si="22"/>
        <v>0</v>
      </c>
    </row>
    <row r="166" spans="2:19">
      <c r="B166" s="14">
        <f t="shared" si="23"/>
        <v>163</v>
      </c>
      <c r="C166" s="37" t="s">
        <v>572</v>
      </c>
      <c r="D166" s="37" t="s">
        <v>573</v>
      </c>
      <c r="E166" s="37" t="s">
        <v>574</v>
      </c>
      <c r="F166" s="38">
        <v>0</v>
      </c>
      <c r="G166" s="37">
        <v>3</v>
      </c>
      <c r="H166" s="37" t="s">
        <v>448</v>
      </c>
      <c r="I166" s="37" t="s">
        <v>448</v>
      </c>
      <c r="J166" s="41">
        <f t="shared" si="24"/>
        <v>0</v>
      </c>
      <c r="K166" s="26">
        <f>IF(OR($E166&lt;&gt;"CS",$H166&lt;&gt;"x"),0,INDEX($Y$4:$Y$14,MATCH($G166,$X$4:$X176,0),1))*J166*1.1</f>
        <v>0</v>
      </c>
      <c r="L166" s="26">
        <f t="shared" si="18"/>
        <v>0</v>
      </c>
      <c r="M166" s="26">
        <f>IF($I166&lt;&gt;"x",0,INDEX($Y$27:$Y$37,MATCH($G166,$X$27:$X199,0),1))*J166*1.1</f>
        <v>0</v>
      </c>
      <c r="N166" s="26">
        <f t="shared" si="19"/>
        <v>0</v>
      </c>
      <c r="O166" s="20">
        <f t="shared" si="20"/>
        <v>0</v>
      </c>
      <c r="P166" s="20">
        <f>IF(OR($E166&lt;&gt;"CS",$H166&lt;&gt;"x"),0,INDEX($Z$4:$Z$14,MATCH($G166,$X$4:$X176,0),1))*J166*1.1</f>
        <v>0</v>
      </c>
      <c r="Q166" s="26">
        <f>IF($I166&lt;&gt;"x",0,INDEX($Z$27:$Z$37,MATCH($G166,$X$27:$X199,0),1))*J166*1.1</f>
        <v>0</v>
      </c>
      <c r="R166" s="20">
        <f t="shared" si="21"/>
        <v>0</v>
      </c>
      <c r="S166" s="86">
        <f t="shared" si="22"/>
        <v>0</v>
      </c>
    </row>
    <row r="167" spans="2:19">
      <c r="B167" s="14">
        <f t="shared" si="23"/>
        <v>164</v>
      </c>
      <c r="C167" s="37" t="s">
        <v>572</v>
      </c>
      <c r="D167" s="37" t="s">
        <v>573</v>
      </c>
      <c r="E167" s="37" t="s">
        <v>574</v>
      </c>
      <c r="F167" s="38">
        <v>0</v>
      </c>
      <c r="G167" s="37">
        <v>3</v>
      </c>
      <c r="H167" s="37" t="s">
        <v>448</v>
      </c>
      <c r="I167" s="37" t="s">
        <v>448</v>
      </c>
      <c r="J167" s="41">
        <f t="shared" si="24"/>
        <v>0</v>
      </c>
      <c r="K167" s="26">
        <f>IF(OR($E167&lt;&gt;"CS",$H167&lt;&gt;"x"),0,INDEX($Y$4:$Y$14,MATCH($G167,$X$4:$X177,0),1))*J167*1.1</f>
        <v>0</v>
      </c>
      <c r="L167" s="26">
        <f t="shared" si="18"/>
        <v>0</v>
      </c>
      <c r="M167" s="26">
        <f>IF($I167&lt;&gt;"x",0,INDEX($Y$27:$Y$37,MATCH($G167,$X$27:$X200,0),1))*J167*1.1</f>
        <v>0</v>
      </c>
      <c r="N167" s="26">
        <f t="shared" si="19"/>
        <v>0</v>
      </c>
      <c r="O167" s="20">
        <f t="shared" si="20"/>
        <v>0</v>
      </c>
      <c r="P167" s="20">
        <f>IF(OR($E167&lt;&gt;"CS",$H167&lt;&gt;"x"),0,INDEX($Z$4:$Z$14,MATCH($G167,$X$4:$X177,0),1))*J167*1.1</f>
        <v>0</v>
      </c>
      <c r="Q167" s="26">
        <f>IF($I167&lt;&gt;"x",0,INDEX($Z$27:$Z$37,MATCH($G167,$X$27:$X200,0),1))*J167*1.1</f>
        <v>0</v>
      </c>
      <c r="R167" s="20">
        <f t="shared" si="21"/>
        <v>0</v>
      </c>
      <c r="S167" s="86">
        <f t="shared" si="22"/>
        <v>0</v>
      </c>
    </row>
    <row r="168" spans="2:19">
      <c r="B168" s="14">
        <f t="shared" si="23"/>
        <v>165</v>
      </c>
      <c r="C168" s="37" t="s">
        <v>572</v>
      </c>
      <c r="D168" s="37" t="s">
        <v>573</v>
      </c>
      <c r="E168" s="37" t="s">
        <v>574</v>
      </c>
      <c r="F168" s="38">
        <v>0</v>
      </c>
      <c r="G168" s="37">
        <v>12</v>
      </c>
      <c r="H168" s="37" t="s">
        <v>448</v>
      </c>
      <c r="I168" s="37" t="s">
        <v>448</v>
      </c>
      <c r="J168" s="41">
        <f t="shared" si="24"/>
        <v>0</v>
      </c>
      <c r="K168" s="26">
        <f>IF(OR($E168&lt;&gt;"CS",$H168&lt;&gt;"x"),0,INDEX($Y$4:$Y$14,MATCH($G168,$X$4:$X178,0),1))*J168*1.1</f>
        <v>0</v>
      </c>
      <c r="L168" s="26">
        <f t="shared" si="18"/>
        <v>0</v>
      </c>
      <c r="M168" s="26">
        <f>IF($I168&lt;&gt;"x",0,INDEX($Y$27:$Y$37,MATCH($G168,$X$27:$X201,0),1))*J168*1.1</f>
        <v>0</v>
      </c>
      <c r="N168" s="26">
        <f t="shared" si="19"/>
        <v>0</v>
      </c>
      <c r="O168" s="20">
        <f t="shared" si="20"/>
        <v>0</v>
      </c>
      <c r="P168" s="20">
        <f>IF(OR($E168&lt;&gt;"CS",$H168&lt;&gt;"x"),0,INDEX($Z$4:$Z$14,MATCH($G168,$X$4:$X178,0),1))*J168*1.1</f>
        <v>0</v>
      </c>
      <c r="Q168" s="26">
        <f>IF($I168&lt;&gt;"x",0,INDEX($Z$27:$Z$37,MATCH($G168,$X$27:$X201,0),1))*J168*1.1</f>
        <v>0</v>
      </c>
      <c r="R168" s="20">
        <f t="shared" si="21"/>
        <v>0</v>
      </c>
      <c r="S168" s="86">
        <f t="shared" si="22"/>
        <v>0</v>
      </c>
    </row>
    <row r="169" spans="2:19">
      <c r="B169" s="14">
        <f t="shared" si="23"/>
        <v>166</v>
      </c>
      <c r="C169" s="37" t="s">
        <v>572</v>
      </c>
      <c r="D169" s="37" t="s">
        <v>573</v>
      </c>
      <c r="E169" s="37" t="s">
        <v>574</v>
      </c>
      <c r="F169" s="38">
        <v>0</v>
      </c>
      <c r="G169" s="37">
        <v>12</v>
      </c>
      <c r="H169" s="37" t="s">
        <v>448</v>
      </c>
      <c r="I169" s="37" t="s">
        <v>448</v>
      </c>
      <c r="J169" s="41">
        <f t="shared" si="24"/>
        <v>0</v>
      </c>
      <c r="K169" s="26">
        <f>IF(OR($E169&lt;&gt;"CS",$H169&lt;&gt;"x"),0,INDEX($Y$4:$Y$14,MATCH($G169,$X$4:$X179,0),1))*J169*1.1</f>
        <v>0</v>
      </c>
      <c r="L169" s="26">
        <f t="shared" si="18"/>
        <v>0</v>
      </c>
      <c r="M169" s="26">
        <f>IF($I169&lt;&gt;"x",0,INDEX($Y$27:$Y$37,MATCH($G169,$X$27:$X202,0),1))*J169*1.1</f>
        <v>0</v>
      </c>
      <c r="N169" s="26">
        <f t="shared" si="19"/>
        <v>0</v>
      </c>
      <c r="O169" s="20">
        <f t="shared" si="20"/>
        <v>0</v>
      </c>
      <c r="P169" s="20">
        <f>IF(OR($E169&lt;&gt;"CS",$H169&lt;&gt;"x"),0,INDEX($Z$4:$Z$14,MATCH($G169,$X$4:$X179,0),1))*J169*1.1</f>
        <v>0</v>
      </c>
      <c r="Q169" s="26">
        <f>IF($I169&lt;&gt;"x",0,INDEX($Z$27:$Z$37,MATCH($G169,$X$27:$X202,0),1))*J169*1.1</f>
        <v>0</v>
      </c>
      <c r="R169" s="20">
        <f t="shared" si="21"/>
        <v>0</v>
      </c>
      <c r="S169" s="86">
        <f t="shared" si="22"/>
        <v>0</v>
      </c>
    </row>
    <row r="170" spans="2:19">
      <c r="B170" s="14">
        <f t="shared" si="23"/>
        <v>167</v>
      </c>
      <c r="C170" s="37" t="s">
        <v>572</v>
      </c>
      <c r="D170" s="37" t="s">
        <v>573</v>
      </c>
      <c r="E170" s="37" t="s">
        <v>574</v>
      </c>
      <c r="F170" s="38">
        <v>0</v>
      </c>
      <c r="G170" s="37">
        <v>12</v>
      </c>
      <c r="H170" s="37" t="s">
        <v>448</v>
      </c>
      <c r="I170" s="37" t="s">
        <v>448</v>
      </c>
      <c r="J170" s="41">
        <f t="shared" si="24"/>
        <v>0</v>
      </c>
      <c r="K170" s="26">
        <f>IF(OR($E170&lt;&gt;"CS",$H170&lt;&gt;"x"),0,INDEX($Y$4:$Y$14,MATCH($G170,$X$4:$X180,0),1))*J170*1.1</f>
        <v>0</v>
      </c>
      <c r="L170" s="26">
        <f t="shared" si="18"/>
        <v>0</v>
      </c>
      <c r="M170" s="26">
        <f>IF($I170&lt;&gt;"x",0,INDEX($Y$27:$Y$37,MATCH($G170,$X$27:$X203,0),1))*J170*1.1</f>
        <v>0</v>
      </c>
      <c r="N170" s="26">
        <f t="shared" si="19"/>
        <v>0</v>
      </c>
      <c r="O170" s="20">
        <f t="shared" si="20"/>
        <v>0</v>
      </c>
      <c r="P170" s="20">
        <f>IF(OR($E170&lt;&gt;"CS",$H170&lt;&gt;"x"),0,INDEX($Z$4:$Z$14,MATCH($G170,$X$4:$X180,0),1))*J170*1.1</f>
        <v>0</v>
      </c>
      <c r="Q170" s="26">
        <f>IF($I170&lt;&gt;"x",0,INDEX($Z$27:$Z$37,MATCH($G170,$X$27:$X203,0),1))*J170*1.1</f>
        <v>0</v>
      </c>
      <c r="R170" s="20">
        <f t="shared" si="21"/>
        <v>0</v>
      </c>
      <c r="S170" s="86">
        <f t="shared" si="22"/>
        <v>0</v>
      </c>
    </row>
    <row r="171" spans="2:19">
      <c r="B171" s="14">
        <f t="shared" si="23"/>
        <v>168</v>
      </c>
      <c r="C171" s="37" t="s">
        <v>572</v>
      </c>
      <c r="D171" s="37" t="s">
        <v>573</v>
      </c>
      <c r="E171" s="37" t="s">
        <v>574</v>
      </c>
      <c r="F171" s="38">
        <v>0</v>
      </c>
      <c r="G171" s="37">
        <v>12</v>
      </c>
      <c r="H171" s="37" t="s">
        <v>448</v>
      </c>
      <c r="I171" s="37" t="s">
        <v>448</v>
      </c>
      <c r="J171" s="41">
        <f t="shared" si="24"/>
        <v>0</v>
      </c>
      <c r="K171" s="26">
        <f>IF(OR($E171&lt;&gt;"CS",$H171&lt;&gt;"x"),0,INDEX($Y$4:$Y$14,MATCH($G171,$X$4:$X181,0),1))*J171*1.1</f>
        <v>0</v>
      </c>
      <c r="L171" s="26">
        <f t="shared" si="18"/>
        <v>0</v>
      </c>
      <c r="M171" s="26">
        <f>IF($I171&lt;&gt;"x",0,INDEX($Y$27:$Y$37,MATCH($G171,$X$27:$X204,0),1))*J171*1.1</f>
        <v>0</v>
      </c>
      <c r="N171" s="26">
        <f t="shared" si="19"/>
        <v>0</v>
      </c>
      <c r="O171" s="20">
        <f t="shared" si="20"/>
        <v>0</v>
      </c>
      <c r="P171" s="20">
        <f>IF(OR($E171&lt;&gt;"CS",$H171&lt;&gt;"x"),0,INDEX($Z$4:$Z$14,MATCH($G171,$X$4:$X181,0),1))*J171*1.1</f>
        <v>0</v>
      </c>
      <c r="Q171" s="26">
        <f>IF($I171&lt;&gt;"x",0,INDEX($Z$27:$Z$37,MATCH($G171,$X$27:$X204,0),1))*J171*1.1</f>
        <v>0</v>
      </c>
      <c r="R171" s="20">
        <f t="shared" si="21"/>
        <v>0</v>
      </c>
      <c r="S171" s="86">
        <f t="shared" si="22"/>
        <v>0</v>
      </c>
    </row>
    <row r="172" spans="2:19">
      <c r="B172" s="14">
        <f t="shared" si="23"/>
        <v>169</v>
      </c>
      <c r="C172" s="37" t="s">
        <v>572</v>
      </c>
      <c r="D172" s="37" t="s">
        <v>573</v>
      </c>
      <c r="E172" s="37" t="s">
        <v>574</v>
      </c>
      <c r="F172" s="38">
        <v>0</v>
      </c>
      <c r="G172" s="37">
        <v>12</v>
      </c>
      <c r="H172" s="37" t="s">
        <v>448</v>
      </c>
      <c r="I172" s="37" t="s">
        <v>448</v>
      </c>
      <c r="J172" s="41">
        <f t="shared" si="24"/>
        <v>0</v>
      </c>
      <c r="K172" s="26">
        <f>IF(OR($E172&lt;&gt;"CS",$H172&lt;&gt;"x"),0,INDEX($Y$4:$Y$14,MATCH($G172,$X$4:$X182,0),1))*J172*1.1</f>
        <v>0</v>
      </c>
      <c r="L172" s="26">
        <f t="shared" si="18"/>
        <v>0</v>
      </c>
      <c r="M172" s="26">
        <f>IF($I172&lt;&gt;"x",0,INDEX($Y$27:$Y$37,MATCH($G172,$X$27:$X205,0),1))*J172*1.1</f>
        <v>0</v>
      </c>
      <c r="N172" s="26">
        <f t="shared" si="19"/>
        <v>0</v>
      </c>
      <c r="O172" s="20">
        <f t="shared" si="20"/>
        <v>0</v>
      </c>
      <c r="P172" s="20">
        <f>IF(OR($E172&lt;&gt;"CS",$H172&lt;&gt;"x"),0,INDEX($Z$4:$Z$14,MATCH($G172,$X$4:$X182,0),1))*J172*1.1</f>
        <v>0</v>
      </c>
      <c r="Q172" s="26">
        <f>IF($I172&lt;&gt;"x",0,INDEX($Z$27:$Z$37,MATCH($G172,$X$27:$X205,0),1))*J172*1.1</f>
        <v>0</v>
      </c>
      <c r="R172" s="20">
        <f t="shared" si="21"/>
        <v>0</v>
      </c>
      <c r="S172" s="86">
        <f t="shared" si="22"/>
        <v>0</v>
      </c>
    </row>
    <row r="173" spans="2:19">
      <c r="B173" s="14">
        <f t="shared" si="23"/>
        <v>170</v>
      </c>
      <c r="C173" s="37" t="s">
        <v>572</v>
      </c>
      <c r="D173" s="37" t="s">
        <v>573</v>
      </c>
      <c r="E173" s="37" t="s">
        <v>574</v>
      </c>
      <c r="F173" s="38">
        <v>0</v>
      </c>
      <c r="G173" s="37">
        <v>12</v>
      </c>
      <c r="H173" s="37" t="s">
        <v>448</v>
      </c>
      <c r="I173" s="37" t="s">
        <v>448</v>
      </c>
      <c r="J173" s="41">
        <f t="shared" si="24"/>
        <v>0</v>
      </c>
      <c r="K173" s="26">
        <f>IF(OR($E173&lt;&gt;"CS",$H173&lt;&gt;"x"),0,INDEX($Y$4:$Y$14,MATCH($G173,$X$4:$X183,0),1))*J173*1.1</f>
        <v>0</v>
      </c>
      <c r="L173" s="26">
        <f t="shared" si="18"/>
        <v>0</v>
      </c>
      <c r="M173" s="26">
        <f>IF($I173&lt;&gt;"x",0,INDEX($Y$27:$Y$37,MATCH($G173,$X$27:$X206,0),1))*J173*1.1</f>
        <v>0</v>
      </c>
      <c r="N173" s="26">
        <f t="shared" si="19"/>
        <v>0</v>
      </c>
      <c r="O173" s="20">
        <f t="shared" si="20"/>
        <v>0</v>
      </c>
      <c r="P173" s="20">
        <f>IF(OR($E173&lt;&gt;"CS",$H173&lt;&gt;"x"),0,INDEX($Z$4:$Z$14,MATCH($G173,$X$4:$X183,0),1))*J173*1.1</f>
        <v>0</v>
      </c>
      <c r="Q173" s="26">
        <f>IF($I173&lt;&gt;"x",0,INDEX($Z$27:$Z$37,MATCH($G173,$X$27:$X206,0),1))*J173*1.1</f>
        <v>0</v>
      </c>
      <c r="R173" s="20">
        <f t="shared" si="21"/>
        <v>0</v>
      </c>
      <c r="S173" s="86">
        <f t="shared" si="22"/>
        <v>0</v>
      </c>
    </row>
    <row r="174" spans="2:19">
      <c r="B174" s="14">
        <f t="shared" si="23"/>
        <v>171</v>
      </c>
      <c r="C174" s="37" t="s">
        <v>572</v>
      </c>
      <c r="D174" s="37" t="s">
        <v>573</v>
      </c>
      <c r="E174" s="37" t="s">
        <v>574</v>
      </c>
      <c r="F174" s="38">
        <v>0</v>
      </c>
      <c r="G174" s="37">
        <v>3</v>
      </c>
      <c r="H174" s="37" t="s">
        <v>448</v>
      </c>
      <c r="I174" s="37" t="s">
        <v>448</v>
      </c>
      <c r="J174" s="41">
        <f t="shared" si="24"/>
        <v>0</v>
      </c>
      <c r="K174" s="26">
        <f>IF(OR($E174&lt;&gt;"CS",$H174&lt;&gt;"x"),0,INDEX($Y$4:$Y$14,MATCH($G174,$X$4:$X184,0),1))*J174*1.1</f>
        <v>0</v>
      </c>
      <c r="L174" s="26">
        <f t="shared" si="18"/>
        <v>0</v>
      </c>
      <c r="M174" s="26">
        <f>IF($I174&lt;&gt;"x",0,INDEX($Y$27:$Y$37,MATCH($G174,$X$27:$X207,0),1))*J174*1.1</f>
        <v>0</v>
      </c>
      <c r="N174" s="26">
        <f t="shared" si="19"/>
        <v>0</v>
      </c>
      <c r="O174" s="20">
        <f t="shared" si="20"/>
        <v>0</v>
      </c>
      <c r="P174" s="20">
        <f>IF(OR($E174&lt;&gt;"CS",$H174&lt;&gt;"x"),0,INDEX($Z$4:$Z$14,MATCH($G174,$X$4:$X184,0),1))*J174*1.1</f>
        <v>0</v>
      </c>
      <c r="Q174" s="26">
        <f>IF($I174&lt;&gt;"x",0,INDEX($Z$27:$Z$37,MATCH($G174,$X$27:$X207,0),1))*J174*1.1</f>
        <v>0</v>
      </c>
      <c r="R174" s="20">
        <f t="shared" si="21"/>
        <v>0</v>
      </c>
      <c r="S174" s="86">
        <f t="shared" si="22"/>
        <v>0</v>
      </c>
    </row>
    <row r="175" spans="2:19">
      <c r="B175" s="14">
        <f t="shared" si="23"/>
        <v>172</v>
      </c>
      <c r="C175" s="37" t="s">
        <v>572</v>
      </c>
      <c r="D175" s="37" t="s">
        <v>573</v>
      </c>
      <c r="E175" s="37" t="s">
        <v>574</v>
      </c>
      <c r="F175" s="38">
        <v>0</v>
      </c>
      <c r="G175" s="37">
        <v>3</v>
      </c>
      <c r="H175" s="37" t="s">
        <v>448</v>
      </c>
      <c r="I175" s="37" t="s">
        <v>448</v>
      </c>
      <c r="J175" s="41">
        <f t="shared" si="24"/>
        <v>0</v>
      </c>
      <c r="K175" s="26">
        <f>IF(OR($E175&lt;&gt;"CS",$H175&lt;&gt;"x"),0,INDEX($Y$4:$Y$14,MATCH($G175,$X$4:$X185,0),1))*J175*1.1</f>
        <v>0</v>
      </c>
      <c r="L175" s="26">
        <f t="shared" si="18"/>
        <v>0</v>
      </c>
      <c r="M175" s="26">
        <f>IF($I175&lt;&gt;"x",0,INDEX($Y$27:$Y$37,MATCH($G175,$X$27:$X208,0),1))*J175*1.1</f>
        <v>0</v>
      </c>
      <c r="N175" s="26">
        <f t="shared" si="19"/>
        <v>0</v>
      </c>
      <c r="O175" s="20">
        <f t="shared" si="20"/>
        <v>0</v>
      </c>
      <c r="P175" s="20">
        <f>IF(OR($E175&lt;&gt;"CS",$H175&lt;&gt;"x"),0,INDEX($Z$4:$Z$14,MATCH($G175,$X$4:$X185,0),1))*J175*1.1</f>
        <v>0</v>
      </c>
      <c r="Q175" s="26">
        <f>IF($I175&lt;&gt;"x",0,INDEX($Z$27:$Z$37,MATCH($G175,$X$27:$X208,0),1))*J175*1.1</f>
        <v>0</v>
      </c>
      <c r="R175" s="20">
        <f t="shared" si="21"/>
        <v>0</v>
      </c>
      <c r="S175" s="86">
        <f t="shared" si="22"/>
        <v>0</v>
      </c>
    </row>
    <row r="176" spans="2:19">
      <c r="B176" s="14">
        <f t="shared" si="23"/>
        <v>173</v>
      </c>
      <c r="C176" s="37" t="s">
        <v>572</v>
      </c>
      <c r="D176" s="37" t="s">
        <v>573</v>
      </c>
      <c r="E176" s="37" t="s">
        <v>574</v>
      </c>
      <c r="F176" s="38">
        <v>0</v>
      </c>
      <c r="G176" s="37">
        <v>1</v>
      </c>
      <c r="H176" s="37" t="s">
        <v>448</v>
      </c>
      <c r="I176" s="37" t="s">
        <v>448</v>
      </c>
      <c r="J176" s="41">
        <f t="shared" si="24"/>
        <v>0</v>
      </c>
      <c r="K176" s="26">
        <f>IF(OR($E176&lt;&gt;"CS",$H176&lt;&gt;"x"),0,INDEX($Y$4:$Y$14,MATCH($G176,$X$4:$X186,0),1))*J176*1.1</f>
        <v>0</v>
      </c>
      <c r="L176" s="26">
        <f t="shared" si="18"/>
        <v>0</v>
      </c>
      <c r="M176" s="26">
        <f>IF($I176&lt;&gt;"x",0,INDEX($Y$27:$Y$37,MATCH($G176,$X$27:$X209,0),1))*J176*1.1</f>
        <v>0</v>
      </c>
      <c r="N176" s="26">
        <f t="shared" si="19"/>
        <v>0</v>
      </c>
      <c r="O176" s="20">
        <f t="shared" si="20"/>
        <v>0</v>
      </c>
      <c r="P176" s="20">
        <f>IF(OR($E176&lt;&gt;"CS",$H176&lt;&gt;"x"),0,INDEX($Z$4:$Z$14,MATCH($G176,$X$4:$X186,0),1))*J176*1.1</f>
        <v>0</v>
      </c>
      <c r="Q176" s="26">
        <f>IF($I176&lt;&gt;"x",0,INDEX($Z$27:$Z$37,MATCH($G176,$X$27:$X209,0),1))*J176*1.1</f>
        <v>0</v>
      </c>
      <c r="R176" s="20">
        <f t="shared" si="21"/>
        <v>0</v>
      </c>
      <c r="S176" s="86">
        <f t="shared" si="22"/>
        <v>0</v>
      </c>
    </row>
    <row r="177" spans="2:19">
      <c r="B177" s="14">
        <f t="shared" si="23"/>
        <v>174</v>
      </c>
      <c r="C177" s="37" t="s">
        <v>572</v>
      </c>
      <c r="D177" s="37" t="s">
        <v>573</v>
      </c>
      <c r="E177" s="37" t="s">
        <v>574</v>
      </c>
      <c r="F177" s="38">
        <v>0</v>
      </c>
      <c r="G177" s="37">
        <v>1</v>
      </c>
      <c r="H177" s="37" t="s">
        <v>448</v>
      </c>
      <c r="I177" s="37" t="s">
        <v>448</v>
      </c>
      <c r="J177" s="41">
        <f t="shared" si="24"/>
        <v>0</v>
      </c>
      <c r="K177" s="26">
        <f>IF(OR($E177&lt;&gt;"CS",$H177&lt;&gt;"x"),0,INDEX($Y$4:$Y$14,MATCH($G177,$X$4:$X187,0),1))*J177*1.1</f>
        <v>0</v>
      </c>
      <c r="L177" s="26">
        <f t="shared" si="18"/>
        <v>0</v>
      </c>
      <c r="M177" s="26">
        <f>IF($I177&lt;&gt;"x",0,INDEX($Y$27:$Y$37,MATCH($G177,$X$27:$X210,0),1))*J177*1.1</f>
        <v>0</v>
      </c>
      <c r="N177" s="26">
        <f t="shared" si="19"/>
        <v>0</v>
      </c>
      <c r="O177" s="20">
        <f t="shared" si="20"/>
        <v>0</v>
      </c>
      <c r="P177" s="20">
        <f>IF(OR($E177&lt;&gt;"CS",$H177&lt;&gt;"x"),0,INDEX($Z$4:$Z$14,MATCH($G177,$X$4:$X187,0),1))*J177*1.1</f>
        <v>0</v>
      </c>
      <c r="Q177" s="26">
        <f>IF($I177&lt;&gt;"x",0,INDEX($Z$27:$Z$37,MATCH($G177,$X$27:$X210,0),1))*J177*1.1</f>
        <v>0</v>
      </c>
      <c r="R177" s="20">
        <f t="shared" si="21"/>
        <v>0</v>
      </c>
      <c r="S177" s="86">
        <f t="shared" si="22"/>
        <v>0</v>
      </c>
    </row>
    <row r="178" spans="2:19">
      <c r="B178" s="14">
        <f t="shared" si="23"/>
        <v>175</v>
      </c>
      <c r="C178" s="37" t="s">
        <v>572</v>
      </c>
      <c r="D178" s="37" t="s">
        <v>573</v>
      </c>
      <c r="E178" s="37" t="s">
        <v>574</v>
      </c>
      <c r="F178" s="38">
        <v>0</v>
      </c>
      <c r="G178" s="37">
        <v>1.25</v>
      </c>
      <c r="H178" s="37" t="s">
        <v>448</v>
      </c>
      <c r="I178" s="37" t="s">
        <v>448</v>
      </c>
      <c r="J178" s="41">
        <f t="shared" si="24"/>
        <v>0</v>
      </c>
      <c r="K178" s="26">
        <f>IF(OR($E178&lt;&gt;"CS",$H178&lt;&gt;"x"),0,INDEX($Y$4:$Y$14,MATCH($G178,$X$4:$X188,0),1))*J178*1.1</f>
        <v>0</v>
      </c>
      <c r="L178" s="26">
        <f t="shared" si="18"/>
        <v>0</v>
      </c>
      <c r="M178" s="26">
        <f>IF($I178&lt;&gt;"x",0,INDEX($Y$27:$Y$37,MATCH($G178,$X$27:$X211,0),1))*J178*1.1</f>
        <v>0</v>
      </c>
      <c r="N178" s="26">
        <f t="shared" si="19"/>
        <v>0</v>
      </c>
      <c r="O178" s="20">
        <f t="shared" si="20"/>
        <v>0</v>
      </c>
      <c r="P178" s="20">
        <f>IF(OR($E178&lt;&gt;"CS",$H178&lt;&gt;"x"),0,INDEX($Z$4:$Z$14,MATCH($G178,$X$4:$X188,0),1))*J178*1.1</f>
        <v>0</v>
      </c>
      <c r="Q178" s="26">
        <f>IF($I178&lt;&gt;"x",0,INDEX($Z$27:$Z$37,MATCH($G178,$X$27:$X211,0),1))*J178*1.1</f>
        <v>0</v>
      </c>
      <c r="R178" s="20">
        <f t="shared" si="21"/>
        <v>0</v>
      </c>
      <c r="S178" s="86">
        <f t="shared" si="22"/>
        <v>0</v>
      </c>
    </row>
    <row r="179" spans="2:19">
      <c r="B179" s="14">
        <f t="shared" si="23"/>
        <v>176</v>
      </c>
      <c r="C179" s="37" t="s">
        <v>572</v>
      </c>
      <c r="D179" s="37" t="s">
        <v>573</v>
      </c>
      <c r="E179" s="37" t="s">
        <v>574</v>
      </c>
      <c r="F179" s="38">
        <v>0</v>
      </c>
      <c r="G179" s="37">
        <v>1.25</v>
      </c>
      <c r="H179" s="37" t="s">
        <v>448</v>
      </c>
      <c r="I179" s="37" t="s">
        <v>448</v>
      </c>
      <c r="J179" s="41">
        <f t="shared" si="24"/>
        <v>0</v>
      </c>
      <c r="K179" s="26">
        <f>IF(OR($E179&lt;&gt;"CS",$H179&lt;&gt;"x"),0,INDEX($Y$4:$Y$14,MATCH($G179,$X$4:$X189,0),1))*J179*1.1</f>
        <v>0</v>
      </c>
      <c r="L179" s="26">
        <f t="shared" si="18"/>
        <v>0</v>
      </c>
      <c r="M179" s="26">
        <f>IF($I179&lt;&gt;"x",0,INDEX($Y$27:$Y$37,MATCH($G179,$X$27:$X212,0),1))*J179*1.1</f>
        <v>0</v>
      </c>
      <c r="N179" s="26">
        <f t="shared" si="19"/>
        <v>0</v>
      </c>
      <c r="O179" s="20">
        <f t="shared" si="20"/>
        <v>0</v>
      </c>
      <c r="P179" s="20">
        <f>IF(OR($E179&lt;&gt;"CS",$H179&lt;&gt;"x"),0,INDEX($Z$4:$Z$14,MATCH($G179,$X$4:$X189,0),1))*J179*1.1</f>
        <v>0</v>
      </c>
      <c r="Q179" s="26">
        <f>IF($I179&lt;&gt;"x",0,INDEX($Z$27:$Z$37,MATCH($G179,$X$27:$X212,0),1))*J179*1.1</f>
        <v>0</v>
      </c>
      <c r="R179" s="20">
        <f t="shared" si="21"/>
        <v>0</v>
      </c>
      <c r="S179" s="86">
        <f t="shared" si="22"/>
        <v>0</v>
      </c>
    </row>
    <row r="180" spans="2:19">
      <c r="B180" s="14">
        <f t="shared" si="23"/>
        <v>177</v>
      </c>
      <c r="C180" s="37" t="s">
        <v>572</v>
      </c>
      <c r="D180" s="37" t="s">
        <v>573</v>
      </c>
      <c r="E180" s="37" t="s">
        <v>574</v>
      </c>
      <c r="F180" s="38">
        <v>0</v>
      </c>
      <c r="G180" s="37">
        <v>4</v>
      </c>
      <c r="H180" s="37" t="s">
        <v>448</v>
      </c>
      <c r="I180" s="37" t="s">
        <v>448</v>
      </c>
      <c r="J180" s="41">
        <f t="shared" si="24"/>
        <v>0</v>
      </c>
      <c r="K180" s="26">
        <f>IF(OR($E180&lt;&gt;"CS",$H180&lt;&gt;"x"),0,INDEX($Y$4:$Y$14,MATCH($G180,$X$4:$X190,0),1))*J180*1.1</f>
        <v>0</v>
      </c>
      <c r="L180" s="26">
        <f t="shared" si="18"/>
        <v>0</v>
      </c>
      <c r="M180" s="26">
        <f>IF($I180&lt;&gt;"x",0,INDEX($Y$27:$Y$37,MATCH($G180,$X$27:$X213,0),1))*J180*1.1</f>
        <v>0</v>
      </c>
      <c r="N180" s="26">
        <f t="shared" si="19"/>
        <v>0</v>
      </c>
      <c r="O180" s="20">
        <f t="shared" si="20"/>
        <v>0</v>
      </c>
      <c r="P180" s="20">
        <f>IF(OR($E180&lt;&gt;"CS",$H180&lt;&gt;"x"),0,INDEX($Z$4:$Z$14,MATCH($G180,$X$4:$X190,0),1))*J180*1.1</f>
        <v>0</v>
      </c>
      <c r="Q180" s="26">
        <f>IF($I180&lt;&gt;"x",0,INDEX($Z$27:$Z$37,MATCH($G180,$X$27:$X213,0),1))*J180*1.1</f>
        <v>0</v>
      </c>
      <c r="R180" s="20">
        <f t="shared" si="21"/>
        <v>0</v>
      </c>
      <c r="S180" s="86">
        <f t="shared" si="22"/>
        <v>0</v>
      </c>
    </row>
    <row r="181" spans="2:19">
      <c r="B181" s="14">
        <f t="shared" si="23"/>
        <v>178</v>
      </c>
      <c r="C181" s="37" t="s">
        <v>572</v>
      </c>
      <c r="D181" s="37" t="s">
        <v>573</v>
      </c>
      <c r="E181" s="37" t="s">
        <v>574</v>
      </c>
      <c r="F181" s="38">
        <v>0</v>
      </c>
      <c r="G181" s="37">
        <v>4</v>
      </c>
      <c r="H181" s="37" t="s">
        <v>448</v>
      </c>
      <c r="I181" s="37" t="s">
        <v>448</v>
      </c>
      <c r="J181" s="41">
        <f t="shared" si="24"/>
        <v>0</v>
      </c>
      <c r="K181" s="26">
        <f>IF(OR($E181&lt;&gt;"CS",$H181&lt;&gt;"x"),0,INDEX($Y$4:$Y$14,MATCH($G181,$X$4:$X191,0),1))*J181*1.1</f>
        <v>0</v>
      </c>
      <c r="L181" s="26">
        <f t="shared" si="18"/>
        <v>0</v>
      </c>
      <c r="M181" s="26">
        <f>IF($I181&lt;&gt;"x",0,INDEX($Y$27:$Y$37,MATCH($G181,$X$27:$X214,0),1))*J181*1.1</f>
        <v>0</v>
      </c>
      <c r="N181" s="26">
        <f t="shared" si="19"/>
        <v>0</v>
      </c>
      <c r="O181" s="20">
        <f t="shared" si="20"/>
        <v>0</v>
      </c>
      <c r="P181" s="20">
        <f>IF(OR($E181&lt;&gt;"CS",$H181&lt;&gt;"x"),0,INDEX($Z$4:$Z$14,MATCH($G181,$X$4:$X191,0),1))*J181*1.1</f>
        <v>0</v>
      </c>
      <c r="Q181" s="26">
        <f>IF($I181&lt;&gt;"x",0,INDEX($Z$27:$Z$37,MATCH($G181,$X$27:$X214,0),1))*J181*1.1</f>
        <v>0</v>
      </c>
      <c r="R181" s="20">
        <f t="shared" si="21"/>
        <v>0</v>
      </c>
      <c r="S181" s="86">
        <f t="shared" si="22"/>
        <v>0</v>
      </c>
    </row>
    <row r="182" spans="2:19">
      <c r="B182" s="14">
        <f t="shared" si="23"/>
        <v>179</v>
      </c>
      <c r="C182" s="37" t="s">
        <v>572</v>
      </c>
      <c r="D182" s="37" t="s">
        <v>573</v>
      </c>
      <c r="E182" s="37" t="s">
        <v>574</v>
      </c>
      <c r="F182" s="38">
        <v>0</v>
      </c>
      <c r="G182" s="37">
        <v>2</v>
      </c>
      <c r="H182" s="37" t="s">
        <v>448</v>
      </c>
      <c r="I182" s="37" t="s">
        <v>448</v>
      </c>
      <c r="J182" s="41">
        <f t="shared" si="24"/>
        <v>0</v>
      </c>
      <c r="K182" s="26">
        <f>IF(OR($E182&lt;&gt;"CS",$H182&lt;&gt;"x"),0,INDEX($Y$4:$Y$14,MATCH($G182,$X$4:$X192,0),1))*J182*1.1</f>
        <v>0</v>
      </c>
      <c r="L182" s="26">
        <f t="shared" si="18"/>
        <v>0</v>
      </c>
      <c r="M182" s="26">
        <f>IF($I182&lt;&gt;"x",0,INDEX($Y$27:$Y$37,MATCH($G182,$X$27:$X215,0),1))*J182*1.1</f>
        <v>0</v>
      </c>
      <c r="N182" s="26">
        <f t="shared" si="19"/>
        <v>0</v>
      </c>
      <c r="O182" s="20">
        <f t="shared" si="20"/>
        <v>0</v>
      </c>
      <c r="P182" s="20">
        <f>IF(OR($E182&lt;&gt;"CS",$H182&lt;&gt;"x"),0,INDEX($Z$4:$Z$14,MATCH($G182,$X$4:$X192,0),1))*J182*1.1</f>
        <v>0</v>
      </c>
      <c r="Q182" s="26">
        <f>IF($I182&lt;&gt;"x",0,INDEX($Z$27:$Z$37,MATCH($G182,$X$27:$X215,0),1))*J182*1.1</f>
        <v>0</v>
      </c>
      <c r="R182" s="20">
        <f t="shared" si="21"/>
        <v>0</v>
      </c>
      <c r="S182" s="86">
        <f t="shared" si="22"/>
        <v>0</v>
      </c>
    </row>
    <row r="183" spans="2:19">
      <c r="B183" s="14">
        <f t="shared" si="23"/>
        <v>180</v>
      </c>
      <c r="C183" s="37" t="s">
        <v>572</v>
      </c>
      <c r="D183" s="37" t="s">
        <v>573</v>
      </c>
      <c r="E183" s="37" t="s">
        <v>574</v>
      </c>
      <c r="F183" s="38">
        <v>0</v>
      </c>
      <c r="G183" s="37">
        <v>2</v>
      </c>
      <c r="H183" s="37" t="s">
        <v>448</v>
      </c>
      <c r="I183" s="37" t="s">
        <v>448</v>
      </c>
      <c r="J183" s="41">
        <f t="shared" si="24"/>
        <v>0</v>
      </c>
      <c r="K183" s="26">
        <f>IF(OR($E183&lt;&gt;"CS",$H183&lt;&gt;"x"),0,INDEX($Y$4:$Y$14,MATCH($G183,$X$4:$X193,0),1))*J183*1.1</f>
        <v>0</v>
      </c>
      <c r="L183" s="26">
        <f t="shared" si="18"/>
        <v>0</v>
      </c>
      <c r="M183" s="26">
        <f>IF($I183&lt;&gt;"x",0,INDEX($Y$27:$Y$37,MATCH($G183,$X$27:$X216,0),1))*J183*1.1</f>
        <v>0</v>
      </c>
      <c r="N183" s="26">
        <f t="shared" si="19"/>
        <v>0</v>
      </c>
      <c r="O183" s="20">
        <f t="shared" si="20"/>
        <v>0</v>
      </c>
      <c r="P183" s="20">
        <f>IF(OR($E183&lt;&gt;"CS",$H183&lt;&gt;"x"),0,INDEX($Z$4:$Z$14,MATCH($G183,$X$4:$X193,0),1))*J183*1.1</f>
        <v>0</v>
      </c>
      <c r="Q183" s="26">
        <f>IF($I183&lt;&gt;"x",0,INDEX($Z$27:$Z$37,MATCH($G183,$X$27:$X216,0),1))*J183*1.1</f>
        <v>0</v>
      </c>
      <c r="R183" s="20">
        <f t="shared" si="21"/>
        <v>0</v>
      </c>
      <c r="S183" s="86">
        <f t="shared" si="22"/>
        <v>0</v>
      </c>
    </row>
    <row r="184" spans="2:19">
      <c r="B184" s="14">
        <f t="shared" si="23"/>
        <v>181</v>
      </c>
      <c r="C184" s="37" t="s">
        <v>572</v>
      </c>
      <c r="D184" s="37" t="s">
        <v>573</v>
      </c>
      <c r="E184" s="37" t="s">
        <v>574</v>
      </c>
      <c r="F184" s="38">
        <v>0</v>
      </c>
      <c r="G184" s="37">
        <v>4</v>
      </c>
      <c r="H184" s="37" t="s">
        <v>448</v>
      </c>
      <c r="I184" s="37" t="s">
        <v>448</v>
      </c>
      <c r="J184" s="41">
        <f t="shared" si="24"/>
        <v>0</v>
      </c>
      <c r="K184" s="26">
        <f>IF(OR($E184&lt;&gt;"CS",$H184&lt;&gt;"x"),0,INDEX($Y$4:$Y$14,MATCH($G184,$X$4:$X194,0),1))*J184*1.1</f>
        <v>0</v>
      </c>
      <c r="L184" s="26">
        <f t="shared" si="18"/>
        <v>0</v>
      </c>
      <c r="M184" s="26">
        <f>IF($I184&lt;&gt;"x",0,INDEX($Y$27:$Y$37,MATCH($G184,$X$27:$X217,0),1))*J184*1.1</f>
        <v>0</v>
      </c>
      <c r="N184" s="26">
        <f t="shared" si="19"/>
        <v>0</v>
      </c>
      <c r="O184" s="20">
        <f t="shared" si="20"/>
        <v>0</v>
      </c>
      <c r="P184" s="20">
        <f>IF(OR($E184&lt;&gt;"CS",$H184&lt;&gt;"x"),0,INDEX($Z$4:$Z$14,MATCH($G184,$X$4:$X194,0),1))*J184*1.1</f>
        <v>0</v>
      </c>
      <c r="Q184" s="26">
        <f>IF($I184&lt;&gt;"x",0,INDEX($Z$27:$Z$37,MATCH($G184,$X$27:$X217,0),1))*J184*1.1</f>
        <v>0</v>
      </c>
      <c r="R184" s="20">
        <f t="shared" si="21"/>
        <v>0</v>
      </c>
      <c r="S184" s="86">
        <f t="shared" si="22"/>
        <v>0</v>
      </c>
    </row>
    <row r="185" spans="2:19">
      <c r="B185" s="14">
        <f t="shared" si="23"/>
        <v>182</v>
      </c>
      <c r="C185" s="37" t="s">
        <v>572</v>
      </c>
      <c r="D185" s="37" t="s">
        <v>573</v>
      </c>
      <c r="E185" s="37" t="s">
        <v>574</v>
      </c>
      <c r="F185" s="38">
        <v>0</v>
      </c>
      <c r="G185" s="37">
        <v>4</v>
      </c>
      <c r="H185" s="37" t="s">
        <v>448</v>
      </c>
      <c r="I185" s="37" t="s">
        <v>448</v>
      </c>
      <c r="J185" s="41">
        <f t="shared" si="24"/>
        <v>0</v>
      </c>
      <c r="K185" s="26">
        <f>IF(OR($E185&lt;&gt;"CS",$H185&lt;&gt;"x"),0,INDEX($Y$4:$Y$14,MATCH($G185,$X$4:$X195,0),1))*J185*1.1</f>
        <v>0</v>
      </c>
      <c r="L185" s="26">
        <f t="shared" si="18"/>
        <v>0</v>
      </c>
      <c r="M185" s="26">
        <f>IF($I185&lt;&gt;"x",0,INDEX($Y$27:$Y$37,MATCH($G185,$X$27:$X218,0),1))*J185*1.1</f>
        <v>0</v>
      </c>
      <c r="N185" s="26">
        <f t="shared" si="19"/>
        <v>0</v>
      </c>
      <c r="O185" s="20">
        <f t="shared" si="20"/>
        <v>0</v>
      </c>
      <c r="P185" s="20">
        <f>IF(OR($E185&lt;&gt;"CS",$H185&lt;&gt;"x"),0,INDEX($Z$4:$Z$14,MATCH($G185,$X$4:$X195,0),1))*J185*1.1</f>
        <v>0</v>
      </c>
      <c r="Q185" s="26">
        <f>IF($I185&lt;&gt;"x",0,INDEX($Z$27:$Z$37,MATCH($G185,$X$27:$X218,0),1))*J185*1.1</f>
        <v>0</v>
      </c>
      <c r="R185" s="20">
        <f t="shared" si="21"/>
        <v>0</v>
      </c>
      <c r="S185" s="86">
        <f t="shared" si="22"/>
        <v>0</v>
      </c>
    </row>
    <row r="186" spans="2:19">
      <c r="B186" s="14">
        <f t="shared" si="23"/>
        <v>183</v>
      </c>
      <c r="C186" s="37" t="s">
        <v>572</v>
      </c>
      <c r="D186" s="37" t="s">
        <v>573</v>
      </c>
      <c r="E186" s="37" t="s">
        <v>574</v>
      </c>
      <c r="F186" s="38">
        <v>0</v>
      </c>
      <c r="G186" s="37">
        <v>6</v>
      </c>
      <c r="H186" s="37" t="s">
        <v>448</v>
      </c>
      <c r="I186" s="37" t="s">
        <v>448</v>
      </c>
      <c r="J186" s="41">
        <f t="shared" si="24"/>
        <v>0</v>
      </c>
      <c r="K186" s="26">
        <f>IF(OR($E186&lt;&gt;"CS",$H186&lt;&gt;"x"),0,INDEX($Y$4:$Y$14,MATCH($G186,$X$4:$X196,0),1))*J186*1.1</f>
        <v>0</v>
      </c>
      <c r="L186" s="26">
        <f t="shared" si="18"/>
        <v>0</v>
      </c>
      <c r="M186" s="26">
        <f>IF($I186&lt;&gt;"x",0,INDEX($Y$27:$Y$37,MATCH($G186,$X$27:$X219,0),1))*J186*1.1</f>
        <v>0</v>
      </c>
      <c r="N186" s="26">
        <f t="shared" si="19"/>
        <v>0</v>
      </c>
      <c r="O186" s="20">
        <f t="shared" si="20"/>
        <v>0</v>
      </c>
      <c r="P186" s="20">
        <f>IF(OR($E186&lt;&gt;"CS",$H186&lt;&gt;"x"),0,INDEX($Z$4:$Z$14,MATCH($G186,$X$4:$X196,0),1))*J186*1.1</f>
        <v>0</v>
      </c>
      <c r="Q186" s="26">
        <f>IF($I186&lt;&gt;"x",0,INDEX($Z$27:$Z$37,MATCH($G186,$X$27:$X219,0),1))*J186*1.1</f>
        <v>0</v>
      </c>
      <c r="R186" s="20">
        <f t="shared" si="21"/>
        <v>0</v>
      </c>
      <c r="S186" s="86">
        <f t="shared" si="22"/>
        <v>0</v>
      </c>
    </row>
    <row r="187" spans="2:19">
      <c r="B187" s="14">
        <f t="shared" si="23"/>
        <v>184</v>
      </c>
      <c r="C187" s="37" t="s">
        <v>572</v>
      </c>
      <c r="D187" s="37" t="s">
        <v>573</v>
      </c>
      <c r="E187" s="37" t="s">
        <v>574</v>
      </c>
      <c r="F187" s="38">
        <v>0</v>
      </c>
      <c r="G187" s="37">
        <v>6</v>
      </c>
      <c r="H187" s="37" t="s">
        <v>448</v>
      </c>
      <c r="I187" s="37" t="s">
        <v>448</v>
      </c>
      <c r="J187" s="41">
        <f t="shared" si="24"/>
        <v>0</v>
      </c>
      <c r="K187" s="26">
        <f>IF(OR($E187&lt;&gt;"CS",$H187&lt;&gt;"x"),0,INDEX($Y$4:$Y$14,MATCH($G187,$X$4:$X197,0),1))*J187*1.1</f>
        <v>0</v>
      </c>
      <c r="L187" s="26">
        <f t="shared" si="18"/>
        <v>0</v>
      </c>
      <c r="M187" s="26">
        <f>IF($I187&lt;&gt;"x",0,INDEX($Y$27:$Y$37,MATCH($G187,$X$27:$X220,0),1))*J187*1.1</f>
        <v>0</v>
      </c>
      <c r="N187" s="26">
        <f t="shared" si="19"/>
        <v>0</v>
      </c>
      <c r="O187" s="20">
        <f t="shared" si="20"/>
        <v>0</v>
      </c>
      <c r="P187" s="20">
        <f>IF(OR($E187&lt;&gt;"CS",$H187&lt;&gt;"x"),0,INDEX($Z$4:$Z$14,MATCH($G187,$X$4:$X197,0),1))*J187*1.1</f>
        <v>0</v>
      </c>
      <c r="Q187" s="26">
        <f>IF($I187&lt;&gt;"x",0,INDEX($Z$27:$Z$37,MATCH($G187,$X$27:$X220,0),1))*J187*1.1</f>
        <v>0</v>
      </c>
      <c r="R187" s="20">
        <f t="shared" si="21"/>
        <v>0</v>
      </c>
      <c r="S187" s="86">
        <f t="shared" si="22"/>
        <v>0</v>
      </c>
    </row>
    <row r="188" spans="2:19">
      <c r="B188" s="14">
        <f t="shared" si="23"/>
        <v>185</v>
      </c>
      <c r="C188" s="37" t="s">
        <v>572</v>
      </c>
      <c r="D188" s="37" t="s">
        <v>573</v>
      </c>
      <c r="E188" s="37" t="s">
        <v>574</v>
      </c>
      <c r="F188" s="38">
        <v>0</v>
      </c>
      <c r="G188" s="37">
        <v>6</v>
      </c>
      <c r="H188" s="37" t="s">
        <v>448</v>
      </c>
      <c r="I188" s="37" t="s">
        <v>448</v>
      </c>
      <c r="J188" s="41">
        <f t="shared" si="24"/>
        <v>0</v>
      </c>
      <c r="K188" s="26">
        <f>IF(OR($E188&lt;&gt;"CS",$H188&lt;&gt;"x"),0,INDEX($Y$4:$Y$14,MATCH($G188,$X$4:$X198,0),1))*J188*1.1</f>
        <v>0</v>
      </c>
      <c r="L188" s="26">
        <f t="shared" si="18"/>
        <v>0</v>
      </c>
      <c r="M188" s="26">
        <f>IF($I188&lt;&gt;"x",0,INDEX($Y$27:$Y$37,MATCH($G188,$X$27:$X221,0),1))*J188*1.1</f>
        <v>0</v>
      </c>
      <c r="N188" s="26">
        <f t="shared" si="19"/>
        <v>0</v>
      </c>
      <c r="O188" s="20">
        <f t="shared" si="20"/>
        <v>0</v>
      </c>
      <c r="P188" s="20">
        <f>IF(OR($E188&lt;&gt;"CS",$H188&lt;&gt;"x"),0,INDEX($Z$4:$Z$14,MATCH($G188,$X$4:$X198,0),1))*J188*1.1</f>
        <v>0</v>
      </c>
      <c r="Q188" s="26">
        <f>IF($I188&lt;&gt;"x",0,INDEX($Z$27:$Z$37,MATCH($G188,$X$27:$X221,0),1))*J188*1.1</f>
        <v>0</v>
      </c>
      <c r="R188" s="20">
        <f t="shared" si="21"/>
        <v>0</v>
      </c>
      <c r="S188" s="86">
        <f t="shared" si="22"/>
        <v>0</v>
      </c>
    </row>
    <row r="189" spans="2:19">
      <c r="B189" s="14">
        <f t="shared" si="23"/>
        <v>186</v>
      </c>
      <c r="C189" s="37" t="s">
        <v>572</v>
      </c>
      <c r="D189" s="37" t="s">
        <v>573</v>
      </c>
      <c r="E189" s="37" t="s">
        <v>574</v>
      </c>
      <c r="F189" s="38">
        <v>0</v>
      </c>
      <c r="G189" s="37">
        <v>6</v>
      </c>
      <c r="H189" s="37" t="s">
        <v>448</v>
      </c>
      <c r="I189" s="37" t="s">
        <v>448</v>
      </c>
      <c r="J189" s="41">
        <f t="shared" si="24"/>
        <v>0</v>
      </c>
      <c r="K189" s="26">
        <f>IF(OR($E189&lt;&gt;"CS",$H189&lt;&gt;"x"),0,INDEX($Y$4:$Y$14,MATCH($G189,$X$4:$X199,0),1))*J189*1.1</f>
        <v>0</v>
      </c>
      <c r="L189" s="26">
        <f t="shared" si="18"/>
        <v>0</v>
      </c>
      <c r="M189" s="26">
        <f>IF($I189&lt;&gt;"x",0,INDEX($Y$27:$Y$37,MATCH($G189,$X$27:$X222,0),1))*J189*1.1</f>
        <v>0</v>
      </c>
      <c r="N189" s="26">
        <f t="shared" si="19"/>
        <v>0</v>
      </c>
      <c r="O189" s="20">
        <f t="shared" si="20"/>
        <v>0</v>
      </c>
      <c r="P189" s="20">
        <f>IF(OR($E189&lt;&gt;"CS",$H189&lt;&gt;"x"),0,INDEX($Z$4:$Z$14,MATCH($G189,$X$4:$X199,0),1))*J189*1.1</f>
        <v>0</v>
      </c>
      <c r="Q189" s="26">
        <f>IF($I189&lt;&gt;"x",0,INDEX($Z$27:$Z$37,MATCH($G189,$X$27:$X222,0),1))*J189*1.1</f>
        <v>0</v>
      </c>
      <c r="R189" s="20">
        <f t="shared" si="21"/>
        <v>0</v>
      </c>
      <c r="S189" s="86">
        <f t="shared" si="22"/>
        <v>0</v>
      </c>
    </row>
    <row r="190" spans="2:19">
      <c r="B190" s="14">
        <f t="shared" si="23"/>
        <v>187</v>
      </c>
      <c r="C190" s="37" t="s">
        <v>572</v>
      </c>
      <c r="D190" s="37" t="s">
        <v>573</v>
      </c>
      <c r="E190" s="37" t="s">
        <v>574</v>
      </c>
      <c r="F190" s="38">
        <v>0</v>
      </c>
      <c r="G190" s="37">
        <v>4</v>
      </c>
      <c r="H190" s="37" t="s">
        <v>448</v>
      </c>
      <c r="I190" s="37" t="s">
        <v>448</v>
      </c>
      <c r="J190" s="41">
        <f t="shared" si="24"/>
        <v>0</v>
      </c>
      <c r="K190" s="26">
        <f>IF(OR($E190&lt;&gt;"CS",$H190&lt;&gt;"x"),0,INDEX($Y$4:$Y$14,MATCH($G190,$X$4:$X200,0),1))*J190*1.1</f>
        <v>0</v>
      </c>
      <c r="L190" s="26">
        <f t="shared" si="18"/>
        <v>0</v>
      </c>
      <c r="M190" s="26">
        <f>IF($I190&lt;&gt;"x",0,INDEX($Y$27:$Y$37,MATCH($G190,$X$27:$X223,0),1))*J190*1.1</f>
        <v>0</v>
      </c>
      <c r="N190" s="26">
        <f t="shared" si="19"/>
        <v>0</v>
      </c>
      <c r="O190" s="20">
        <f t="shared" si="20"/>
        <v>0</v>
      </c>
      <c r="P190" s="20">
        <f>IF(OR($E190&lt;&gt;"CS",$H190&lt;&gt;"x"),0,INDEX($Z$4:$Z$14,MATCH($G190,$X$4:$X200,0),1))*J190*1.1</f>
        <v>0</v>
      </c>
      <c r="Q190" s="26">
        <f>IF($I190&lt;&gt;"x",0,INDEX($Z$27:$Z$37,MATCH($G190,$X$27:$X223,0),1))*J190*1.1</f>
        <v>0</v>
      </c>
      <c r="R190" s="20">
        <f t="shared" si="21"/>
        <v>0</v>
      </c>
      <c r="S190" s="86">
        <f t="shared" si="22"/>
        <v>0</v>
      </c>
    </row>
    <row r="191" spans="2:19">
      <c r="B191" s="14">
        <f t="shared" si="23"/>
        <v>188</v>
      </c>
      <c r="C191" s="37" t="s">
        <v>572</v>
      </c>
      <c r="D191" s="37" t="s">
        <v>573</v>
      </c>
      <c r="E191" s="37" t="s">
        <v>574</v>
      </c>
      <c r="F191" s="38">
        <v>0</v>
      </c>
      <c r="G191" s="37">
        <v>4</v>
      </c>
      <c r="H191" s="37" t="s">
        <v>448</v>
      </c>
      <c r="I191" s="37" t="s">
        <v>448</v>
      </c>
      <c r="J191" s="41">
        <f t="shared" si="24"/>
        <v>0</v>
      </c>
      <c r="K191" s="26">
        <f>IF(OR($E191&lt;&gt;"CS",$H191&lt;&gt;"x"),0,INDEX($Y$4:$Y$14,MATCH($G191,$X$4:$X201,0),1))*J191*1.1</f>
        <v>0</v>
      </c>
      <c r="L191" s="26">
        <f t="shared" si="18"/>
        <v>0</v>
      </c>
      <c r="M191" s="26">
        <f>IF($I191&lt;&gt;"x",0,INDEX($Y$27:$Y$37,MATCH($G191,$X$27:$X224,0),1))*J191*1.1</f>
        <v>0</v>
      </c>
      <c r="N191" s="26">
        <f t="shared" si="19"/>
        <v>0</v>
      </c>
      <c r="O191" s="20">
        <f t="shared" si="20"/>
        <v>0</v>
      </c>
      <c r="P191" s="20">
        <f>IF(OR($E191&lt;&gt;"CS",$H191&lt;&gt;"x"),0,INDEX($Z$4:$Z$14,MATCH($G191,$X$4:$X201,0),1))*J191*1.1</f>
        <v>0</v>
      </c>
      <c r="Q191" s="26">
        <f>IF($I191&lt;&gt;"x",0,INDEX($Z$27:$Z$37,MATCH($G191,$X$27:$X224,0),1))*J191*1.1</f>
        <v>0</v>
      </c>
      <c r="R191" s="20">
        <f t="shared" si="21"/>
        <v>0</v>
      </c>
      <c r="S191" s="86">
        <f t="shared" si="22"/>
        <v>0</v>
      </c>
    </row>
    <row r="192" spans="2:19">
      <c r="B192" s="14">
        <f t="shared" si="23"/>
        <v>189</v>
      </c>
      <c r="C192" s="37" t="s">
        <v>572</v>
      </c>
      <c r="D192" s="37" t="s">
        <v>573</v>
      </c>
      <c r="E192" s="37" t="s">
        <v>574</v>
      </c>
      <c r="F192" s="38">
        <v>0</v>
      </c>
      <c r="G192" s="37">
        <v>6</v>
      </c>
      <c r="H192" s="37" t="s">
        <v>448</v>
      </c>
      <c r="I192" s="37" t="s">
        <v>448</v>
      </c>
      <c r="J192" s="41">
        <f t="shared" si="24"/>
        <v>0</v>
      </c>
      <c r="K192" s="26">
        <f>IF(OR($E192&lt;&gt;"CS",$H192&lt;&gt;"x"),0,INDEX($Y$4:$Y$14,MATCH($G192,$X$4:$X202,0),1))*J192*1.1</f>
        <v>0</v>
      </c>
      <c r="L192" s="26">
        <f t="shared" si="18"/>
        <v>0</v>
      </c>
      <c r="M192" s="26">
        <f>IF($I192&lt;&gt;"x",0,INDEX($Y$27:$Y$37,MATCH($G192,$X$27:$X225,0),1))*J192*1.1</f>
        <v>0</v>
      </c>
      <c r="N192" s="26">
        <f t="shared" si="19"/>
        <v>0</v>
      </c>
      <c r="O192" s="20">
        <f t="shared" si="20"/>
        <v>0</v>
      </c>
      <c r="P192" s="20">
        <f>IF(OR($E192&lt;&gt;"CS",$H192&lt;&gt;"x"),0,INDEX($Z$4:$Z$14,MATCH($G192,$X$4:$X202,0),1))*J192*1.1</f>
        <v>0</v>
      </c>
      <c r="Q192" s="26">
        <f>IF($I192&lt;&gt;"x",0,INDEX($Z$27:$Z$37,MATCH($G192,$X$27:$X225,0),1))*J192*1.1</f>
        <v>0</v>
      </c>
      <c r="R192" s="20">
        <f t="shared" si="21"/>
        <v>0</v>
      </c>
      <c r="S192" s="86">
        <f t="shared" si="22"/>
        <v>0</v>
      </c>
    </row>
    <row r="193" spans="2:19">
      <c r="B193" s="14">
        <f t="shared" si="23"/>
        <v>190</v>
      </c>
      <c r="C193" s="37" t="s">
        <v>572</v>
      </c>
      <c r="D193" s="37" t="s">
        <v>573</v>
      </c>
      <c r="E193" s="37" t="s">
        <v>574</v>
      </c>
      <c r="F193" s="38">
        <v>0</v>
      </c>
      <c r="G193" s="37">
        <v>6</v>
      </c>
      <c r="H193" s="37" t="s">
        <v>448</v>
      </c>
      <c r="I193" s="37" t="s">
        <v>448</v>
      </c>
      <c r="J193" s="41">
        <f t="shared" si="24"/>
        <v>0</v>
      </c>
      <c r="K193" s="26">
        <f>IF(OR($E193&lt;&gt;"CS",$H193&lt;&gt;"x"),0,INDEX($Y$4:$Y$14,MATCH($G193,$X$4:$X203,0),1))*J193*1.1</f>
        <v>0</v>
      </c>
      <c r="L193" s="26">
        <f t="shared" si="18"/>
        <v>0</v>
      </c>
      <c r="M193" s="26">
        <f>IF($I193&lt;&gt;"x",0,INDEX($Y$27:$Y$37,MATCH($G193,$X$27:$X226,0),1))*J193*1.1</f>
        <v>0</v>
      </c>
      <c r="N193" s="26">
        <f t="shared" si="19"/>
        <v>0</v>
      </c>
      <c r="O193" s="20">
        <f t="shared" si="20"/>
        <v>0</v>
      </c>
      <c r="P193" s="20">
        <f>IF(OR($E193&lt;&gt;"CS",$H193&lt;&gt;"x"),0,INDEX($Z$4:$Z$14,MATCH($G193,$X$4:$X203,0),1))*J193*1.1</f>
        <v>0</v>
      </c>
      <c r="Q193" s="26">
        <f>IF($I193&lt;&gt;"x",0,INDEX($Z$27:$Z$37,MATCH($G193,$X$27:$X226,0),1))*J193*1.1</f>
        <v>0</v>
      </c>
      <c r="R193" s="20">
        <f t="shared" si="21"/>
        <v>0</v>
      </c>
      <c r="S193" s="86">
        <f t="shared" si="22"/>
        <v>0</v>
      </c>
    </row>
    <row r="194" spans="2:19">
      <c r="B194" s="14">
        <f t="shared" si="23"/>
        <v>191</v>
      </c>
      <c r="C194" s="37" t="s">
        <v>572</v>
      </c>
      <c r="D194" s="37" t="s">
        <v>573</v>
      </c>
      <c r="E194" s="37" t="s">
        <v>574</v>
      </c>
      <c r="F194" s="38">
        <v>0</v>
      </c>
      <c r="G194" s="37">
        <v>1.25</v>
      </c>
      <c r="H194" s="37" t="s">
        <v>448</v>
      </c>
      <c r="I194" s="37" t="s">
        <v>448</v>
      </c>
      <c r="J194" s="41">
        <f t="shared" si="24"/>
        <v>0</v>
      </c>
      <c r="K194" s="26">
        <f>IF(OR($E194&lt;&gt;"CS",$H194&lt;&gt;"x"),0,INDEX($Y$4:$Y$14,MATCH($G194,$X$4:$X204,0),1))*J194*1.1</f>
        <v>0</v>
      </c>
      <c r="L194" s="26">
        <f t="shared" si="18"/>
        <v>0</v>
      </c>
      <c r="M194" s="26">
        <f>IF($I194&lt;&gt;"x",0,INDEX($Y$27:$Y$37,MATCH($G194,$X$27:$X227,0),1))*J194*1.1</f>
        <v>0</v>
      </c>
      <c r="N194" s="26">
        <f t="shared" si="19"/>
        <v>0</v>
      </c>
      <c r="O194" s="20">
        <f t="shared" si="20"/>
        <v>0</v>
      </c>
      <c r="P194" s="20">
        <f>IF(OR($E194&lt;&gt;"CS",$H194&lt;&gt;"x"),0,INDEX($Z$4:$Z$14,MATCH($G194,$X$4:$X204,0),1))*J194*1.1</f>
        <v>0</v>
      </c>
      <c r="Q194" s="26">
        <f>IF($I194&lt;&gt;"x",0,INDEX($Z$27:$Z$37,MATCH($G194,$X$27:$X227,0),1))*J194*1.1</f>
        <v>0</v>
      </c>
      <c r="R194" s="20">
        <f t="shared" si="21"/>
        <v>0</v>
      </c>
      <c r="S194" s="86">
        <f t="shared" si="22"/>
        <v>0</v>
      </c>
    </row>
    <row r="195" spans="2:19">
      <c r="B195" s="14">
        <f t="shared" si="23"/>
        <v>192</v>
      </c>
      <c r="C195" s="37" t="s">
        <v>572</v>
      </c>
      <c r="D195" s="37" t="s">
        <v>573</v>
      </c>
      <c r="E195" s="37" t="s">
        <v>574</v>
      </c>
      <c r="F195" s="38">
        <v>0</v>
      </c>
      <c r="G195" s="37">
        <v>1.25</v>
      </c>
      <c r="H195" s="37" t="s">
        <v>448</v>
      </c>
      <c r="I195" s="37" t="s">
        <v>448</v>
      </c>
      <c r="J195" s="41">
        <f t="shared" si="24"/>
        <v>0</v>
      </c>
      <c r="K195" s="26">
        <f>IF(OR($E195&lt;&gt;"CS",$H195&lt;&gt;"x"),0,INDEX($Y$4:$Y$14,MATCH($G195,$X$4:$X205,0),1))*J195*1.1</f>
        <v>0</v>
      </c>
      <c r="L195" s="26">
        <f t="shared" si="18"/>
        <v>0</v>
      </c>
      <c r="M195" s="26">
        <f>IF($I195&lt;&gt;"x",0,INDEX($Y$27:$Y$37,MATCH($G195,$X$27:$X228,0),1))*J195*1.1</f>
        <v>0</v>
      </c>
      <c r="N195" s="26">
        <f t="shared" si="19"/>
        <v>0</v>
      </c>
      <c r="O195" s="20">
        <f t="shared" si="20"/>
        <v>0</v>
      </c>
      <c r="P195" s="20">
        <f>IF(OR($E195&lt;&gt;"CS",$H195&lt;&gt;"x"),0,INDEX($Z$4:$Z$14,MATCH($G195,$X$4:$X205,0),1))*J195*1.1</f>
        <v>0</v>
      </c>
      <c r="Q195" s="26">
        <f>IF($I195&lt;&gt;"x",0,INDEX($Z$27:$Z$37,MATCH($G195,$X$27:$X228,0),1))*J195*1.1</f>
        <v>0</v>
      </c>
      <c r="R195" s="20">
        <f t="shared" si="21"/>
        <v>0</v>
      </c>
      <c r="S195" s="86">
        <f t="shared" si="22"/>
        <v>0</v>
      </c>
    </row>
    <row r="196" spans="2:19">
      <c r="B196" s="14">
        <f t="shared" si="23"/>
        <v>193</v>
      </c>
      <c r="C196" s="37" t="s">
        <v>572</v>
      </c>
      <c r="D196" s="37" t="s">
        <v>573</v>
      </c>
      <c r="E196" s="37" t="s">
        <v>574</v>
      </c>
      <c r="F196" s="38">
        <v>0</v>
      </c>
      <c r="G196" s="37">
        <v>4</v>
      </c>
      <c r="H196" s="37" t="s">
        <v>448</v>
      </c>
      <c r="I196" s="37" t="s">
        <v>448</v>
      </c>
      <c r="J196" s="41">
        <f t="shared" ref="J196:J201" si="25">IF(F196="","",+$I$2*F196)</f>
        <v>0</v>
      </c>
      <c r="K196" s="26">
        <f>IF(OR($E196&lt;&gt;"CS",$H196&lt;&gt;"x"),0,INDEX($Y$4:$Y$14,MATCH($G196,$X$4:$X206,0),1))*J196*1.1</f>
        <v>0</v>
      </c>
      <c r="L196" s="26">
        <f t="shared" ref="L196:L259" si="26">K196*$L$2</f>
        <v>0</v>
      </c>
      <c r="M196" s="26">
        <f>IF($I196&lt;&gt;"x",0,INDEX($Y$27:$Y$37,MATCH($G196,$X$27:$X229,0),1))*J196*1.1</f>
        <v>0</v>
      </c>
      <c r="N196" s="26">
        <f t="shared" ref="N196:N259" si="27">M196*$N$2</f>
        <v>0</v>
      </c>
      <c r="O196" s="20">
        <f t="shared" ref="O196:O259" si="28">SUM(K196:N196)</f>
        <v>0</v>
      </c>
      <c r="P196" s="20">
        <f>IF(OR($E196&lt;&gt;"CS",$H196&lt;&gt;"x"),0,INDEX($Z$4:$Z$14,MATCH($G196,$X$4:$X206,0),1))*J196*1.1</f>
        <v>0</v>
      </c>
      <c r="Q196" s="26">
        <f>IF($I196&lt;&gt;"x",0,INDEX($Z$27:$Z$37,MATCH($G196,$X$27:$X229,0),1))*J196*1.1</f>
        <v>0</v>
      </c>
      <c r="R196" s="20">
        <f t="shared" ref="R196:R259" si="29">SUM(P196:Q196)</f>
        <v>0</v>
      </c>
      <c r="S196" s="86">
        <f t="shared" ref="S196:S259" si="30">R196+O196</f>
        <v>0</v>
      </c>
    </row>
    <row r="197" spans="2:19">
      <c r="B197" s="14">
        <f t="shared" ref="B197:B260" si="31">1+B196</f>
        <v>194</v>
      </c>
      <c r="C197" s="37" t="s">
        <v>572</v>
      </c>
      <c r="D197" s="37" t="s">
        <v>573</v>
      </c>
      <c r="E197" s="37" t="s">
        <v>574</v>
      </c>
      <c r="F197" s="38">
        <v>0</v>
      </c>
      <c r="G197" s="37">
        <v>4</v>
      </c>
      <c r="H197" s="37" t="s">
        <v>448</v>
      </c>
      <c r="I197" s="37" t="s">
        <v>448</v>
      </c>
      <c r="J197" s="41">
        <f t="shared" si="25"/>
        <v>0</v>
      </c>
      <c r="K197" s="26">
        <f>IF(OR($E197&lt;&gt;"CS",$H197&lt;&gt;"x"),0,INDEX($Y$4:$Y$14,MATCH($G197,$X$4:$X207,0),1))*J197*1.1</f>
        <v>0</v>
      </c>
      <c r="L197" s="26">
        <f t="shared" si="26"/>
        <v>0</v>
      </c>
      <c r="M197" s="26">
        <f>IF($I197&lt;&gt;"x",0,INDEX($Y$27:$Y$37,MATCH($G197,$X$27:$X230,0),1))*J197*1.1</f>
        <v>0</v>
      </c>
      <c r="N197" s="26">
        <f t="shared" si="27"/>
        <v>0</v>
      </c>
      <c r="O197" s="20">
        <f t="shared" si="28"/>
        <v>0</v>
      </c>
      <c r="P197" s="20">
        <f>IF(OR($E197&lt;&gt;"CS",$H197&lt;&gt;"x"),0,INDEX($Z$4:$Z$14,MATCH($G197,$X$4:$X207,0),1))*J197*1.1</f>
        <v>0</v>
      </c>
      <c r="Q197" s="26">
        <f>IF($I197&lt;&gt;"x",0,INDEX($Z$27:$Z$37,MATCH($G197,$X$27:$X230,0),1))*J197*1.1</f>
        <v>0</v>
      </c>
      <c r="R197" s="20">
        <f t="shared" si="29"/>
        <v>0</v>
      </c>
      <c r="S197" s="86">
        <f t="shared" si="30"/>
        <v>0</v>
      </c>
    </row>
    <row r="198" spans="2:19">
      <c r="B198" s="14">
        <f t="shared" si="31"/>
        <v>195</v>
      </c>
      <c r="C198" s="37" t="s">
        <v>572</v>
      </c>
      <c r="D198" s="37" t="s">
        <v>573</v>
      </c>
      <c r="E198" s="37" t="s">
        <v>574</v>
      </c>
      <c r="F198" s="38">
        <v>0</v>
      </c>
      <c r="G198" s="37">
        <v>3</v>
      </c>
      <c r="H198" s="37" t="s">
        <v>448</v>
      </c>
      <c r="I198" s="37" t="s">
        <v>448</v>
      </c>
      <c r="J198" s="41">
        <f t="shared" si="25"/>
        <v>0</v>
      </c>
      <c r="K198" s="26">
        <f>IF(OR($E198&lt;&gt;"CS",$H198&lt;&gt;"x"),0,INDEX($Y$4:$Y$14,MATCH($G198,$X$4:$X208,0),1))*J198*1.1</f>
        <v>0</v>
      </c>
      <c r="L198" s="26">
        <f t="shared" si="26"/>
        <v>0</v>
      </c>
      <c r="M198" s="26">
        <f>IF($I198&lt;&gt;"x",0,INDEX($Y$27:$Y$37,MATCH($G198,$X$27:$X231,0),1))*J198*1.1</f>
        <v>0</v>
      </c>
      <c r="N198" s="26">
        <f t="shared" si="27"/>
        <v>0</v>
      </c>
      <c r="O198" s="20">
        <f t="shared" si="28"/>
        <v>0</v>
      </c>
      <c r="P198" s="20">
        <f>IF(OR($E198&lt;&gt;"CS",$H198&lt;&gt;"x"),0,INDEX($Z$4:$Z$14,MATCH($G198,$X$4:$X208,0),1))*J198*1.1</f>
        <v>0</v>
      </c>
      <c r="Q198" s="26">
        <f>IF($I198&lt;&gt;"x",0,INDEX($Z$27:$Z$37,MATCH($G198,$X$27:$X231,0),1))*J198*1.1</f>
        <v>0</v>
      </c>
      <c r="R198" s="20">
        <f t="shared" si="29"/>
        <v>0</v>
      </c>
      <c r="S198" s="86">
        <f t="shared" si="30"/>
        <v>0</v>
      </c>
    </row>
    <row r="199" spans="2:19">
      <c r="B199" s="14">
        <f t="shared" si="31"/>
        <v>196</v>
      </c>
      <c r="C199" s="37" t="s">
        <v>572</v>
      </c>
      <c r="D199" s="37" t="s">
        <v>573</v>
      </c>
      <c r="E199" s="37" t="s">
        <v>574</v>
      </c>
      <c r="F199" s="38">
        <v>0</v>
      </c>
      <c r="G199" s="37">
        <v>3</v>
      </c>
      <c r="H199" s="37" t="s">
        <v>448</v>
      </c>
      <c r="I199" s="37" t="s">
        <v>448</v>
      </c>
      <c r="J199" s="41">
        <f t="shared" si="25"/>
        <v>0</v>
      </c>
      <c r="K199" s="26">
        <f>IF(OR($E199&lt;&gt;"CS",$H199&lt;&gt;"x"),0,INDEX($Y$4:$Y$14,MATCH($G199,$X$4:$X209,0),1))*J199*1.1</f>
        <v>0</v>
      </c>
      <c r="L199" s="26">
        <f t="shared" si="26"/>
        <v>0</v>
      </c>
      <c r="M199" s="26">
        <f>IF($I199&lt;&gt;"x",0,INDEX($Y$27:$Y$37,MATCH($G199,$X$27:$X232,0),1))*J199*1.1</f>
        <v>0</v>
      </c>
      <c r="N199" s="26">
        <f t="shared" si="27"/>
        <v>0</v>
      </c>
      <c r="O199" s="20">
        <f t="shared" si="28"/>
        <v>0</v>
      </c>
      <c r="P199" s="20">
        <f>IF(OR($E199&lt;&gt;"CS",$H199&lt;&gt;"x"),0,INDEX($Z$4:$Z$14,MATCH($G199,$X$4:$X209,0),1))*J199*1.1</f>
        <v>0</v>
      </c>
      <c r="Q199" s="26">
        <f>IF($I199&lt;&gt;"x",0,INDEX($Z$27:$Z$37,MATCH($G199,$X$27:$X232,0),1))*J199*1.1</f>
        <v>0</v>
      </c>
      <c r="R199" s="20">
        <f t="shared" si="29"/>
        <v>0</v>
      </c>
      <c r="S199" s="86">
        <f t="shared" si="30"/>
        <v>0</v>
      </c>
    </row>
    <row r="200" spans="2:19">
      <c r="B200" s="14">
        <f t="shared" si="31"/>
        <v>197</v>
      </c>
      <c r="C200" s="37" t="s">
        <v>572</v>
      </c>
      <c r="D200" s="37" t="s">
        <v>573</v>
      </c>
      <c r="E200" s="37" t="s">
        <v>574</v>
      </c>
      <c r="F200" s="38">
        <v>0</v>
      </c>
      <c r="G200" s="37">
        <v>3</v>
      </c>
      <c r="H200" s="37" t="s">
        <v>448</v>
      </c>
      <c r="I200" s="37" t="s">
        <v>448</v>
      </c>
      <c r="J200" s="41">
        <f t="shared" si="25"/>
        <v>0</v>
      </c>
      <c r="K200" s="26">
        <f>IF(OR($E200&lt;&gt;"CS",$H200&lt;&gt;"x"),0,INDEX($Y$4:$Y$14,MATCH($G200,$X$4:$X210,0),1))*J200*1.1</f>
        <v>0</v>
      </c>
      <c r="L200" s="26">
        <f t="shared" si="26"/>
        <v>0</v>
      </c>
      <c r="M200" s="26">
        <f>IF($I200&lt;&gt;"x",0,INDEX($Y$27:$Y$37,MATCH($G200,$X$27:$X233,0),1))*J200*1.1</f>
        <v>0</v>
      </c>
      <c r="N200" s="26">
        <f t="shared" si="27"/>
        <v>0</v>
      </c>
      <c r="O200" s="20">
        <f t="shared" si="28"/>
        <v>0</v>
      </c>
      <c r="P200" s="20">
        <f>IF(OR($E200&lt;&gt;"CS",$H200&lt;&gt;"x"),0,INDEX($Z$4:$Z$14,MATCH($G200,$X$4:$X210,0),1))*J200*1.1</f>
        <v>0</v>
      </c>
      <c r="Q200" s="26">
        <f>IF($I200&lt;&gt;"x",0,INDEX($Z$27:$Z$37,MATCH($G200,$X$27:$X233,0),1))*J200*1.1</f>
        <v>0</v>
      </c>
      <c r="R200" s="20">
        <f t="shared" si="29"/>
        <v>0</v>
      </c>
      <c r="S200" s="86">
        <f t="shared" si="30"/>
        <v>0</v>
      </c>
    </row>
    <row r="201" spans="2:19">
      <c r="B201" s="14">
        <f t="shared" si="31"/>
        <v>198</v>
      </c>
      <c r="C201" s="37" t="s">
        <v>572</v>
      </c>
      <c r="D201" s="37" t="s">
        <v>573</v>
      </c>
      <c r="E201" s="37" t="s">
        <v>574</v>
      </c>
      <c r="F201" s="38">
        <v>0</v>
      </c>
      <c r="G201" s="37">
        <v>3</v>
      </c>
      <c r="H201" s="37" t="s">
        <v>448</v>
      </c>
      <c r="I201" s="37" t="s">
        <v>448</v>
      </c>
      <c r="J201" s="41">
        <f t="shared" si="25"/>
        <v>0</v>
      </c>
      <c r="K201" s="26">
        <f>IF(OR($E201&lt;&gt;"CS",$H201&lt;&gt;"x"),0,INDEX($Y$4:$Y$14,MATCH($G201,$X$4:$X211,0),1))*J201*1.1</f>
        <v>0</v>
      </c>
      <c r="L201" s="26">
        <f t="shared" si="26"/>
        <v>0</v>
      </c>
      <c r="M201" s="26">
        <f>IF($I201&lt;&gt;"x",0,INDEX($Y$27:$Y$37,MATCH($G201,$X$27:$X234,0),1))*J201*1.1</f>
        <v>0</v>
      </c>
      <c r="N201" s="26">
        <f t="shared" si="27"/>
        <v>0</v>
      </c>
      <c r="O201" s="20">
        <f t="shared" si="28"/>
        <v>0</v>
      </c>
      <c r="P201" s="20">
        <f>IF(OR($E201&lt;&gt;"CS",$H201&lt;&gt;"x"),0,INDEX($Z$4:$Z$14,MATCH($G201,$X$4:$X211,0),1))*J201*1.1</f>
        <v>0</v>
      </c>
      <c r="Q201" s="26">
        <f>IF($I201&lt;&gt;"x",0,INDEX($Z$27:$Z$37,MATCH($G201,$X$27:$X234,0),1))*J201*1.1</f>
        <v>0</v>
      </c>
      <c r="R201" s="20">
        <f t="shared" si="29"/>
        <v>0</v>
      </c>
      <c r="S201" s="86">
        <f t="shared" si="30"/>
        <v>0</v>
      </c>
    </row>
    <row r="202" spans="2:19">
      <c r="B202" s="14">
        <f t="shared" si="31"/>
        <v>199</v>
      </c>
      <c r="C202" s="37"/>
      <c r="D202" s="37"/>
      <c r="E202" s="37"/>
      <c r="F202" s="38"/>
      <c r="G202" s="37"/>
      <c r="H202" s="37"/>
      <c r="I202" s="37"/>
      <c r="J202" s="41"/>
      <c r="K202" s="26">
        <f>IF(OR($E202&lt;&gt;"CS",$H202&lt;&gt;"x"),0,INDEX($Y$4:$Y$14,MATCH($G202,$X$4:$X212,0),1))*J202*1.1</f>
        <v>0</v>
      </c>
      <c r="L202" s="26">
        <f t="shared" si="26"/>
        <v>0</v>
      </c>
      <c r="M202" s="26">
        <f>IF($I202&lt;&gt;"x",0,INDEX($Y$27:$Y$37,MATCH($G202,$X$27:$X235,0),1))*J202*1.1</f>
        <v>0</v>
      </c>
      <c r="N202" s="26">
        <f t="shared" si="27"/>
        <v>0</v>
      </c>
      <c r="O202" s="20">
        <f t="shared" si="28"/>
        <v>0</v>
      </c>
      <c r="P202" s="20">
        <f>IF(OR($E202&lt;&gt;"CS",$H202&lt;&gt;"x"),0,INDEX($Z$4:$Z$14,MATCH($G202,$X$4:$X212,0),1))*J202*1.1</f>
        <v>0</v>
      </c>
      <c r="Q202" s="26">
        <f>IF($I202&lt;&gt;"x",0,INDEX($Z$27:$Z$37,MATCH($G202,$X$27:$X235,0),1))*J202*1.1</f>
        <v>0</v>
      </c>
      <c r="R202" s="20">
        <f t="shared" si="29"/>
        <v>0</v>
      </c>
      <c r="S202" s="86">
        <f t="shared" si="30"/>
        <v>0</v>
      </c>
    </row>
    <row r="203" spans="2:19">
      <c r="B203" s="14">
        <f t="shared" si="31"/>
        <v>200</v>
      </c>
      <c r="C203" s="37"/>
      <c r="D203" s="37"/>
      <c r="E203" s="37"/>
      <c r="F203" s="38"/>
      <c r="G203" s="37"/>
      <c r="H203" s="37"/>
      <c r="I203" s="37"/>
      <c r="J203" s="41"/>
      <c r="K203" s="26">
        <f>IF(OR($E203&lt;&gt;"CS",$H203&lt;&gt;"x"),0,INDEX($Y$4:$Y$14,MATCH($G203,$X$4:$X213,0),1))*J203*1.1</f>
        <v>0</v>
      </c>
      <c r="L203" s="26">
        <f t="shared" si="26"/>
        <v>0</v>
      </c>
      <c r="M203" s="26">
        <f>IF($I203&lt;&gt;"x",0,INDEX($Y$27:$Y$37,MATCH($G203,$X$27:$X236,0),1))*J203*1.1</f>
        <v>0</v>
      </c>
      <c r="N203" s="26">
        <f t="shared" si="27"/>
        <v>0</v>
      </c>
      <c r="O203" s="20">
        <f t="shared" si="28"/>
        <v>0</v>
      </c>
      <c r="P203" s="20">
        <f>IF(OR($E203&lt;&gt;"CS",$H203&lt;&gt;"x"),0,INDEX($Z$4:$Z$14,MATCH($G203,$X$4:$X213,0),1))*J203*1.1</f>
        <v>0</v>
      </c>
      <c r="Q203" s="26">
        <f>IF($I203&lt;&gt;"x",0,INDEX($Z$27:$Z$37,MATCH($G203,$X$27:$X236,0),1))*J203*1.1</f>
        <v>0</v>
      </c>
      <c r="R203" s="20">
        <f t="shared" si="29"/>
        <v>0</v>
      </c>
      <c r="S203" s="86">
        <f t="shared" si="30"/>
        <v>0</v>
      </c>
    </row>
    <row r="204" spans="2:19">
      <c r="B204" s="14">
        <f t="shared" si="31"/>
        <v>201</v>
      </c>
      <c r="C204" s="37"/>
      <c r="D204" s="37"/>
      <c r="E204" s="37"/>
      <c r="F204" s="38"/>
      <c r="G204" s="37"/>
      <c r="H204" s="37"/>
      <c r="I204" s="37"/>
      <c r="J204" s="41"/>
      <c r="K204" s="26">
        <f>IF(OR($E204&lt;&gt;"CS",$H204&lt;&gt;"x"),0,INDEX($Y$4:$Y$14,MATCH($G204,$X$4:$X214,0),1))*J204*1.1</f>
        <v>0</v>
      </c>
      <c r="L204" s="26">
        <f t="shared" si="26"/>
        <v>0</v>
      </c>
      <c r="M204" s="26">
        <f>IF($I204&lt;&gt;"x",0,INDEX($Y$27:$Y$37,MATCH($G204,$X$27:$X237,0),1))*J204*1.1</f>
        <v>0</v>
      </c>
      <c r="N204" s="26">
        <f t="shared" si="27"/>
        <v>0</v>
      </c>
      <c r="O204" s="20">
        <f t="shared" si="28"/>
        <v>0</v>
      </c>
      <c r="P204" s="20">
        <f>IF(OR($E204&lt;&gt;"CS",$H204&lt;&gt;"x"),0,INDEX($Z$4:$Z$14,MATCH($G204,$X$4:$X214,0),1))*J204*1.1</f>
        <v>0</v>
      </c>
      <c r="Q204" s="26">
        <f>IF($I204&lt;&gt;"x",0,INDEX($Z$27:$Z$37,MATCH($G204,$X$27:$X237,0),1))*J204*1.1</f>
        <v>0</v>
      </c>
      <c r="R204" s="20">
        <f t="shared" si="29"/>
        <v>0</v>
      </c>
      <c r="S204" s="86">
        <f t="shared" si="30"/>
        <v>0</v>
      </c>
    </row>
    <row r="205" spans="2:19">
      <c r="B205" s="14">
        <f t="shared" si="31"/>
        <v>202</v>
      </c>
      <c r="C205" s="37"/>
      <c r="D205" s="37"/>
      <c r="E205" s="37"/>
      <c r="F205" s="38"/>
      <c r="G205" s="37"/>
      <c r="H205" s="37"/>
      <c r="I205" s="37"/>
      <c r="J205" s="41"/>
      <c r="K205" s="26">
        <f>IF(OR($E205&lt;&gt;"CS",$H205&lt;&gt;"x"),0,INDEX($Y$4:$Y$14,MATCH($G205,$X$4:$X215,0),1))*J205*1.1</f>
        <v>0</v>
      </c>
      <c r="L205" s="26">
        <f t="shared" si="26"/>
        <v>0</v>
      </c>
      <c r="M205" s="26">
        <f>IF($I205&lt;&gt;"x",0,INDEX($Y$27:$Y$37,MATCH($G205,$X$27:$X238,0),1))*J205*1.1</f>
        <v>0</v>
      </c>
      <c r="N205" s="26">
        <f t="shared" si="27"/>
        <v>0</v>
      </c>
      <c r="O205" s="20">
        <f t="shared" si="28"/>
        <v>0</v>
      </c>
      <c r="P205" s="20">
        <f>IF(OR($E205&lt;&gt;"CS",$H205&lt;&gt;"x"),0,INDEX($Z$4:$Z$14,MATCH($G205,$X$4:$X215,0),1))*J205*1.1</f>
        <v>0</v>
      </c>
      <c r="Q205" s="26">
        <f>IF($I205&lt;&gt;"x",0,INDEX($Z$27:$Z$37,MATCH($G205,$X$27:$X238,0),1))*J205*1.1</f>
        <v>0</v>
      </c>
      <c r="R205" s="20">
        <f t="shared" si="29"/>
        <v>0</v>
      </c>
      <c r="S205" s="86">
        <f t="shared" si="30"/>
        <v>0</v>
      </c>
    </row>
    <row r="206" spans="2:19">
      <c r="B206" s="14">
        <f t="shared" si="31"/>
        <v>203</v>
      </c>
      <c r="C206" s="37"/>
      <c r="D206" s="37"/>
      <c r="E206" s="37"/>
      <c r="F206" s="38"/>
      <c r="G206" s="37"/>
      <c r="H206" s="37"/>
      <c r="I206" s="37"/>
      <c r="J206" s="41"/>
      <c r="K206" s="26">
        <f>IF(OR($E206&lt;&gt;"CS",$H206&lt;&gt;"x"),0,INDEX($Y$4:$Y$14,MATCH($G206,$X$4:$X216,0),1))*J206*1.1</f>
        <v>0</v>
      </c>
      <c r="L206" s="26">
        <f t="shared" si="26"/>
        <v>0</v>
      </c>
      <c r="M206" s="26">
        <f>IF($I206&lt;&gt;"x",0,INDEX($Y$27:$Y$37,MATCH($G206,$X$27:$X239,0),1))*J206*1.1</f>
        <v>0</v>
      </c>
      <c r="N206" s="26">
        <f t="shared" si="27"/>
        <v>0</v>
      </c>
      <c r="O206" s="20">
        <f t="shared" si="28"/>
        <v>0</v>
      </c>
      <c r="P206" s="20">
        <f>IF(OR($E206&lt;&gt;"CS",$H206&lt;&gt;"x"),0,INDEX($Z$4:$Z$14,MATCH($G206,$X$4:$X216,0),1))*J206*1.1</f>
        <v>0</v>
      </c>
      <c r="Q206" s="26">
        <f>IF($I206&lt;&gt;"x",0,INDEX($Z$27:$Z$37,MATCH($G206,$X$27:$X239,0),1))*J206*1.1</f>
        <v>0</v>
      </c>
      <c r="R206" s="20">
        <f t="shared" si="29"/>
        <v>0</v>
      </c>
      <c r="S206" s="86">
        <f t="shared" si="30"/>
        <v>0</v>
      </c>
    </row>
    <row r="207" spans="2:19">
      <c r="B207" s="14">
        <f t="shared" si="31"/>
        <v>204</v>
      </c>
      <c r="C207" s="37"/>
      <c r="D207" s="37"/>
      <c r="E207" s="37"/>
      <c r="F207" s="38"/>
      <c r="G207" s="37"/>
      <c r="H207" s="37"/>
      <c r="I207" s="37"/>
      <c r="J207" s="41"/>
      <c r="K207" s="26">
        <f>IF(OR($E207&lt;&gt;"CS",$H207&lt;&gt;"x"),0,INDEX($Y$4:$Y$14,MATCH($G207,$X$4:$X217,0),1))*J207*1.1</f>
        <v>0</v>
      </c>
      <c r="L207" s="26">
        <f t="shared" si="26"/>
        <v>0</v>
      </c>
      <c r="M207" s="26">
        <f>IF($I207&lt;&gt;"x",0,INDEX($Y$27:$Y$37,MATCH($G207,$X$27:$X240,0),1))*J207*1.1</f>
        <v>0</v>
      </c>
      <c r="N207" s="26">
        <f t="shared" si="27"/>
        <v>0</v>
      </c>
      <c r="O207" s="20">
        <f t="shared" si="28"/>
        <v>0</v>
      </c>
      <c r="P207" s="20">
        <f>IF(OR($E207&lt;&gt;"CS",$H207&lt;&gt;"x"),0,INDEX($Z$4:$Z$14,MATCH($G207,$X$4:$X217,0),1))*J207*1.1</f>
        <v>0</v>
      </c>
      <c r="Q207" s="26">
        <f>IF($I207&lt;&gt;"x",0,INDEX($Z$27:$Z$37,MATCH($G207,$X$27:$X240,0),1))*J207*1.1</f>
        <v>0</v>
      </c>
      <c r="R207" s="20">
        <f t="shared" si="29"/>
        <v>0</v>
      </c>
      <c r="S207" s="86">
        <f t="shared" si="30"/>
        <v>0</v>
      </c>
    </row>
    <row r="208" spans="2:19">
      <c r="B208" s="14">
        <f t="shared" si="31"/>
        <v>205</v>
      </c>
      <c r="C208" s="37"/>
      <c r="D208" s="37"/>
      <c r="E208" s="37"/>
      <c r="F208" s="38"/>
      <c r="G208" s="37"/>
      <c r="H208" s="37"/>
      <c r="I208" s="37"/>
      <c r="J208" s="41"/>
      <c r="K208" s="26">
        <f>IF(OR($E208&lt;&gt;"CS",$H208&lt;&gt;"x"),0,INDEX($Y$4:$Y$14,MATCH($G208,$X$4:$X218,0),1))*J208*1.1</f>
        <v>0</v>
      </c>
      <c r="L208" s="26">
        <f t="shared" si="26"/>
        <v>0</v>
      </c>
      <c r="M208" s="26">
        <f>IF($I208&lt;&gt;"x",0,INDEX($Y$27:$Y$37,MATCH($G208,$X$27:$X241,0),1))*J208*1.1</f>
        <v>0</v>
      </c>
      <c r="N208" s="26">
        <f t="shared" si="27"/>
        <v>0</v>
      </c>
      <c r="O208" s="20">
        <f t="shared" si="28"/>
        <v>0</v>
      </c>
      <c r="P208" s="20">
        <f>IF(OR($E208&lt;&gt;"CS",$H208&lt;&gt;"x"),0,INDEX($Z$4:$Z$14,MATCH($G208,$X$4:$X218,0),1))*J208*1.1</f>
        <v>0</v>
      </c>
      <c r="Q208" s="26">
        <f>IF($I208&lt;&gt;"x",0,INDEX($Z$27:$Z$37,MATCH($G208,$X$27:$X241,0),1))*J208*1.1</f>
        <v>0</v>
      </c>
      <c r="R208" s="20">
        <f t="shared" si="29"/>
        <v>0</v>
      </c>
      <c r="S208" s="86">
        <f t="shared" si="30"/>
        <v>0</v>
      </c>
    </row>
    <row r="209" spans="2:19">
      <c r="B209" s="14">
        <f t="shared" si="31"/>
        <v>206</v>
      </c>
      <c r="C209" s="37"/>
      <c r="D209" s="37"/>
      <c r="E209" s="37"/>
      <c r="F209" s="38"/>
      <c r="G209" s="37"/>
      <c r="H209" s="37"/>
      <c r="I209" s="37"/>
      <c r="J209" s="41"/>
      <c r="K209" s="26">
        <f>IF(OR($E209&lt;&gt;"CS",$H209&lt;&gt;"x"),0,INDEX($Y$4:$Y$14,MATCH($G209,$X$4:$X219,0),1))*J209*1.1</f>
        <v>0</v>
      </c>
      <c r="L209" s="26">
        <f t="shared" si="26"/>
        <v>0</v>
      </c>
      <c r="M209" s="26">
        <f>IF($I209&lt;&gt;"x",0,INDEX($Y$27:$Y$37,MATCH($G209,$X$27:$X242,0),1))*J209*1.1</f>
        <v>0</v>
      </c>
      <c r="N209" s="26">
        <f t="shared" si="27"/>
        <v>0</v>
      </c>
      <c r="O209" s="20">
        <f t="shared" si="28"/>
        <v>0</v>
      </c>
      <c r="P209" s="20">
        <f>IF(OR($E209&lt;&gt;"CS",$H209&lt;&gt;"x"),0,INDEX($Z$4:$Z$14,MATCH($G209,$X$4:$X219,0),1))*J209*1.1</f>
        <v>0</v>
      </c>
      <c r="Q209" s="26">
        <f>IF($I209&lt;&gt;"x",0,INDEX($Z$27:$Z$37,MATCH($G209,$X$27:$X242,0),1))*J209*1.1</f>
        <v>0</v>
      </c>
      <c r="R209" s="20">
        <f t="shared" si="29"/>
        <v>0</v>
      </c>
      <c r="S209" s="86">
        <f t="shared" si="30"/>
        <v>0</v>
      </c>
    </row>
    <row r="210" spans="2:19">
      <c r="B210" s="14">
        <f t="shared" si="31"/>
        <v>207</v>
      </c>
      <c r="C210" s="37"/>
      <c r="D210" s="37"/>
      <c r="E210" s="37"/>
      <c r="F210" s="38"/>
      <c r="G210" s="37"/>
      <c r="H210" s="37"/>
      <c r="I210" s="37"/>
      <c r="J210" s="41"/>
      <c r="K210" s="26">
        <f>IF(OR($E210&lt;&gt;"CS",$H210&lt;&gt;"x"),0,INDEX($Y$4:$Y$14,MATCH($G210,$X$4:$X220,0),1))*J210*1.1</f>
        <v>0</v>
      </c>
      <c r="L210" s="26">
        <f t="shared" si="26"/>
        <v>0</v>
      </c>
      <c r="M210" s="26">
        <f>IF($I210&lt;&gt;"x",0,INDEX($Y$27:$Y$37,MATCH($G210,$X$27:$X243,0),1))*J210*1.1</f>
        <v>0</v>
      </c>
      <c r="N210" s="26">
        <f t="shared" si="27"/>
        <v>0</v>
      </c>
      <c r="O210" s="20">
        <f t="shared" si="28"/>
        <v>0</v>
      </c>
      <c r="P210" s="20">
        <f>IF(OR($E210&lt;&gt;"CS",$H210&lt;&gt;"x"),0,INDEX($Z$4:$Z$14,MATCH($G210,$X$4:$X220,0),1))*J210*1.1</f>
        <v>0</v>
      </c>
      <c r="Q210" s="26">
        <f>IF($I210&lt;&gt;"x",0,INDEX($Z$27:$Z$37,MATCH($G210,$X$27:$X243,0),1))*J210*1.1</f>
        <v>0</v>
      </c>
      <c r="R210" s="20">
        <f t="shared" si="29"/>
        <v>0</v>
      </c>
      <c r="S210" s="86">
        <f t="shared" si="30"/>
        <v>0</v>
      </c>
    </row>
    <row r="211" spans="2:19">
      <c r="B211" s="14">
        <f t="shared" si="31"/>
        <v>208</v>
      </c>
      <c r="C211" s="37"/>
      <c r="D211" s="37"/>
      <c r="E211" s="37"/>
      <c r="F211" s="38"/>
      <c r="G211" s="37"/>
      <c r="H211" s="37"/>
      <c r="I211" s="37"/>
      <c r="J211" s="41"/>
      <c r="K211" s="26">
        <f>IF(OR($E211&lt;&gt;"CS",$H211&lt;&gt;"x"),0,INDEX($Y$4:$Y$14,MATCH($G211,$X$4:$X221,0),1))*J211*1.1</f>
        <v>0</v>
      </c>
      <c r="L211" s="26">
        <f t="shared" si="26"/>
        <v>0</v>
      </c>
      <c r="M211" s="26">
        <f>IF($I211&lt;&gt;"x",0,INDEX($Y$27:$Y$37,MATCH($G211,$X$27:$X244,0),1))*J211*1.1</f>
        <v>0</v>
      </c>
      <c r="N211" s="26">
        <f t="shared" si="27"/>
        <v>0</v>
      </c>
      <c r="O211" s="20">
        <f t="shared" si="28"/>
        <v>0</v>
      </c>
      <c r="P211" s="20">
        <f>IF(OR($E211&lt;&gt;"CS",$H211&lt;&gt;"x"),0,INDEX($Z$4:$Z$14,MATCH($G211,$X$4:$X221,0),1))*J211*1.1</f>
        <v>0</v>
      </c>
      <c r="Q211" s="26">
        <f>IF($I211&lt;&gt;"x",0,INDEX($Z$27:$Z$37,MATCH($G211,$X$27:$X244,0),1))*J211*1.1</f>
        <v>0</v>
      </c>
      <c r="R211" s="20">
        <f t="shared" si="29"/>
        <v>0</v>
      </c>
      <c r="S211" s="86">
        <f t="shared" si="30"/>
        <v>0</v>
      </c>
    </row>
    <row r="212" spans="2:19">
      <c r="B212" s="14">
        <f t="shared" si="31"/>
        <v>209</v>
      </c>
      <c r="C212" s="37"/>
      <c r="D212" s="37"/>
      <c r="E212" s="37"/>
      <c r="F212" s="38"/>
      <c r="G212" s="37"/>
      <c r="H212" s="37"/>
      <c r="I212" s="37"/>
      <c r="J212" s="41"/>
      <c r="K212" s="26">
        <f>IF(OR($E212&lt;&gt;"CS",$H212&lt;&gt;"x"),0,INDEX($Y$4:$Y$14,MATCH($G212,$X$4:$X222,0),1))*J212*1.1</f>
        <v>0</v>
      </c>
      <c r="L212" s="26">
        <f t="shared" si="26"/>
        <v>0</v>
      </c>
      <c r="M212" s="26">
        <f>IF($I212&lt;&gt;"x",0,INDEX($Y$27:$Y$37,MATCH($G212,$X$27:$X245,0),1))*J212*1.1</f>
        <v>0</v>
      </c>
      <c r="N212" s="26">
        <f t="shared" si="27"/>
        <v>0</v>
      </c>
      <c r="O212" s="20">
        <f t="shared" si="28"/>
        <v>0</v>
      </c>
      <c r="P212" s="20">
        <f>IF(OR($E212&lt;&gt;"CS",$H212&lt;&gt;"x"),0,INDEX($Z$4:$Z$14,MATCH($G212,$X$4:$X222,0),1))*J212*1.1</f>
        <v>0</v>
      </c>
      <c r="Q212" s="26">
        <f>IF($I212&lt;&gt;"x",0,INDEX($Z$27:$Z$37,MATCH($G212,$X$27:$X245,0),1))*J212*1.1</f>
        <v>0</v>
      </c>
      <c r="R212" s="20">
        <f t="shared" si="29"/>
        <v>0</v>
      </c>
      <c r="S212" s="86">
        <f t="shared" si="30"/>
        <v>0</v>
      </c>
    </row>
    <row r="213" spans="2:19">
      <c r="B213" s="14">
        <f t="shared" si="31"/>
        <v>210</v>
      </c>
      <c r="C213" s="37"/>
      <c r="D213" s="37"/>
      <c r="E213" s="37"/>
      <c r="F213" s="38"/>
      <c r="G213" s="37"/>
      <c r="H213" s="37"/>
      <c r="I213" s="37"/>
      <c r="J213" s="41"/>
      <c r="K213" s="26">
        <f>IF(OR($E213&lt;&gt;"CS",$H213&lt;&gt;"x"),0,INDEX($Y$4:$Y$14,MATCH($G213,$X$4:$X223,0),1))*J213*1.1</f>
        <v>0</v>
      </c>
      <c r="L213" s="26">
        <f t="shared" si="26"/>
        <v>0</v>
      </c>
      <c r="M213" s="26">
        <f>IF($I213&lt;&gt;"x",0,INDEX($Y$27:$Y$37,MATCH($G213,$X$27:$X246,0),1))*J213*1.1</f>
        <v>0</v>
      </c>
      <c r="N213" s="26">
        <f t="shared" si="27"/>
        <v>0</v>
      </c>
      <c r="O213" s="20">
        <f t="shared" si="28"/>
        <v>0</v>
      </c>
      <c r="P213" s="20">
        <f>IF(OR($E213&lt;&gt;"CS",$H213&lt;&gt;"x"),0,INDEX($Z$4:$Z$14,MATCH($G213,$X$4:$X223,0),1))*J213*1.1</f>
        <v>0</v>
      </c>
      <c r="Q213" s="26">
        <f>IF($I213&lt;&gt;"x",0,INDEX($Z$27:$Z$37,MATCH($G213,$X$27:$X246,0),1))*J213*1.1</f>
        <v>0</v>
      </c>
      <c r="R213" s="20">
        <f t="shared" si="29"/>
        <v>0</v>
      </c>
      <c r="S213" s="86">
        <f t="shared" si="30"/>
        <v>0</v>
      </c>
    </row>
    <row r="214" spans="2:19">
      <c r="B214" s="14">
        <f t="shared" si="31"/>
        <v>211</v>
      </c>
      <c r="C214" s="37"/>
      <c r="D214" s="37"/>
      <c r="E214" s="37"/>
      <c r="F214" s="38"/>
      <c r="G214" s="37"/>
      <c r="H214" s="37"/>
      <c r="I214" s="37"/>
      <c r="J214" s="41"/>
      <c r="K214" s="26">
        <f>IF(OR($E214&lt;&gt;"CS",$H214&lt;&gt;"x"),0,INDEX($Y$4:$Y$14,MATCH($G214,$X$4:$X224,0),1))*J214*1.1</f>
        <v>0</v>
      </c>
      <c r="L214" s="26">
        <f t="shared" si="26"/>
        <v>0</v>
      </c>
      <c r="M214" s="26">
        <f>IF($I214&lt;&gt;"x",0,INDEX($Y$27:$Y$37,MATCH($G214,$X$27:$X247,0),1))*J214*1.1</f>
        <v>0</v>
      </c>
      <c r="N214" s="26">
        <f t="shared" si="27"/>
        <v>0</v>
      </c>
      <c r="O214" s="20">
        <f t="shared" si="28"/>
        <v>0</v>
      </c>
      <c r="P214" s="20">
        <f>IF(OR($E214&lt;&gt;"CS",$H214&lt;&gt;"x"),0,INDEX($Z$4:$Z$14,MATCH($G214,$X$4:$X224,0),1))*J214*1.1</f>
        <v>0</v>
      </c>
      <c r="Q214" s="26">
        <f>IF($I214&lt;&gt;"x",0,INDEX($Z$27:$Z$37,MATCH($G214,$X$27:$X247,0),1))*J214*1.1</f>
        <v>0</v>
      </c>
      <c r="R214" s="20">
        <f t="shared" si="29"/>
        <v>0</v>
      </c>
      <c r="S214" s="86">
        <f t="shared" si="30"/>
        <v>0</v>
      </c>
    </row>
    <row r="215" spans="2:19">
      <c r="B215" s="14">
        <f t="shared" si="31"/>
        <v>212</v>
      </c>
      <c r="C215" s="37"/>
      <c r="D215" s="37"/>
      <c r="E215" s="37"/>
      <c r="F215" s="38"/>
      <c r="G215" s="37"/>
      <c r="H215" s="37"/>
      <c r="I215" s="37"/>
      <c r="J215" s="41"/>
      <c r="K215" s="26">
        <f>IF(OR($E215&lt;&gt;"CS",$H215&lt;&gt;"x"),0,INDEX($Y$4:$Y$14,MATCH($G215,$X$4:$X225,0),1))*J215*1.1</f>
        <v>0</v>
      </c>
      <c r="L215" s="26">
        <f t="shared" si="26"/>
        <v>0</v>
      </c>
      <c r="M215" s="26">
        <f>IF($I215&lt;&gt;"x",0,INDEX($Y$27:$Y$37,MATCH($G215,$X$27:$X248,0),1))*J215*1.1</f>
        <v>0</v>
      </c>
      <c r="N215" s="26">
        <f t="shared" si="27"/>
        <v>0</v>
      </c>
      <c r="O215" s="20">
        <f t="shared" si="28"/>
        <v>0</v>
      </c>
      <c r="P215" s="20">
        <f>IF(OR($E215&lt;&gt;"CS",$H215&lt;&gt;"x"),0,INDEX($Z$4:$Z$14,MATCH($G215,$X$4:$X225,0),1))*J215*1.1</f>
        <v>0</v>
      </c>
      <c r="Q215" s="26">
        <f>IF($I215&lt;&gt;"x",0,INDEX($Z$27:$Z$37,MATCH($G215,$X$27:$X248,0),1))*J215*1.1</f>
        <v>0</v>
      </c>
      <c r="R215" s="20">
        <f t="shared" si="29"/>
        <v>0</v>
      </c>
      <c r="S215" s="86">
        <f t="shared" si="30"/>
        <v>0</v>
      </c>
    </row>
    <row r="216" spans="2:19">
      <c r="B216" s="14">
        <f t="shared" si="31"/>
        <v>213</v>
      </c>
      <c r="C216" s="37"/>
      <c r="D216" s="37"/>
      <c r="E216" s="37"/>
      <c r="F216" s="38"/>
      <c r="G216" s="37"/>
      <c r="H216" s="37"/>
      <c r="I216" s="37"/>
      <c r="J216" s="41"/>
      <c r="K216" s="26">
        <f>IF(OR($E216&lt;&gt;"CS",$H216&lt;&gt;"x"),0,INDEX($Y$4:$Y$14,MATCH($G216,$X$4:$X226,0),1))*J216*1.1</f>
        <v>0</v>
      </c>
      <c r="L216" s="26">
        <f t="shared" si="26"/>
        <v>0</v>
      </c>
      <c r="M216" s="26">
        <f>IF($I216&lt;&gt;"x",0,INDEX($Y$27:$Y$37,MATCH($G216,$X$27:$X249,0),1))*J216*1.1</f>
        <v>0</v>
      </c>
      <c r="N216" s="26">
        <f t="shared" si="27"/>
        <v>0</v>
      </c>
      <c r="O216" s="20">
        <f t="shared" si="28"/>
        <v>0</v>
      </c>
      <c r="P216" s="20">
        <f>IF(OR($E216&lt;&gt;"CS",$H216&lt;&gt;"x"),0,INDEX($Z$4:$Z$14,MATCH($G216,$X$4:$X226,0),1))*J216*1.1</f>
        <v>0</v>
      </c>
      <c r="Q216" s="26">
        <f>IF($I216&lt;&gt;"x",0,INDEX($Z$27:$Z$37,MATCH($G216,$X$27:$X249,0),1))*J216*1.1</f>
        <v>0</v>
      </c>
      <c r="R216" s="20">
        <f t="shared" si="29"/>
        <v>0</v>
      </c>
      <c r="S216" s="86">
        <f t="shared" si="30"/>
        <v>0</v>
      </c>
    </row>
    <row r="217" spans="2:19">
      <c r="B217" s="14">
        <f t="shared" si="31"/>
        <v>214</v>
      </c>
      <c r="C217" s="37"/>
      <c r="D217" s="37"/>
      <c r="E217" s="37"/>
      <c r="F217" s="38"/>
      <c r="G217" s="37"/>
      <c r="H217" s="37"/>
      <c r="I217" s="37"/>
      <c r="J217" s="41"/>
      <c r="K217" s="26">
        <f>IF(OR($E217&lt;&gt;"CS",$H217&lt;&gt;"x"),0,INDEX($Y$4:$Y$14,MATCH($G217,$X$4:$X227,0),1))*J217*1.1</f>
        <v>0</v>
      </c>
      <c r="L217" s="26">
        <f t="shared" si="26"/>
        <v>0</v>
      </c>
      <c r="M217" s="26">
        <f>IF($I217&lt;&gt;"x",0,INDEX($Y$27:$Y$37,MATCH($G217,$X$27:$X250,0),1))*J217*1.1</f>
        <v>0</v>
      </c>
      <c r="N217" s="26">
        <f t="shared" si="27"/>
        <v>0</v>
      </c>
      <c r="O217" s="20">
        <f t="shared" si="28"/>
        <v>0</v>
      </c>
      <c r="P217" s="20">
        <f>IF(OR($E217&lt;&gt;"CS",$H217&lt;&gt;"x"),0,INDEX($Z$4:$Z$14,MATCH($G217,$X$4:$X227,0),1))*J217*1.1</f>
        <v>0</v>
      </c>
      <c r="Q217" s="26">
        <f>IF($I217&lt;&gt;"x",0,INDEX($Z$27:$Z$37,MATCH($G217,$X$27:$X250,0),1))*J217*1.1</f>
        <v>0</v>
      </c>
      <c r="R217" s="20">
        <f t="shared" si="29"/>
        <v>0</v>
      </c>
      <c r="S217" s="86">
        <f t="shared" si="30"/>
        <v>0</v>
      </c>
    </row>
    <row r="218" spans="2:19">
      <c r="B218" s="14">
        <f t="shared" si="31"/>
        <v>215</v>
      </c>
      <c r="C218" s="37"/>
      <c r="D218" s="37"/>
      <c r="E218" s="37"/>
      <c r="F218" s="38"/>
      <c r="G218" s="37"/>
      <c r="H218" s="37"/>
      <c r="I218" s="37"/>
      <c r="J218" s="41"/>
      <c r="K218" s="26">
        <f>IF(OR($E218&lt;&gt;"CS",$H218&lt;&gt;"x"),0,INDEX($Y$4:$Y$14,MATCH($G218,$X$4:$X228,0),1))*J218*1.1</f>
        <v>0</v>
      </c>
      <c r="L218" s="26">
        <f t="shared" si="26"/>
        <v>0</v>
      </c>
      <c r="M218" s="26">
        <f>IF($I218&lt;&gt;"x",0,INDEX($Y$27:$Y$37,MATCH($G218,$X$27:$X251,0),1))*J218*1.1</f>
        <v>0</v>
      </c>
      <c r="N218" s="26">
        <f t="shared" si="27"/>
        <v>0</v>
      </c>
      <c r="O218" s="20">
        <f t="shared" si="28"/>
        <v>0</v>
      </c>
      <c r="P218" s="20">
        <f>IF(OR($E218&lt;&gt;"CS",$H218&lt;&gt;"x"),0,INDEX($Z$4:$Z$14,MATCH($G218,$X$4:$X228,0),1))*J218*1.1</f>
        <v>0</v>
      </c>
      <c r="Q218" s="26">
        <f>IF($I218&lt;&gt;"x",0,INDEX($Z$27:$Z$37,MATCH($G218,$X$27:$X251,0),1))*J218*1.1</f>
        <v>0</v>
      </c>
      <c r="R218" s="20">
        <f t="shared" si="29"/>
        <v>0</v>
      </c>
      <c r="S218" s="86">
        <f t="shared" si="30"/>
        <v>0</v>
      </c>
    </row>
    <row r="219" spans="2:19">
      <c r="B219" s="14">
        <f t="shared" si="31"/>
        <v>216</v>
      </c>
      <c r="C219" s="37"/>
      <c r="D219" s="37"/>
      <c r="E219" s="37"/>
      <c r="F219" s="38"/>
      <c r="G219" s="37"/>
      <c r="H219" s="37"/>
      <c r="I219" s="37"/>
      <c r="J219" s="41"/>
      <c r="K219" s="26">
        <f>IF(OR($E219&lt;&gt;"CS",$H219&lt;&gt;"x"),0,INDEX($Y$4:$Y$14,MATCH($G219,$X$4:$X229,0),1))*J219*1.1</f>
        <v>0</v>
      </c>
      <c r="L219" s="26">
        <f t="shared" si="26"/>
        <v>0</v>
      </c>
      <c r="M219" s="26">
        <f>IF($I219&lt;&gt;"x",0,INDEX($Y$27:$Y$37,MATCH($G219,$X$27:$X252,0),1))*J219*1.1</f>
        <v>0</v>
      </c>
      <c r="N219" s="26">
        <f t="shared" si="27"/>
        <v>0</v>
      </c>
      <c r="O219" s="20">
        <f t="shared" si="28"/>
        <v>0</v>
      </c>
      <c r="P219" s="20">
        <f>IF(OR($E219&lt;&gt;"CS",$H219&lt;&gt;"x"),0,INDEX($Z$4:$Z$14,MATCH($G219,$X$4:$X229,0),1))*J219*1.1</f>
        <v>0</v>
      </c>
      <c r="Q219" s="26">
        <f>IF($I219&lt;&gt;"x",0,INDEX($Z$27:$Z$37,MATCH($G219,$X$27:$X252,0),1))*J219*1.1</f>
        <v>0</v>
      </c>
      <c r="R219" s="20">
        <f t="shared" si="29"/>
        <v>0</v>
      </c>
      <c r="S219" s="86">
        <f t="shared" si="30"/>
        <v>0</v>
      </c>
    </row>
    <row r="220" spans="2:19">
      <c r="B220" s="14">
        <f t="shared" si="31"/>
        <v>217</v>
      </c>
      <c r="C220" s="37"/>
      <c r="D220" s="37"/>
      <c r="E220" s="37"/>
      <c r="F220" s="38"/>
      <c r="G220" s="37"/>
      <c r="H220" s="37"/>
      <c r="I220" s="37"/>
      <c r="J220" s="41"/>
      <c r="K220" s="26">
        <f>IF(OR($E220&lt;&gt;"CS",$H220&lt;&gt;"x"),0,INDEX($Y$4:$Y$14,MATCH($G220,$X$4:$X230,0),1))*J220*1.1</f>
        <v>0</v>
      </c>
      <c r="L220" s="26">
        <f t="shared" si="26"/>
        <v>0</v>
      </c>
      <c r="M220" s="26">
        <f>IF($I220&lt;&gt;"x",0,INDEX($Y$27:$Y$37,MATCH($G220,$X$27:$X253,0),1))*J220*1.1</f>
        <v>0</v>
      </c>
      <c r="N220" s="26">
        <f t="shared" si="27"/>
        <v>0</v>
      </c>
      <c r="O220" s="20">
        <f t="shared" si="28"/>
        <v>0</v>
      </c>
      <c r="P220" s="20">
        <f>IF(OR($E220&lt;&gt;"CS",$H220&lt;&gt;"x"),0,INDEX($Z$4:$Z$14,MATCH($G220,$X$4:$X230,0),1))*J220*1.1</f>
        <v>0</v>
      </c>
      <c r="Q220" s="26">
        <f>IF($I220&lt;&gt;"x",0,INDEX($Z$27:$Z$37,MATCH($G220,$X$27:$X253,0),1))*J220*1.1</f>
        <v>0</v>
      </c>
      <c r="R220" s="20">
        <f t="shared" si="29"/>
        <v>0</v>
      </c>
      <c r="S220" s="86">
        <f t="shared" si="30"/>
        <v>0</v>
      </c>
    </row>
    <row r="221" spans="2:19">
      <c r="B221" s="14">
        <f t="shared" si="31"/>
        <v>218</v>
      </c>
      <c r="C221" s="37"/>
      <c r="D221" s="37"/>
      <c r="E221" s="37"/>
      <c r="F221" s="38"/>
      <c r="G221" s="37"/>
      <c r="H221" s="37"/>
      <c r="I221" s="37"/>
      <c r="J221" s="41"/>
      <c r="K221" s="26">
        <f>IF(OR($E221&lt;&gt;"CS",$H221&lt;&gt;"x"),0,INDEX($Y$4:$Y$14,MATCH($G221,$X$4:$X231,0),1))*J221*1.1</f>
        <v>0</v>
      </c>
      <c r="L221" s="26">
        <f t="shared" si="26"/>
        <v>0</v>
      </c>
      <c r="M221" s="26">
        <f>IF($I221&lt;&gt;"x",0,INDEX($Y$27:$Y$37,MATCH($G221,$X$27:$X254,0),1))*J221*1.1</f>
        <v>0</v>
      </c>
      <c r="N221" s="26">
        <f t="shared" si="27"/>
        <v>0</v>
      </c>
      <c r="O221" s="20">
        <f t="shared" si="28"/>
        <v>0</v>
      </c>
      <c r="P221" s="20">
        <f>IF(OR($E221&lt;&gt;"CS",$H221&lt;&gt;"x"),0,INDEX($Z$4:$Z$14,MATCH($G221,$X$4:$X231,0),1))*J221*1.1</f>
        <v>0</v>
      </c>
      <c r="Q221" s="26">
        <f>IF($I221&lt;&gt;"x",0,INDEX($Z$27:$Z$37,MATCH($G221,$X$27:$X254,0),1))*J221*1.1</f>
        <v>0</v>
      </c>
      <c r="R221" s="20">
        <f t="shared" si="29"/>
        <v>0</v>
      </c>
      <c r="S221" s="86">
        <f t="shared" si="30"/>
        <v>0</v>
      </c>
    </row>
    <row r="222" spans="2:19">
      <c r="B222" s="14">
        <f t="shared" si="31"/>
        <v>219</v>
      </c>
      <c r="C222" s="37"/>
      <c r="D222" s="37"/>
      <c r="E222" s="37"/>
      <c r="F222" s="38"/>
      <c r="G222" s="37"/>
      <c r="H222" s="37"/>
      <c r="I222" s="37"/>
      <c r="J222" s="41"/>
      <c r="K222" s="26">
        <f>IF(OR($E222&lt;&gt;"CS",$H222&lt;&gt;"x"),0,INDEX($Y$4:$Y$14,MATCH($G222,$X$4:$X232,0),1))*J222*1.1</f>
        <v>0</v>
      </c>
      <c r="L222" s="26">
        <f t="shared" si="26"/>
        <v>0</v>
      </c>
      <c r="M222" s="26">
        <f>IF($I222&lt;&gt;"x",0,INDEX($Y$27:$Y$37,MATCH($G222,$X$27:$X255,0),1))*J222*1.1</f>
        <v>0</v>
      </c>
      <c r="N222" s="26">
        <f t="shared" si="27"/>
        <v>0</v>
      </c>
      <c r="O222" s="20">
        <f t="shared" si="28"/>
        <v>0</v>
      </c>
      <c r="P222" s="20">
        <f>IF(OR($E222&lt;&gt;"CS",$H222&lt;&gt;"x"),0,INDEX($Z$4:$Z$14,MATCH($G222,$X$4:$X232,0),1))*J222*1.1</f>
        <v>0</v>
      </c>
      <c r="Q222" s="26">
        <f>IF($I222&lt;&gt;"x",0,INDEX($Z$27:$Z$37,MATCH($G222,$X$27:$X255,0),1))*J222*1.1</f>
        <v>0</v>
      </c>
      <c r="R222" s="20">
        <f t="shared" si="29"/>
        <v>0</v>
      </c>
      <c r="S222" s="86">
        <f t="shared" si="30"/>
        <v>0</v>
      </c>
    </row>
    <row r="223" spans="2:19">
      <c r="B223" s="14">
        <f t="shared" si="31"/>
        <v>220</v>
      </c>
      <c r="C223" s="37"/>
      <c r="D223" s="37"/>
      <c r="E223" s="37"/>
      <c r="F223" s="38"/>
      <c r="G223" s="37"/>
      <c r="H223" s="37"/>
      <c r="I223" s="37"/>
      <c r="J223" s="41"/>
      <c r="K223" s="26">
        <f>IF(OR($E223&lt;&gt;"CS",$H223&lt;&gt;"x"),0,INDEX($Y$4:$Y$14,MATCH($G223,$X$4:$X233,0),1))*J223*1.1</f>
        <v>0</v>
      </c>
      <c r="L223" s="26">
        <f t="shared" si="26"/>
        <v>0</v>
      </c>
      <c r="M223" s="26">
        <f>IF($I223&lt;&gt;"x",0,INDEX($Y$27:$Y$37,MATCH($G223,$X$27:$X256,0),1))*J223*1.1</f>
        <v>0</v>
      </c>
      <c r="N223" s="26">
        <f t="shared" si="27"/>
        <v>0</v>
      </c>
      <c r="O223" s="20">
        <f t="shared" si="28"/>
        <v>0</v>
      </c>
      <c r="P223" s="20">
        <f>IF(OR($E223&lt;&gt;"CS",$H223&lt;&gt;"x"),0,INDEX($Z$4:$Z$14,MATCH($G223,$X$4:$X233,0),1))*J223*1.1</f>
        <v>0</v>
      </c>
      <c r="Q223" s="26">
        <f>IF($I223&lt;&gt;"x",0,INDEX($Z$27:$Z$37,MATCH($G223,$X$27:$X256,0),1))*J223*1.1</f>
        <v>0</v>
      </c>
      <c r="R223" s="20">
        <f t="shared" si="29"/>
        <v>0</v>
      </c>
      <c r="S223" s="86">
        <f t="shared" si="30"/>
        <v>0</v>
      </c>
    </row>
    <row r="224" spans="2:19">
      <c r="B224" s="14">
        <f t="shared" si="31"/>
        <v>221</v>
      </c>
      <c r="C224" s="37"/>
      <c r="D224" s="37"/>
      <c r="E224" s="37"/>
      <c r="F224" s="38"/>
      <c r="G224" s="37"/>
      <c r="H224" s="37"/>
      <c r="I224" s="37"/>
      <c r="J224" s="41"/>
      <c r="K224" s="26">
        <f>IF(OR($E224&lt;&gt;"CS",$H224&lt;&gt;"x"),0,INDEX($Y$4:$Y$14,MATCH($G224,$X$4:$X234,0),1))*J224*1.1</f>
        <v>0</v>
      </c>
      <c r="L224" s="26">
        <f t="shared" si="26"/>
        <v>0</v>
      </c>
      <c r="M224" s="26">
        <f>IF($I224&lt;&gt;"x",0,INDEX($Y$27:$Y$37,MATCH($G224,$X$27:$X257,0),1))*J224*1.1</f>
        <v>0</v>
      </c>
      <c r="N224" s="26">
        <f t="shared" si="27"/>
        <v>0</v>
      </c>
      <c r="O224" s="20">
        <f t="shared" si="28"/>
        <v>0</v>
      </c>
      <c r="P224" s="20">
        <f>IF(OR($E224&lt;&gt;"CS",$H224&lt;&gt;"x"),0,INDEX($Z$4:$Z$14,MATCH($G224,$X$4:$X234,0),1))*J224*1.1</f>
        <v>0</v>
      </c>
      <c r="Q224" s="26">
        <f>IF($I224&lt;&gt;"x",0,INDEX($Z$27:$Z$37,MATCH($G224,$X$27:$X257,0),1))*J224*1.1</f>
        <v>0</v>
      </c>
      <c r="R224" s="20">
        <f t="shared" si="29"/>
        <v>0</v>
      </c>
      <c r="S224" s="86">
        <f t="shared" si="30"/>
        <v>0</v>
      </c>
    </row>
    <row r="225" spans="2:19">
      <c r="B225" s="14">
        <f t="shared" si="31"/>
        <v>222</v>
      </c>
      <c r="C225" s="37"/>
      <c r="D225" s="37"/>
      <c r="E225" s="37"/>
      <c r="F225" s="38"/>
      <c r="G225" s="37"/>
      <c r="H225" s="37"/>
      <c r="I225" s="37"/>
      <c r="J225" s="41"/>
      <c r="K225" s="26">
        <f>IF(OR($E225&lt;&gt;"CS",$H225&lt;&gt;"x"),0,INDEX($Y$4:$Y$14,MATCH($G225,$X$4:$X235,0),1))*J225*1.1</f>
        <v>0</v>
      </c>
      <c r="L225" s="26">
        <f t="shared" si="26"/>
        <v>0</v>
      </c>
      <c r="M225" s="26">
        <f>IF($I225&lt;&gt;"x",0,INDEX($Y$27:$Y$37,MATCH($G225,$X$27:$X258,0),1))*J225*1.1</f>
        <v>0</v>
      </c>
      <c r="N225" s="26">
        <f t="shared" si="27"/>
        <v>0</v>
      </c>
      <c r="O225" s="20">
        <f t="shared" si="28"/>
        <v>0</v>
      </c>
      <c r="P225" s="20">
        <f>IF(OR($E225&lt;&gt;"CS",$H225&lt;&gt;"x"),0,INDEX($Z$4:$Z$14,MATCH($G225,$X$4:$X235,0),1))*J225*1.1</f>
        <v>0</v>
      </c>
      <c r="Q225" s="26">
        <f>IF($I225&lt;&gt;"x",0,INDEX($Z$27:$Z$37,MATCH($G225,$X$27:$X258,0),1))*J225*1.1</f>
        <v>0</v>
      </c>
      <c r="R225" s="20">
        <f t="shared" si="29"/>
        <v>0</v>
      </c>
      <c r="S225" s="86">
        <f t="shared" si="30"/>
        <v>0</v>
      </c>
    </row>
    <row r="226" spans="2:19">
      <c r="B226" s="14">
        <f t="shared" si="31"/>
        <v>223</v>
      </c>
      <c r="C226" s="37"/>
      <c r="D226" s="37"/>
      <c r="E226" s="37"/>
      <c r="F226" s="38"/>
      <c r="G226" s="37"/>
      <c r="H226" s="37"/>
      <c r="I226" s="37"/>
      <c r="J226" s="41"/>
      <c r="K226" s="26">
        <f>IF(OR($E226&lt;&gt;"CS",$H226&lt;&gt;"x"),0,INDEX($Y$4:$Y$14,MATCH($G226,$X$4:$X236,0),1))*J226*1.1</f>
        <v>0</v>
      </c>
      <c r="L226" s="26">
        <f t="shared" si="26"/>
        <v>0</v>
      </c>
      <c r="M226" s="26">
        <f>IF($I226&lt;&gt;"x",0,INDEX($Y$27:$Y$37,MATCH($G226,$X$27:$X259,0),1))*J226*1.1</f>
        <v>0</v>
      </c>
      <c r="N226" s="26">
        <f t="shared" si="27"/>
        <v>0</v>
      </c>
      <c r="O226" s="20">
        <f t="shared" si="28"/>
        <v>0</v>
      </c>
      <c r="P226" s="20">
        <f>IF(OR($E226&lt;&gt;"CS",$H226&lt;&gt;"x"),0,INDEX($Z$4:$Z$14,MATCH($G226,$X$4:$X236,0),1))*J226*1.1</f>
        <v>0</v>
      </c>
      <c r="Q226" s="26">
        <f>IF($I226&lt;&gt;"x",0,INDEX($Z$27:$Z$37,MATCH($G226,$X$27:$X259,0),1))*J226*1.1</f>
        <v>0</v>
      </c>
      <c r="R226" s="20">
        <f t="shared" si="29"/>
        <v>0</v>
      </c>
      <c r="S226" s="86">
        <f t="shared" si="30"/>
        <v>0</v>
      </c>
    </row>
    <row r="227" spans="2:19">
      <c r="B227" s="14">
        <f t="shared" si="31"/>
        <v>224</v>
      </c>
      <c r="C227" s="37"/>
      <c r="D227" s="37"/>
      <c r="E227" s="37"/>
      <c r="F227" s="38"/>
      <c r="G227" s="37"/>
      <c r="H227" s="37"/>
      <c r="I227" s="37"/>
      <c r="J227" s="41"/>
      <c r="K227" s="26">
        <f>IF(OR($E227&lt;&gt;"CS",$H227&lt;&gt;"x"),0,INDEX($Y$4:$Y$14,MATCH($G227,$X$4:$X237,0),1))*J227*1.1</f>
        <v>0</v>
      </c>
      <c r="L227" s="26">
        <f t="shared" si="26"/>
        <v>0</v>
      </c>
      <c r="M227" s="26">
        <f>IF($I227&lt;&gt;"x",0,INDEX($Y$27:$Y$37,MATCH($G227,$X$27:$X260,0),1))*J227*1.1</f>
        <v>0</v>
      </c>
      <c r="N227" s="26">
        <f t="shared" si="27"/>
        <v>0</v>
      </c>
      <c r="O227" s="20">
        <f t="shared" si="28"/>
        <v>0</v>
      </c>
      <c r="P227" s="20">
        <f>IF(OR($E227&lt;&gt;"CS",$H227&lt;&gt;"x"),0,INDEX($Z$4:$Z$14,MATCH($G227,$X$4:$X237,0),1))*J227*1.1</f>
        <v>0</v>
      </c>
      <c r="Q227" s="26">
        <f>IF($I227&lt;&gt;"x",0,INDEX($Z$27:$Z$37,MATCH($G227,$X$27:$X260,0),1))*J227*1.1</f>
        <v>0</v>
      </c>
      <c r="R227" s="20">
        <f t="shared" si="29"/>
        <v>0</v>
      </c>
      <c r="S227" s="86">
        <f t="shared" si="30"/>
        <v>0</v>
      </c>
    </row>
    <row r="228" spans="2:19">
      <c r="B228" s="14">
        <f t="shared" si="31"/>
        <v>225</v>
      </c>
      <c r="C228" s="37"/>
      <c r="D228" s="37"/>
      <c r="E228" s="37"/>
      <c r="F228" s="38"/>
      <c r="G228" s="37"/>
      <c r="H228" s="37"/>
      <c r="I228" s="37"/>
      <c r="J228" s="41"/>
      <c r="K228" s="26">
        <f>IF(OR($E228&lt;&gt;"CS",$H228&lt;&gt;"x"),0,INDEX($Y$4:$Y$14,MATCH($G228,$X$4:$X238,0),1))*J228*1.1</f>
        <v>0</v>
      </c>
      <c r="L228" s="26">
        <f t="shared" si="26"/>
        <v>0</v>
      </c>
      <c r="M228" s="26">
        <f>IF($I228&lt;&gt;"x",0,INDEX($Y$27:$Y$37,MATCH($G228,$X$27:$X261,0),1))*J228*1.1</f>
        <v>0</v>
      </c>
      <c r="N228" s="26">
        <f t="shared" si="27"/>
        <v>0</v>
      </c>
      <c r="O228" s="20">
        <f t="shared" si="28"/>
        <v>0</v>
      </c>
      <c r="P228" s="20">
        <f>IF(OR($E228&lt;&gt;"CS",$H228&lt;&gt;"x"),0,INDEX($Z$4:$Z$14,MATCH($G228,$X$4:$X238,0),1))*J228*1.1</f>
        <v>0</v>
      </c>
      <c r="Q228" s="26">
        <f>IF($I228&lt;&gt;"x",0,INDEX($Z$27:$Z$37,MATCH($G228,$X$27:$X261,0),1))*J228*1.1</f>
        <v>0</v>
      </c>
      <c r="R228" s="20">
        <f t="shared" si="29"/>
        <v>0</v>
      </c>
      <c r="S228" s="86">
        <f t="shared" si="30"/>
        <v>0</v>
      </c>
    </row>
    <row r="229" spans="2:19">
      <c r="B229" s="14">
        <f t="shared" si="31"/>
        <v>226</v>
      </c>
      <c r="C229" s="37"/>
      <c r="D229" s="37"/>
      <c r="E229" s="37"/>
      <c r="F229" s="38"/>
      <c r="G229" s="37"/>
      <c r="H229" s="37"/>
      <c r="I229" s="37"/>
      <c r="J229" s="41"/>
      <c r="K229" s="26">
        <f>IF(OR($E229&lt;&gt;"CS",$H229&lt;&gt;"x"),0,INDEX($Y$4:$Y$14,MATCH($G229,$X$4:$X239,0),1))*J229*1.1</f>
        <v>0</v>
      </c>
      <c r="L229" s="26">
        <f t="shared" si="26"/>
        <v>0</v>
      </c>
      <c r="M229" s="26">
        <f>IF($I229&lt;&gt;"x",0,INDEX($Y$27:$Y$37,MATCH($G229,$X$27:$X262,0),1))*J229*1.1</f>
        <v>0</v>
      </c>
      <c r="N229" s="26">
        <f t="shared" si="27"/>
        <v>0</v>
      </c>
      <c r="O229" s="20">
        <f t="shared" si="28"/>
        <v>0</v>
      </c>
      <c r="P229" s="20">
        <f>IF(OR($E229&lt;&gt;"CS",$H229&lt;&gt;"x"),0,INDEX($Z$4:$Z$14,MATCH($G229,$X$4:$X239,0),1))*J229*1.1</f>
        <v>0</v>
      </c>
      <c r="Q229" s="26">
        <f>IF($I229&lt;&gt;"x",0,INDEX($Z$27:$Z$37,MATCH($G229,$X$27:$X262,0),1))*J229*1.1</f>
        <v>0</v>
      </c>
      <c r="R229" s="20">
        <f t="shared" si="29"/>
        <v>0</v>
      </c>
      <c r="S229" s="86">
        <f t="shared" si="30"/>
        <v>0</v>
      </c>
    </row>
    <row r="230" spans="2:19">
      <c r="B230" s="14">
        <f t="shared" si="31"/>
        <v>227</v>
      </c>
      <c r="C230" s="37"/>
      <c r="D230" s="37"/>
      <c r="E230" s="37"/>
      <c r="F230" s="38"/>
      <c r="G230" s="37"/>
      <c r="H230" s="37"/>
      <c r="I230" s="37"/>
      <c r="J230" s="41"/>
      <c r="K230" s="26">
        <f>IF(OR($E230&lt;&gt;"CS",$H230&lt;&gt;"x"),0,INDEX($Y$4:$Y$14,MATCH($G230,$X$4:$X240,0),1))*J230*1.1</f>
        <v>0</v>
      </c>
      <c r="L230" s="26">
        <f t="shared" si="26"/>
        <v>0</v>
      </c>
      <c r="M230" s="26">
        <f>IF($I230&lt;&gt;"x",0,INDEX($Y$27:$Y$37,MATCH($G230,$X$27:$X263,0),1))*J230*1.1</f>
        <v>0</v>
      </c>
      <c r="N230" s="26">
        <f t="shared" si="27"/>
        <v>0</v>
      </c>
      <c r="O230" s="20">
        <f t="shared" si="28"/>
        <v>0</v>
      </c>
      <c r="P230" s="20">
        <f>IF(OR($E230&lt;&gt;"CS",$H230&lt;&gt;"x"),0,INDEX($Z$4:$Z$14,MATCH($G230,$X$4:$X240,0),1))*J230*1.1</f>
        <v>0</v>
      </c>
      <c r="Q230" s="26">
        <f>IF($I230&lt;&gt;"x",0,INDEX($Z$27:$Z$37,MATCH($G230,$X$27:$X263,0),1))*J230*1.1</f>
        <v>0</v>
      </c>
      <c r="R230" s="20">
        <f t="shared" si="29"/>
        <v>0</v>
      </c>
      <c r="S230" s="86">
        <f t="shared" si="30"/>
        <v>0</v>
      </c>
    </row>
    <row r="231" spans="2:19">
      <c r="B231" s="14">
        <f t="shared" si="31"/>
        <v>228</v>
      </c>
      <c r="C231" s="37"/>
      <c r="D231" s="37"/>
      <c r="E231" s="37"/>
      <c r="F231" s="38"/>
      <c r="G231" s="37"/>
      <c r="H231" s="37"/>
      <c r="I231" s="37"/>
      <c r="J231" s="41"/>
      <c r="K231" s="26">
        <f>IF(OR($E231&lt;&gt;"CS",$H231&lt;&gt;"x"),0,INDEX($Y$4:$Y$14,MATCH($G231,$X$4:$X241,0),1))*J231*1.1</f>
        <v>0</v>
      </c>
      <c r="L231" s="26">
        <f t="shared" si="26"/>
        <v>0</v>
      </c>
      <c r="M231" s="26">
        <f>IF($I231&lt;&gt;"x",0,INDEX($Y$27:$Y$37,MATCH($G231,$X$27:$X264,0),1))*J231*1.1</f>
        <v>0</v>
      </c>
      <c r="N231" s="26">
        <f t="shared" si="27"/>
        <v>0</v>
      </c>
      <c r="O231" s="20">
        <f t="shared" si="28"/>
        <v>0</v>
      </c>
      <c r="P231" s="20">
        <f>IF(OR($E231&lt;&gt;"CS",$H231&lt;&gt;"x"),0,INDEX($Z$4:$Z$14,MATCH($G231,$X$4:$X241,0),1))*J231*1.1</f>
        <v>0</v>
      </c>
      <c r="Q231" s="26">
        <f>IF($I231&lt;&gt;"x",0,INDEX($Z$27:$Z$37,MATCH($G231,$X$27:$X264,0),1))*J231*1.1</f>
        <v>0</v>
      </c>
      <c r="R231" s="20">
        <f t="shared" si="29"/>
        <v>0</v>
      </c>
      <c r="S231" s="86">
        <f t="shared" si="30"/>
        <v>0</v>
      </c>
    </row>
    <row r="232" spans="2:19">
      <c r="B232" s="14">
        <f t="shared" si="31"/>
        <v>229</v>
      </c>
      <c r="C232" s="37"/>
      <c r="D232" s="37"/>
      <c r="E232" s="37"/>
      <c r="F232" s="38"/>
      <c r="G232" s="37"/>
      <c r="H232" s="37"/>
      <c r="I232" s="37"/>
      <c r="J232" s="41"/>
      <c r="K232" s="26">
        <f>IF(OR($E232&lt;&gt;"CS",$H232&lt;&gt;"x"),0,INDEX($Y$4:$Y$14,MATCH($G232,$X$4:$X242,0),1))*J232*1.1</f>
        <v>0</v>
      </c>
      <c r="L232" s="26">
        <f t="shared" si="26"/>
        <v>0</v>
      </c>
      <c r="M232" s="26">
        <f>IF($I232&lt;&gt;"x",0,INDEX($Y$27:$Y$37,MATCH($G232,$X$27:$X265,0),1))*J232*1.1</f>
        <v>0</v>
      </c>
      <c r="N232" s="26">
        <f t="shared" si="27"/>
        <v>0</v>
      </c>
      <c r="O232" s="20">
        <f t="shared" si="28"/>
        <v>0</v>
      </c>
      <c r="P232" s="20">
        <f>IF(OR($E232&lt;&gt;"CS",$H232&lt;&gt;"x"),0,INDEX($Z$4:$Z$14,MATCH($G232,$X$4:$X242,0),1))*J232*1.1</f>
        <v>0</v>
      </c>
      <c r="Q232" s="26">
        <f>IF($I232&lt;&gt;"x",0,INDEX($Z$27:$Z$37,MATCH($G232,$X$27:$X265,0),1))*J232*1.1</f>
        <v>0</v>
      </c>
      <c r="R232" s="20">
        <f t="shared" si="29"/>
        <v>0</v>
      </c>
      <c r="S232" s="86">
        <f t="shared" si="30"/>
        <v>0</v>
      </c>
    </row>
    <row r="233" spans="2:19">
      <c r="B233" s="14">
        <f t="shared" si="31"/>
        <v>230</v>
      </c>
      <c r="C233" s="37"/>
      <c r="D233" s="37"/>
      <c r="E233" s="37"/>
      <c r="F233" s="38"/>
      <c r="G233" s="37"/>
      <c r="H233" s="37"/>
      <c r="I233" s="37"/>
      <c r="J233" s="41"/>
      <c r="K233" s="26">
        <f>IF(OR($E233&lt;&gt;"CS",$H233&lt;&gt;"x"),0,INDEX($Y$4:$Y$14,MATCH($G233,$X$4:$X243,0),1))*J233*1.1</f>
        <v>0</v>
      </c>
      <c r="L233" s="26">
        <f t="shared" si="26"/>
        <v>0</v>
      </c>
      <c r="M233" s="26">
        <f>IF($I233&lt;&gt;"x",0,INDEX($Y$27:$Y$37,MATCH($G233,$X$27:$X266,0),1))*J233*1.1</f>
        <v>0</v>
      </c>
      <c r="N233" s="26">
        <f t="shared" si="27"/>
        <v>0</v>
      </c>
      <c r="O233" s="20">
        <f t="shared" si="28"/>
        <v>0</v>
      </c>
      <c r="P233" s="20">
        <f>IF(OR($E233&lt;&gt;"CS",$H233&lt;&gt;"x"),0,INDEX($Z$4:$Z$14,MATCH($G233,$X$4:$X243,0),1))*J233*1.1</f>
        <v>0</v>
      </c>
      <c r="Q233" s="26">
        <f>IF($I233&lt;&gt;"x",0,INDEX($Z$27:$Z$37,MATCH($G233,$X$27:$X266,0),1))*J233*1.1</f>
        <v>0</v>
      </c>
      <c r="R233" s="20">
        <f t="shared" si="29"/>
        <v>0</v>
      </c>
      <c r="S233" s="86">
        <f t="shared" si="30"/>
        <v>0</v>
      </c>
    </row>
    <row r="234" spans="2:19">
      <c r="B234" s="14">
        <f t="shared" si="31"/>
        <v>231</v>
      </c>
      <c r="C234" s="37"/>
      <c r="D234" s="37"/>
      <c r="E234" s="37"/>
      <c r="F234" s="38"/>
      <c r="G234" s="37"/>
      <c r="H234" s="37"/>
      <c r="I234" s="37"/>
      <c r="J234" s="41"/>
      <c r="K234" s="26">
        <f>IF(OR($E234&lt;&gt;"CS",$H234&lt;&gt;"x"),0,INDEX($Y$4:$Y$14,MATCH($G234,$X$4:$X244,0),1))*J234*1.1</f>
        <v>0</v>
      </c>
      <c r="L234" s="26">
        <f t="shared" si="26"/>
        <v>0</v>
      </c>
      <c r="M234" s="26">
        <f>IF($I234&lt;&gt;"x",0,INDEX($Y$27:$Y$37,MATCH($G234,$X$27:$X267,0),1))*J234*1.1</f>
        <v>0</v>
      </c>
      <c r="N234" s="26">
        <f t="shared" si="27"/>
        <v>0</v>
      </c>
      <c r="O234" s="20">
        <f t="shared" si="28"/>
        <v>0</v>
      </c>
      <c r="P234" s="20">
        <f>IF(OR($E234&lt;&gt;"CS",$H234&lt;&gt;"x"),0,INDEX($Z$4:$Z$14,MATCH($G234,$X$4:$X244,0),1))*J234*1.1</f>
        <v>0</v>
      </c>
      <c r="Q234" s="26">
        <f>IF($I234&lt;&gt;"x",0,INDEX($Z$27:$Z$37,MATCH($G234,$X$27:$X267,0),1))*J234*1.1</f>
        <v>0</v>
      </c>
      <c r="R234" s="20">
        <f t="shared" si="29"/>
        <v>0</v>
      </c>
      <c r="S234" s="86">
        <f t="shared" si="30"/>
        <v>0</v>
      </c>
    </row>
    <row r="235" spans="2:19">
      <c r="B235" s="14">
        <f t="shared" si="31"/>
        <v>232</v>
      </c>
      <c r="C235" s="37"/>
      <c r="D235" s="37"/>
      <c r="E235" s="37"/>
      <c r="F235" s="38"/>
      <c r="G235" s="37"/>
      <c r="H235" s="37"/>
      <c r="I235" s="37"/>
      <c r="J235" s="41"/>
      <c r="K235" s="26">
        <f>IF(OR($E235&lt;&gt;"CS",$H235&lt;&gt;"x"),0,INDEX($Y$4:$Y$14,MATCH($G235,$X$4:$X245,0),1))*J235*1.1</f>
        <v>0</v>
      </c>
      <c r="L235" s="26">
        <f t="shared" si="26"/>
        <v>0</v>
      </c>
      <c r="M235" s="26">
        <f>IF($I235&lt;&gt;"x",0,INDEX($Y$27:$Y$37,MATCH($G235,$X$27:$X268,0),1))*J235*1.1</f>
        <v>0</v>
      </c>
      <c r="N235" s="26">
        <f t="shared" si="27"/>
        <v>0</v>
      </c>
      <c r="O235" s="20">
        <f t="shared" si="28"/>
        <v>0</v>
      </c>
      <c r="P235" s="20">
        <f>IF(OR($E235&lt;&gt;"CS",$H235&lt;&gt;"x"),0,INDEX($Z$4:$Z$14,MATCH($G235,$X$4:$X245,0),1))*J235*1.1</f>
        <v>0</v>
      </c>
      <c r="Q235" s="26">
        <f>IF($I235&lt;&gt;"x",0,INDEX($Z$27:$Z$37,MATCH($G235,$X$27:$X268,0),1))*J235*1.1</f>
        <v>0</v>
      </c>
      <c r="R235" s="20">
        <f t="shared" si="29"/>
        <v>0</v>
      </c>
      <c r="S235" s="86">
        <f t="shared" si="30"/>
        <v>0</v>
      </c>
    </row>
    <row r="236" spans="2:19">
      <c r="B236" s="14">
        <f t="shared" si="31"/>
        <v>233</v>
      </c>
      <c r="C236" s="37"/>
      <c r="D236" s="37"/>
      <c r="E236" s="37"/>
      <c r="F236" s="38"/>
      <c r="G236" s="37"/>
      <c r="H236" s="37"/>
      <c r="I236" s="37"/>
      <c r="J236" s="41"/>
      <c r="K236" s="26">
        <f>IF(OR($E236&lt;&gt;"CS",$H236&lt;&gt;"x"),0,INDEX($Y$4:$Y$14,MATCH($G236,$X$4:$X246,0),1))*J236*1.1</f>
        <v>0</v>
      </c>
      <c r="L236" s="26">
        <f t="shared" si="26"/>
        <v>0</v>
      </c>
      <c r="M236" s="26">
        <f>IF($I236&lt;&gt;"x",0,INDEX($Y$27:$Y$37,MATCH($G236,$X$27:$X269,0),1))*J236*1.1</f>
        <v>0</v>
      </c>
      <c r="N236" s="26">
        <f t="shared" si="27"/>
        <v>0</v>
      </c>
      <c r="O236" s="20">
        <f t="shared" si="28"/>
        <v>0</v>
      </c>
      <c r="P236" s="20">
        <f>IF(OR($E236&lt;&gt;"CS",$H236&lt;&gt;"x"),0,INDEX($Z$4:$Z$14,MATCH($G236,$X$4:$X246,0),1))*J236*1.1</f>
        <v>0</v>
      </c>
      <c r="Q236" s="26">
        <f>IF($I236&lt;&gt;"x",0,INDEX($Z$27:$Z$37,MATCH($G236,$X$27:$X269,0),1))*J236*1.1</f>
        <v>0</v>
      </c>
      <c r="R236" s="20">
        <f t="shared" si="29"/>
        <v>0</v>
      </c>
      <c r="S236" s="86">
        <f t="shared" si="30"/>
        <v>0</v>
      </c>
    </row>
    <row r="237" spans="2:19">
      <c r="B237" s="14">
        <f t="shared" si="31"/>
        <v>234</v>
      </c>
      <c r="C237" s="37"/>
      <c r="D237" s="37"/>
      <c r="E237" s="37"/>
      <c r="F237" s="38"/>
      <c r="G237" s="37"/>
      <c r="H237" s="37"/>
      <c r="I237" s="37"/>
      <c r="J237" s="41"/>
      <c r="K237" s="26">
        <f>IF(OR($E237&lt;&gt;"CS",$H237&lt;&gt;"x"),0,INDEX($Y$4:$Y$14,MATCH($G237,$X$4:$X247,0),1))*J237*1.1</f>
        <v>0</v>
      </c>
      <c r="L237" s="26">
        <f t="shared" si="26"/>
        <v>0</v>
      </c>
      <c r="M237" s="26">
        <f>IF($I237&lt;&gt;"x",0,INDEX($Y$27:$Y$37,MATCH($G237,$X$27:$X270,0),1))*J237*1.1</f>
        <v>0</v>
      </c>
      <c r="N237" s="26">
        <f t="shared" si="27"/>
        <v>0</v>
      </c>
      <c r="O237" s="20">
        <f t="shared" si="28"/>
        <v>0</v>
      </c>
      <c r="P237" s="20">
        <f>IF(OR($E237&lt;&gt;"CS",$H237&lt;&gt;"x"),0,INDEX($Z$4:$Z$14,MATCH($G237,$X$4:$X247,0),1))*J237*1.1</f>
        <v>0</v>
      </c>
      <c r="Q237" s="26">
        <f>IF($I237&lt;&gt;"x",0,INDEX($Z$27:$Z$37,MATCH($G237,$X$27:$X270,0),1))*J237*1.1</f>
        <v>0</v>
      </c>
      <c r="R237" s="20">
        <f t="shared" si="29"/>
        <v>0</v>
      </c>
      <c r="S237" s="86">
        <f t="shared" si="30"/>
        <v>0</v>
      </c>
    </row>
    <row r="238" spans="2:19">
      <c r="B238" s="14">
        <f t="shared" si="31"/>
        <v>235</v>
      </c>
      <c r="C238" s="37"/>
      <c r="D238" s="37"/>
      <c r="E238" s="37"/>
      <c r="F238" s="38"/>
      <c r="G238" s="37"/>
      <c r="H238" s="37"/>
      <c r="I238" s="37"/>
      <c r="J238" s="41"/>
      <c r="K238" s="26">
        <f>IF(OR($E238&lt;&gt;"CS",$H238&lt;&gt;"x"),0,INDEX($Y$4:$Y$14,MATCH($G238,$X$4:$X248,0),1))*J238*1.1</f>
        <v>0</v>
      </c>
      <c r="L238" s="26">
        <f t="shared" si="26"/>
        <v>0</v>
      </c>
      <c r="M238" s="26">
        <f>IF($I238&lt;&gt;"x",0,INDEX($Y$27:$Y$37,MATCH($G238,$X$27:$X271,0),1))*J238*1.1</f>
        <v>0</v>
      </c>
      <c r="N238" s="26">
        <f t="shared" si="27"/>
        <v>0</v>
      </c>
      <c r="O238" s="20">
        <f t="shared" si="28"/>
        <v>0</v>
      </c>
      <c r="P238" s="20">
        <f>IF(OR($E238&lt;&gt;"CS",$H238&lt;&gt;"x"),0,INDEX($Z$4:$Z$14,MATCH($G238,$X$4:$X248,0),1))*J238*1.1</f>
        <v>0</v>
      </c>
      <c r="Q238" s="26">
        <f>IF($I238&lt;&gt;"x",0,INDEX($Z$27:$Z$37,MATCH($G238,$X$27:$X271,0),1))*J238*1.1</f>
        <v>0</v>
      </c>
      <c r="R238" s="20">
        <f t="shared" si="29"/>
        <v>0</v>
      </c>
      <c r="S238" s="86">
        <f t="shared" si="30"/>
        <v>0</v>
      </c>
    </row>
    <row r="239" spans="2:19">
      <c r="B239" s="14">
        <f t="shared" si="31"/>
        <v>236</v>
      </c>
      <c r="C239" s="37"/>
      <c r="D239" s="37"/>
      <c r="E239" s="37"/>
      <c r="F239" s="38"/>
      <c r="G239" s="37"/>
      <c r="H239" s="37"/>
      <c r="I239" s="37"/>
      <c r="J239" s="41"/>
      <c r="K239" s="26">
        <f>IF(OR($E239&lt;&gt;"CS",$H239&lt;&gt;"x"),0,INDEX($Y$4:$Y$14,MATCH($G239,$X$4:$X249,0),1))*J239*1.1</f>
        <v>0</v>
      </c>
      <c r="L239" s="26">
        <f t="shared" si="26"/>
        <v>0</v>
      </c>
      <c r="M239" s="26">
        <f>IF($I239&lt;&gt;"x",0,INDEX($Y$27:$Y$37,MATCH($G239,$X$27:$X272,0),1))*J239*1.1</f>
        <v>0</v>
      </c>
      <c r="N239" s="26">
        <f t="shared" si="27"/>
        <v>0</v>
      </c>
      <c r="O239" s="20">
        <f t="shared" si="28"/>
        <v>0</v>
      </c>
      <c r="P239" s="20">
        <f>IF(OR($E239&lt;&gt;"CS",$H239&lt;&gt;"x"),0,INDEX($Z$4:$Z$14,MATCH($G239,$X$4:$X249,0),1))*J239*1.1</f>
        <v>0</v>
      </c>
      <c r="Q239" s="26">
        <f>IF($I239&lt;&gt;"x",0,INDEX($Z$27:$Z$37,MATCH($G239,$X$27:$X272,0),1))*J239*1.1</f>
        <v>0</v>
      </c>
      <c r="R239" s="20">
        <f t="shared" si="29"/>
        <v>0</v>
      </c>
      <c r="S239" s="86">
        <f t="shared" si="30"/>
        <v>0</v>
      </c>
    </row>
    <row r="240" spans="2:19">
      <c r="B240" s="14">
        <f t="shared" si="31"/>
        <v>237</v>
      </c>
      <c r="C240" s="37"/>
      <c r="D240" s="37"/>
      <c r="E240" s="37"/>
      <c r="F240" s="38"/>
      <c r="G240" s="37"/>
      <c r="H240" s="37"/>
      <c r="I240" s="37"/>
      <c r="J240" s="41"/>
      <c r="K240" s="26">
        <f>IF(OR($E240&lt;&gt;"CS",$H240&lt;&gt;"x"),0,INDEX($Y$4:$Y$14,MATCH($G240,$X$4:$X250,0),1))*J240*1.1</f>
        <v>0</v>
      </c>
      <c r="L240" s="26">
        <f t="shared" si="26"/>
        <v>0</v>
      </c>
      <c r="M240" s="26">
        <f>IF($I240&lt;&gt;"x",0,INDEX($Y$27:$Y$37,MATCH($G240,$X$27:$X273,0),1))*J240*1.1</f>
        <v>0</v>
      </c>
      <c r="N240" s="26">
        <f t="shared" si="27"/>
        <v>0</v>
      </c>
      <c r="O240" s="20">
        <f t="shared" si="28"/>
        <v>0</v>
      </c>
      <c r="P240" s="20">
        <f>IF(OR($E240&lt;&gt;"CS",$H240&lt;&gt;"x"),0,INDEX($Z$4:$Z$14,MATCH($G240,$X$4:$X250,0),1))*J240*1.1</f>
        <v>0</v>
      </c>
      <c r="Q240" s="26">
        <f>IF($I240&lt;&gt;"x",0,INDEX($Z$27:$Z$37,MATCH($G240,$X$27:$X273,0),1))*J240*1.1</f>
        <v>0</v>
      </c>
      <c r="R240" s="20">
        <f t="shared" si="29"/>
        <v>0</v>
      </c>
      <c r="S240" s="86">
        <f t="shared" si="30"/>
        <v>0</v>
      </c>
    </row>
    <row r="241" spans="2:19">
      <c r="B241" s="14">
        <f t="shared" si="31"/>
        <v>238</v>
      </c>
      <c r="C241" s="37"/>
      <c r="D241" s="37"/>
      <c r="E241" s="37"/>
      <c r="F241" s="38"/>
      <c r="G241" s="37"/>
      <c r="H241" s="37"/>
      <c r="I241" s="37"/>
      <c r="J241" s="41"/>
      <c r="K241" s="26">
        <f>IF(OR($E241&lt;&gt;"CS",$H241&lt;&gt;"x"),0,INDEX($Y$4:$Y$14,MATCH($G241,$X$4:$X251,0),1))*J241*1.1</f>
        <v>0</v>
      </c>
      <c r="L241" s="26">
        <f t="shared" si="26"/>
        <v>0</v>
      </c>
      <c r="M241" s="26">
        <f>IF($I241&lt;&gt;"x",0,INDEX($Y$27:$Y$37,MATCH($G241,$X$27:$X274,0),1))*J241*1.1</f>
        <v>0</v>
      </c>
      <c r="N241" s="26">
        <f t="shared" si="27"/>
        <v>0</v>
      </c>
      <c r="O241" s="20">
        <f t="shared" si="28"/>
        <v>0</v>
      </c>
      <c r="P241" s="20">
        <f>IF(OR($E241&lt;&gt;"CS",$H241&lt;&gt;"x"),0,INDEX($Z$4:$Z$14,MATCH($G241,$X$4:$X251,0),1))*J241*1.1</f>
        <v>0</v>
      </c>
      <c r="Q241" s="26">
        <f>IF($I241&lt;&gt;"x",0,INDEX($Z$27:$Z$37,MATCH($G241,$X$27:$X274,0),1))*J241*1.1</f>
        <v>0</v>
      </c>
      <c r="R241" s="20">
        <f t="shared" si="29"/>
        <v>0</v>
      </c>
      <c r="S241" s="86">
        <f t="shared" si="30"/>
        <v>0</v>
      </c>
    </row>
    <row r="242" spans="2:19">
      <c r="B242" s="14">
        <f t="shared" si="31"/>
        <v>239</v>
      </c>
      <c r="C242" s="37"/>
      <c r="D242" s="37"/>
      <c r="E242" s="37"/>
      <c r="F242" s="38"/>
      <c r="G242" s="37"/>
      <c r="H242" s="37"/>
      <c r="I242" s="37"/>
      <c r="J242" s="41"/>
      <c r="K242" s="26">
        <f>IF(OR($E242&lt;&gt;"CS",$H242&lt;&gt;"x"),0,INDEX($Y$4:$Y$14,MATCH($G242,$X$4:$X252,0),1))*J242*1.1</f>
        <v>0</v>
      </c>
      <c r="L242" s="26">
        <f t="shared" si="26"/>
        <v>0</v>
      </c>
      <c r="M242" s="26">
        <f>IF($I242&lt;&gt;"x",0,INDEX($Y$27:$Y$37,MATCH($G242,$X$27:$X275,0),1))*J242*1.1</f>
        <v>0</v>
      </c>
      <c r="N242" s="26">
        <f t="shared" si="27"/>
        <v>0</v>
      </c>
      <c r="O242" s="20">
        <f t="shared" si="28"/>
        <v>0</v>
      </c>
      <c r="P242" s="20">
        <f>IF(OR($E242&lt;&gt;"CS",$H242&lt;&gt;"x"),0,INDEX($Z$4:$Z$14,MATCH($G242,$X$4:$X252,0),1))*J242*1.1</f>
        <v>0</v>
      </c>
      <c r="Q242" s="26">
        <f>IF($I242&lt;&gt;"x",0,INDEX($Z$27:$Z$37,MATCH($G242,$X$27:$X275,0),1))*J242*1.1</f>
        <v>0</v>
      </c>
      <c r="R242" s="20">
        <f t="shared" si="29"/>
        <v>0</v>
      </c>
      <c r="S242" s="86">
        <f t="shared" si="30"/>
        <v>0</v>
      </c>
    </row>
    <row r="243" spans="2:19">
      <c r="B243" s="14">
        <f t="shared" si="31"/>
        <v>240</v>
      </c>
      <c r="C243" s="37"/>
      <c r="D243" s="37"/>
      <c r="E243" s="37"/>
      <c r="F243" s="38"/>
      <c r="G243" s="37"/>
      <c r="H243" s="37"/>
      <c r="I243" s="37"/>
      <c r="J243" s="41"/>
      <c r="K243" s="26">
        <f>IF(OR($E243&lt;&gt;"CS",$H243&lt;&gt;"x"),0,INDEX($Y$4:$Y$14,MATCH($G243,$X$4:$X253,0),1))*J243*1.1</f>
        <v>0</v>
      </c>
      <c r="L243" s="26">
        <f t="shared" si="26"/>
        <v>0</v>
      </c>
      <c r="M243" s="26">
        <f>IF($I243&lt;&gt;"x",0,INDEX($Y$27:$Y$37,MATCH($G243,$X$27:$X276,0),1))*J243*1.1</f>
        <v>0</v>
      </c>
      <c r="N243" s="26">
        <f t="shared" si="27"/>
        <v>0</v>
      </c>
      <c r="O243" s="20">
        <f t="shared" si="28"/>
        <v>0</v>
      </c>
      <c r="P243" s="20">
        <f>IF(OR($E243&lt;&gt;"CS",$H243&lt;&gt;"x"),0,INDEX($Z$4:$Z$14,MATCH($G243,$X$4:$X253,0),1))*J243*1.1</f>
        <v>0</v>
      </c>
      <c r="Q243" s="26">
        <f>IF($I243&lt;&gt;"x",0,INDEX($Z$27:$Z$37,MATCH($G243,$X$27:$X276,0),1))*J243*1.1</f>
        <v>0</v>
      </c>
      <c r="R243" s="20">
        <f t="shared" si="29"/>
        <v>0</v>
      </c>
      <c r="S243" s="86">
        <f t="shared" si="30"/>
        <v>0</v>
      </c>
    </row>
    <row r="244" spans="2:19">
      <c r="B244" s="14">
        <f t="shared" si="31"/>
        <v>241</v>
      </c>
      <c r="C244" s="37"/>
      <c r="D244" s="37"/>
      <c r="E244" s="37"/>
      <c r="F244" s="38"/>
      <c r="G244" s="37"/>
      <c r="H244" s="37"/>
      <c r="I244" s="37"/>
      <c r="J244" s="41"/>
      <c r="K244" s="26">
        <f>IF(OR($E244&lt;&gt;"CS",$H244&lt;&gt;"x"),0,INDEX($Y$4:$Y$14,MATCH($G244,$X$4:$X254,0),1))*J244*1.1</f>
        <v>0</v>
      </c>
      <c r="L244" s="26">
        <f t="shared" si="26"/>
        <v>0</v>
      </c>
      <c r="M244" s="26">
        <f>IF($I244&lt;&gt;"x",0,INDEX($Y$27:$Y$37,MATCH($G244,$X$27:$X277,0),1))*J244*1.1</f>
        <v>0</v>
      </c>
      <c r="N244" s="26">
        <f t="shared" si="27"/>
        <v>0</v>
      </c>
      <c r="O244" s="20">
        <f t="shared" si="28"/>
        <v>0</v>
      </c>
      <c r="P244" s="20">
        <f>IF(OR($E244&lt;&gt;"CS",$H244&lt;&gt;"x"),0,INDEX($Z$4:$Z$14,MATCH($G244,$X$4:$X254,0),1))*J244*1.1</f>
        <v>0</v>
      </c>
      <c r="Q244" s="26">
        <f>IF($I244&lt;&gt;"x",0,INDEX($Z$27:$Z$37,MATCH($G244,$X$27:$X277,0),1))*J244*1.1</f>
        <v>0</v>
      </c>
      <c r="R244" s="20">
        <f t="shared" si="29"/>
        <v>0</v>
      </c>
      <c r="S244" s="86">
        <f t="shared" si="30"/>
        <v>0</v>
      </c>
    </row>
    <row r="245" spans="2:19">
      <c r="B245" s="14">
        <f t="shared" si="31"/>
        <v>242</v>
      </c>
      <c r="C245" s="37"/>
      <c r="D245" s="37"/>
      <c r="E245" s="37"/>
      <c r="F245" s="38"/>
      <c r="G245" s="37"/>
      <c r="H245" s="37"/>
      <c r="I245" s="37"/>
      <c r="J245" s="41"/>
      <c r="K245" s="26">
        <f>IF(OR($E245&lt;&gt;"CS",$H245&lt;&gt;"x"),0,INDEX($Y$4:$Y$14,MATCH($G245,$X$4:$X255,0),1))*J245*1.1</f>
        <v>0</v>
      </c>
      <c r="L245" s="26">
        <f t="shared" si="26"/>
        <v>0</v>
      </c>
      <c r="M245" s="26">
        <f>IF($I245&lt;&gt;"x",0,INDEX($Y$27:$Y$37,MATCH($G245,$X$27:$X278,0),1))*J245*1.1</f>
        <v>0</v>
      </c>
      <c r="N245" s="26">
        <f t="shared" si="27"/>
        <v>0</v>
      </c>
      <c r="O245" s="20">
        <f t="shared" si="28"/>
        <v>0</v>
      </c>
      <c r="P245" s="20">
        <f>IF(OR($E245&lt;&gt;"CS",$H245&lt;&gt;"x"),0,INDEX($Z$4:$Z$14,MATCH($G245,$X$4:$X255,0),1))*J245*1.1</f>
        <v>0</v>
      </c>
      <c r="Q245" s="26">
        <f>IF($I245&lt;&gt;"x",0,INDEX($Z$27:$Z$37,MATCH($G245,$X$27:$X278,0),1))*J245*1.1</f>
        <v>0</v>
      </c>
      <c r="R245" s="20">
        <f t="shared" si="29"/>
        <v>0</v>
      </c>
      <c r="S245" s="86">
        <f t="shared" si="30"/>
        <v>0</v>
      </c>
    </row>
    <row r="246" spans="2:19">
      <c r="B246" s="14">
        <f t="shared" si="31"/>
        <v>243</v>
      </c>
      <c r="C246" s="37"/>
      <c r="D246" s="37"/>
      <c r="E246" s="37"/>
      <c r="F246" s="38"/>
      <c r="G246" s="37"/>
      <c r="H246" s="37"/>
      <c r="I246" s="37"/>
      <c r="J246" s="41"/>
      <c r="K246" s="26">
        <f>IF(OR($E246&lt;&gt;"CS",$H246&lt;&gt;"x"),0,INDEX($Y$4:$Y$14,MATCH($G246,$X$4:$X256,0),1))*J246*1.1</f>
        <v>0</v>
      </c>
      <c r="L246" s="26">
        <f t="shared" si="26"/>
        <v>0</v>
      </c>
      <c r="M246" s="26">
        <f>IF($I246&lt;&gt;"x",0,INDEX($Y$27:$Y$37,MATCH($G246,$X$27:$X279,0),1))*J246*1.1</f>
        <v>0</v>
      </c>
      <c r="N246" s="26">
        <f t="shared" si="27"/>
        <v>0</v>
      </c>
      <c r="O246" s="20">
        <f t="shared" si="28"/>
        <v>0</v>
      </c>
      <c r="P246" s="20">
        <f>IF(OR($E246&lt;&gt;"CS",$H246&lt;&gt;"x"),0,INDEX($Z$4:$Z$14,MATCH($G246,$X$4:$X256,0),1))*J246*1.1</f>
        <v>0</v>
      </c>
      <c r="Q246" s="26">
        <f>IF($I246&lt;&gt;"x",0,INDEX($Z$27:$Z$37,MATCH($G246,$X$27:$X279,0),1))*J246*1.1</f>
        <v>0</v>
      </c>
      <c r="R246" s="20">
        <f t="shared" si="29"/>
        <v>0</v>
      </c>
      <c r="S246" s="86">
        <f t="shared" si="30"/>
        <v>0</v>
      </c>
    </row>
    <row r="247" spans="2:19">
      <c r="B247" s="14">
        <f t="shared" si="31"/>
        <v>244</v>
      </c>
      <c r="C247" s="37"/>
      <c r="D247" s="37"/>
      <c r="E247" s="37"/>
      <c r="F247" s="38"/>
      <c r="G247" s="37"/>
      <c r="H247" s="37"/>
      <c r="I247" s="37"/>
      <c r="J247" s="41"/>
      <c r="K247" s="26">
        <f>IF(OR($E247&lt;&gt;"CS",$H247&lt;&gt;"x"),0,INDEX($Y$4:$Y$14,MATCH($G247,$X$4:$X257,0),1))*J247*1.1</f>
        <v>0</v>
      </c>
      <c r="L247" s="26">
        <f t="shared" si="26"/>
        <v>0</v>
      </c>
      <c r="M247" s="26">
        <f>IF($I247&lt;&gt;"x",0,INDEX($Y$27:$Y$37,MATCH($G247,$X$27:$X280,0),1))*J247*1.1</f>
        <v>0</v>
      </c>
      <c r="N247" s="26">
        <f t="shared" si="27"/>
        <v>0</v>
      </c>
      <c r="O247" s="20">
        <f t="shared" si="28"/>
        <v>0</v>
      </c>
      <c r="P247" s="20">
        <f>IF(OR($E247&lt;&gt;"CS",$H247&lt;&gt;"x"),0,INDEX($Z$4:$Z$14,MATCH($G247,$X$4:$X257,0),1))*J247*1.1</f>
        <v>0</v>
      </c>
      <c r="Q247" s="26">
        <f>IF($I247&lt;&gt;"x",0,INDEX($Z$27:$Z$37,MATCH($G247,$X$27:$X280,0),1))*J247*1.1</f>
        <v>0</v>
      </c>
      <c r="R247" s="20">
        <f t="shared" si="29"/>
        <v>0</v>
      </c>
      <c r="S247" s="86">
        <f t="shared" si="30"/>
        <v>0</v>
      </c>
    </row>
    <row r="248" spans="2:19">
      <c r="B248" s="14">
        <f t="shared" si="31"/>
        <v>245</v>
      </c>
      <c r="C248" s="37"/>
      <c r="D248" s="37"/>
      <c r="E248" s="37"/>
      <c r="F248" s="38"/>
      <c r="G248" s="37"/>
      <c r="H248" s="37"/>
      <c r="I248" s="37"/>
      <c r="J248" s="41"/>
      <c r="K248" s="26">
        <f>IF(OR($E248&lt;&gt;"CS",$H248&lt;&gt;"x"),0,INDEX($Y$4:$Y$14,MATCH($G248,$X$4:$X258,0),1))*J248*1.1</f>
        <v>0</v>
      </c>
      <c r="L248" s="26">
        <f t="shared" si="26"/>
        <v>0</v>
      </c>
      <c r="M248" s="26">
        <f>IF($I248&lt;&gt;"x",0,INDEX($Y$27:$Y$37,MATCH($G248,$X$27:$X281,0),1))*J248*1.1</f>
        <v>0</v>
      </c>
      <c r="N248" s="26">
        <f t="shared" si="27"/>
        <v>0</v>
      </c>
      <c r="O248" s="20">
        <f t="shared" si="28"/>
        <v>0</v>
      </c>
      <c r="P248" s="20">
        <f>IF(OR($E248&lt;&gt;"CS",$H248&lt;&gt;"x"),0,INDEX($Z$4:$Z$14,MATCH($G248,$X$4:$X258,0),1))*J248*1.1</f>
        <v>0</v>
      </c>
      <c r="Q248" s="26">
        <f>IF($I248&lt;&gt;"x",0,INDEX($Z$27:$Z$37,MATCH($G248,$X$27:$X281,0),1))*J248*1.1</f>
        <v>0</v>
      </c>
      <c r="R248" s="20">
        <f t="shared" si="29"/>
        <v>0</v>
      </c>
      <c r="S248" s="86">
        <f t="shared" si="30"/>
        <v>0</v>
      </c>
    </row>
    <row r="249" spans="2:19">
      <c r="B249" s="14">
        <f t="shared" si="31"/>
        <v>246</v>
      </c>
      <c r="C249" s="37"/>
      <c r="D249" s="37"/>
      <c r="E249" s="37"/>
      <c r="F249" s="38"/>
      <c r="G249" s="37"/>
      <c r="H249" s="37"/>
      <c r="I249" s="37"/>
      <c r="J249" s="41"/>
      <c r="K249" s="26">
        <f>IF(OR($E249&lt;&gt;"CS",$H249&lt;&gt;"x"),0,INDEX($Y$4:$Y$14,MATCH($G249,$X$4:$X259,0),1))*J249*1.1</f>
        <v>0</v>
      </c>
      <c r="L249" s="26">
        <f t="shared" si="26"/>
        <v>0</v>
      </c>
      <c r="M249" s="26">
        <f>IF($I249&lt;&gt;"x",0,INDEX($Y$27:$Y$37,MATCH($G249,$X$27:$X282,0),1))*J249*1.1</f>
        <v>0</v>
      </c>
      <c r="N249" s="26">
        <f t="shared" si="27"/>
        <v>0</v>
      </c>
      <c r="O249" s="20">
        <f t="shared" si="28"/>
        <v>0</v>
      </c>
      <c r="P249" s="20">
        <f>IF(OR($E249&lt;&gt;"CS",$H249&lt;&gt;"x"),0,INDEX($Z$4:$Z$14,MATCH($G249,$X$4:$X259,0),1))*J249*1.1</f>
        <v>0</v>
      </c>
      <c r="Q249" s="26">
        <f>IF($I249&lt;&gt;"x",0,INDEX($Z$27:$Z$37,MATCH($G249,$X$27:$X282,0),1))*J249*1.1</f>
        <v>0</v>
      </c>
      <c r="R249" s="20">
        <f t="shared" si="29"/>
        <v>0</v>
      </c>
      <c r="S249" s="86">
        <f t="shared" si="30"/>
        <v>0</v>
      </c>
    </row>
    <row r="250" spans="2:19">
      <c r="B250" s="14">
        <f t="shared" si="31"/>
        <v>247</v>
      </c>
      <c r="C250" s="37"/>
      <c r="D250" s="37"/>
      <c r="E250" s="37"/>
      <c r="F250" s="38"/>
      <c r="G250" s="37"/>
      <c r="H250" s="37"/>
      <c r="I250" s="37"/>
      <c r="J250" s="41"/>
      <c r="K250" s="26">
        <f>IF(OR($E250&lt;&gt;"CS",$H250&lt;&gt;"x"),0,INDEX($Y$4:$Y$14,MATCH($G250,$X$4:$X260,0),1))*J250*1.1</f>
        <v>0</v>
      </c>
      <c r="L250" s="26">
        <f t="shared" si="26"/>
        <v>0</v>
      </c>
      <c r="M250" s="26">
        <f>IF($I250&lt;&gt;"x",0,INDEX($Y$27:$Y$37,MATCH($G250,$X$27:$X283,0),1))*J250*1.1</f>
        <v>0</v>
      </c>
      <c r="N250" s="26">
        <f t="shared" si="27"/>
        <v>0</v>
      </c>
      <c r="O250" s="20">
        <f t="shared" si="28"/>
        <v>0</v>
      </c>
      <c r="P250" s="20">
        <f>IF(OR($E250&lt;&gt;"CS",$H250&lt;&gt;"x"),0,INDEX($Z$4:$Z$14,MATCH($G250,$X$4:$X260,0),1))*J250*1.1</f>
        <v>0</v>
      </c>
      <c r="Q250" s="26">
        <f>IF($I250&lt;&gt;"x",0,INDEX($Z$27:$Z$37,MATCH($G250,$X$27:$X283,0),1))*J250*1.1</f>
        <v>0</v>
      </c>
      <c r="R250" s="20">
        <f t="shared" si="29"/>
        <v>0</v>
      </c>
      <c r="S250" s="86">
        <f t="shared" si="30"/>
        <v>0</v>
      </c>
    </row>
    <row r="251" spans="2:19">
      <c r="B251" s="14">
        <f t="shared" si="31"/>
        <v>248</v>
      </c>
      <c r="C251" s="37"/>
      <c r="D251" s="37"/>
      <c r="E251" s="37"/>
      <c r="F251" s="38"/>
      <c r="G251" s="37"/>
      <c r="H251" s="37"/>
      <c r="I251" s="37"/>
      <c r="J251" s="41"/>
      <c r="K251" s="26">
        <f>IF(OR($E251&lt;&gt;"CS",$H251&lt;&gt;"x"),0,INDEX($Y$4:$Y$14,MATCH($G251,$X$4:$X261,0),1))*J251*1.1</f>
        <v>0</v>
      </c>
      <c r="L251" s="26">
        <f t="shared" si="26"/>
        <v>0</v>
      </c>
      <c r="M251" s="26">
        <f>IF($I251&lt;&gt;"x",0,INDEX($Y$27:$Y$37,MATCH($G251,$X$27:$X284,0),1))*J251*1.1</f>
        <v>0</v>
      </c>
      <c r="N251" s="26">
        <f t="shared" si="27"/>
        <v>0</v>
      </c>
      <c r="O251" s="20">
        <f t="shared" si="28"/>
        <v>0</v>
      </c>
      <c r="P251" s="20">
        <f>IF(OR($E251&lt;&gt;"CS",$H251&lt;&gt;"x"),0,INDEX($Z$4:$Z$14,MATCH($G251,$X$4:$X261,0),1))*J251*1.1</f>
        <v>0</v>
      </c>
      <c r="Q251" s="26">
        <f>IF($I251&lt;&gt;"x",0,INDEX($Z$27:$Z$37,MATCH($G251,$X$27:$X284,0),1))*J251*1.1</f>
        <v>0</v>
      </c>
      <c r="R251" s="20">
        <f t="shared" si="29"/>
        <v>0</v>
      </c>
      <c r="S251" s="86">
        <f t="shared" si="30"/>
        <v>0</v>
      </c>
    </row>
    <row r="252" spans="2:19">
      <c r="B252" s="14">
        <f t="shared" si="31"/>
        <v>249</v>
      </c>
      <c r="C252" s="37"/>
      <c r="D252" s="37"/>
      <c r="E252" s="37"/>
      <c r="F252" s="38"/>
      <c r="G252" s="37"/>
      <c r="H252" s="37"/>
      <c r="I252" s="37"/>
      <c r="J252" s="41"/>
      <c r="K252" s="26">
        <f>IF(OR($E252&lt;&gt;"CS",$H252&lt;&gt;"x"),0,INDEX($Y$4:$Y$14,MATCH($G252,$X$4:$X262,0),1))*J252*1.1</f>
        <v>0</v>
      </c>
      <c r="L252" s="26">
        <f t="shared" si="26"/>
        <v>0</v>
      </c>
      <c r="M252" s="26">
        <f>IF($I252&lt;&gt;"x",0,INDEX($Y$27:$Y$37,MATCH($G252,$X$27:$X285,0),1))*J252*1.1</f>
        <v>0</v>
      </c>
      <c r="N252" s="26">
        <f t="shared" si="27"/>
        <v>0</v>
      </c>
      <c r="O252" s="20">
        <f t="shared" si="28"/>
        <v>0</v>
      </c>
      <c r="P252" s="20">
        <f>IF(OR($E252&lt;&gt;"CS",$H252&lt;&gt;"x"),0,INDEX($Z$4:$Z$14,MATCH($G252,$X$4:$X262,0),1))*J252*1.1</f>
        <v>0</v>
      </c>
      <c r="Q252" s="26">
        <f>IF($I252&lt;&gt;"x",0,INDEX($Z$27:$Z$37,MATCH($G252,$X$27:$X285,0),1))*J252*1.1</f>
        <v>0</v>
      </c>
      <c r="R252" s="20">
        <f t="shared" si="29"/>
        <v>0</v>
      </c>
      <c r="S252" s="86">
        <f t="shared" si="30"/>
        <v>0</v>
      </c>
    </row>
    <row r="253" spans="2:19">
      <c r="B253" s="14">
        <f t="shared" si="31"/>
        <v>250</v>
      </c>
      <c r="C253" s="37"/>
      <c r="D253" s="37"/>
      <c r="E253" s="37"/>
      <c r="F253" s="38"/>
      <c r="G253" s="37"/>
      <c r="H253" s="37"/>
      <c r="I253" s="37"/>
      <c r="J253" s="41"/>
      <c r="K253" s="26">
        <f>IF(OR($E253&lt;&gt;"CS",$H253&lt;&gt;"x"),0,INDEX($Y$4:$Y$14,MATCH($G253,$X$4:$X263,0),1))*J253*1.1</f>
        <v>0</v>
      </c>
      <c r="L253" s="26">
        <f t="shared" si="26"/>
        <v>0</v>
      </c>
      <c r="M253" s="26">
        <f>IF($I253&lt;&gt;"x",0,INDEX($Y$27:$Y$37,MATCH($G253,$X$27:$X286,0),1))*J253*1.1</f>
        <v>0</v>
      </c>
      <c r="N253" s="26">
        <f t="shared" si="27"/>
        <v>0</v>
      </c>
      <c r="O253" s="20">
        <f t="shared" si="28"/>
        <v>0</v>
      </c>
      <c r="P253" s="20">
        <f>IF(OR($E253&lt;&gt;"CS",$H253&lt;&gt;"x"),0,INDEX($Z$4:$Z$14,MATCH($G253,$X$4:$X263,0),1))*J253*1.1</f>
        <v>0</v>
      </c>
      <c r="Q253" s="26">
        <f>IF($I253&lt;&gt;"x",0,INDEX($Z$27:$Z$37,MATCH($G253,$X$27:$X286,0),1))*J253*1.1</f>
        <v>0</v>
      </c>
      <c r="R253" s="20">
        <f t="shared" si="29"/>
        <v>0</v>
      </c>
      <c r="S253" s="86">
        <f t="shared" si="30"/>
        <v>0</v>
      </c>
    </row>
    <row r="254" spans="2:19">
      <c r="B254" s="14">
        <f t="shared" si="31"/>
        <v>251</v>
      </c>
      <c r="C254" s="37"/>
      <c r="D254" s="37"/>
      <c r="E254" s="37"/>
      <c r="F254" s="38"/>
      <c r="G254" s="37"/>
      <c r="H254" s="37"/>
      <c r="I254" s="37"/>
      <c r="J254" s="41"/>
      <c r="K254" s="26">
        <f>IF(OR($E254&lt;&gt;"CS",$H254&lt;&gt;"x"),0,INDEX($Y$4:$Y$14,MATCH($G254,$X$4:$X264,0),1))*J254*1.1</f>
        <v>0</v>
      </c>
      <c r="L254" s="26">
        <f t="shared" si="26"/>
        <v>0</v>
      </c>
      <c r="M254" s="26">
        <f>IF($I254&lt;&gt;"x",0,INDEX($Y$27:$Y$37,MATCH($G254,$X$27:$X287,0),1))*J254*1.1</f>
        <v>0</v>
      </c>
      <c r="N254" s="26">
        <f t="shared" si="27"/>
        <v>0</v>
      </c>
      <c r="O254" s="20">
        <f t="shared" si="28"/>
        <v>0</v>
      </c>
      <c r="P254" s="20">
        <f>IF(OR($E254&lt;&gt;"CS",$H254&lt;&gt;"x"),0,INDEX($Z$4:$Z$14,MATCH($G254,$X$4:$X264,0),1))*J254*1.1</f>
        <v>0</v>
      </c>
      <c r="Q254" s="26">
        <f>IF($I254&lt;&gt;"x",0,INDEX($Z$27:$Z$37,MATCH($G254,$X$27:$X287,0),1))*J254*1.1</f>
        <v>0</v>
      </c>
      <c r="R254" s="20">
        <f t="shared" si="29"/>
        <v>0</v>
      </c>
      <c r="S254" s="86">
        <f t="shared" si="30"/>
        <v>0</v>
      </c>
    </row>
    <row r="255" spans="2:19">
      <c r="B255" s="14">
        <f t="shared" si="31"/>
        <v>252</v>
      </c>
      <c r="C255" s="37"/>
      <c r="D255" s="37"/>
      <c r="E255" s="37"/>
      <c r="F255" s="38"/>
      <c r="G255" s="37"/>
      <c r="H255" s="37"/>
      <c r="I255" s="37"/>
      <c r="J255" s="41"/>
      <c r="K255" s="26">
        <f>IF(OR($E255&lt;&gt;"CS",$H255&lt;&gt;"x"),0,INDEX($Y$4:$Y$14,MATCH($G255,$X$4:$X265,0),1))*J255*1.1</f>
        <v>0</v>
      </c>
      <c r="L255" s="26">
        <f t="shared" si="26"/>
        <v>0</v>
      </c>
      <c r="M255" s="26">
        <f>IF($I255&lt;&gt;"x",0,INDEX($Y$27:$Y$37,MATCH($G255,$X$27:$X288,0),1))*J255*1.1</f>
        <v>0</v>
      </c>
      <c r="N255" s="26">
        <f t="shared" si="27"/>
        <v>0</v>
      </c>
      <c r="O255" s="20">
        <f t="shared" si="28"/>
        <v>0</v>
      </c>
      <c r="P255" s="20">
        <f>IF(OR($E255&lt;&gt;"CS",$H255&lt;&gt;"x"),0,INDEX($Z$4:$Z$14,MATCH($G255,$X$4:$X265,0),1))*J255*1.1</f>
        <v>0</v>
      </c>
      <c r="Q255" s="26">
        <f>IF($I255&lt;&gt;"x",0,INDEX($Z$27:$Z$37,MATCH($G255,$X$27:$X288,0),1))*J255*1.1</f>
        <v>0</v>
      </c>
      <c r="R255" s="20">
        <f t="shared" si="29"/>
        <v>0</v>
      </c>
      <c r="S255" s="86">
        <f t="shared" si="30"/>
        <v>0</v>
      </c>
    </row>
    <row r="256" spans="2:19">
      <c r="B256" s="14">
        <f t="shared" si="31"/>
        <v>253</v>
      </c>
      <c r="C256" s="37"/>
      <c r="D256" s="37"/>
      <c r="E256" s="37"/>
      <c r="F256" s="38"/>
      <c r="G256" s="37"/>
      <c r="H256" s="37"/>
      <c r="I256" s="37"/>
      <c r="J256" s="41"/>
      <c r="K256" s="26">
        <f>IF(OR($E256&lt;&gt;"CS",$H256&lt;&gt;"x"),0,INDEX($Y$4:$Y$14,MATCH($G256,$X$4:$X266,0),1))*J256*1.1</f>
        <v>0</v>
      </c>
      <c r="L256" s="26">
        <f t="shared" si="26"/>
        <v>0</v>
      </c>
      <c r="M256" s="26">
        <f>IF($I256&lt;&gt;"x",0,INDEX($Y$27:$Y$37,MATCH($G256,$X$27:$X289,0),1))*J256*1.1</f>
        <v>0</v>
      </c>
      <c r="N256" s="26">
        <f t="shared" si="27"/>
        <v>0</v>
      </c>
      <c r="O256" s="20">
        <f t="shared" si="28"/>
        <v>0</v>
      </c>
      <c r="P256" s="20">
        <f>IF(OR($E256&lt;&gt;"CS",$H256&lt;&gt;"x"),0,INDEX($Z$4:$Z$14,MATCH($G256,$X$4:$X266,0),1))*J256*1.1</f>
        <v>0</v>
      </c>
      <c r="Q256" s="26">
        <f>IF($I256&lt;&gt;"x",0,INDEX($Z$27:$Z$37,MATCH($G256,$X$27:$X289,0),1))*J256*1.1</f>
        <v>0</v>
      </c>
      <c r="R256" s="20">
        <f t="shared" si="29"/>
        <v>0</v>
      </c>
      <c r="S256" s="86">
        <f t="shared" si="30"/>
        <v>0</v>
      </c>
    </row>
    <row r="257" spans="2:19">
      <c r="B257" s="14">
        <f t="shared" si="31"/>
        <v>254</v>
      </c>
      <c r="C257" s="37"/>
      <c r="D257" s="37"/>
      <c r="E257" s="37"/>
      <c r="F257" s="38"/>
      <c r="G257" s="37"/>
      <c r="H257" s="37"/>
      <c r="I257" s="37"/>
      <c r="J257" s="41"/>
      <c r="K257" s="26">
        <f>IF(OR($E257&lt;&gt;"CS",$H257&lt;&gt;"x"),0,INDEX($Y$4:$Y$14,MATCH($G257,$X$4:$X267,0),1))*J257*1.1</f>
        <v>0</v>
      </c>
      <c r="L257" s="26">
        <f t="shared" si="26"/>
        <v>0</v>
      </c>
      <c r="M257" s="26">
        <f>IF($I257&lt;&gt;"x",0,INDEX($Y$27:$Y$37,MATCH($G257,$X$27:$X290,0),1))*J257*1.1</f>
        <v>0</v>
      </c>
      <c r="N257" s="26">
        <f t="shared" si="27"/>
        <v>0</v>
      </c>
      <c r="O257" s="20">
        <f t="shared" si="28"/>
        <v>0</v>
      </c>
      <c r="P257" s="20">
        <f>IF(OR($E257&lt;&gt;"CS",$H257&lt;&gt;"x"),0,INDEX($Z$4:$Z$14,MATCH($G257,$X$4:$X267,0),1))*J257*1.1</f>
        <v>0</v>
      </c>
      <c r="Q257" s="26">
        <f>IF($I257&lt;&gt;"x",0,INDEX($Z$27:$Z$37,MATCH($G257,$X$27:$X290,0),1))*J257*1.1</f>
        <v>0</v>
      </c>
      <c r="R257" s="20">
        <f t="shared" si="29"/>
        <v>0</v>
      </c>
      <c r="S257" s="86">
        <f t="shared" si="30"/>
        <v>0</v>
      </c>
    </row>
    <row r="258" spans="2:19">
      <c r="B258" s="14">
        <f t="shared" si="31"/>
        <v>255</v>
      </c>
      <c r="C258" s="37"/>
      <c r="D258" s="37"/>
      <c r="E258" s="37"/>
      <c r="F258" s="38"/>
      <c r="G258" s="37"/>
      <c r="H258" s="37"/>
      <c r="I258" s="37"/>
      <c r="J258" s="41"/>
      <c r="K258" s="26">
        <f>IF(OR($E258&lt;&gt;"CS",$H258&lt;&gt;"x"),0,INDEX($Y$4:$Y$14,MATCH($G258,$X$4:$X268,0),1))*J258*1.1</f>
        <v>0</v>
      </c>
      <c r="L258" s="26">
        <f t="shared" si="26"/>
        <v>0</v>
      </c>
      <c r="M258" s="26">
        <f>IF($I258&lt;&gt;"x",0,INDEX($Y$27:$Y$37,MATCH($G258,$X$27:$X291,0),1))*J258*1.1</f>
        <v>0</v>
      </c>
      <c r="N258" s="26">
        <f t="shared" si="27"/>
        <v>0</v>
      </c>
      <c r="O258" s="20">
        <f t="shared" si="28"/>
        <v>0</v>
      </c>
      <c r="P258" s="20">
        <f>IF(OR($E258&lt;&gt;"CS",$H258&lt;&gt;"x"),0,INDEX($Z$4:$Z$14,MATCH($G258,$X$4:$X268,0),1))*J258*1.1</f>
        <v>0</v>
      </c>
      <c r="Q258" s="26">
        <f>IF($I258&lt;&gt;"x",0,INDEX($Z$27:$Z$37,MATCH($G258,$X$27:$X291,0),1))*J258*1.1</f>
        <v>0</v>
      </c>
      <c r="R258" s="20">
        <f t="shared" si="29"/>
        <v>0</v>
      </c>
      <c r="S258" s="86">
        <f t="shared" si="30"/>
        <v>0</v>
      </c>
    </row>
    <row r="259" spans="2:19">
      <c r="B259" s="14">
        <f t="shared" si="31"/>
        <v>256</v>
      </c>
      <c r="C259" s="37"/>
      <c r="D259" s="37"/>
      <c r="E259" s="37"/>
      <c r="F259" s="38"/>
      <c r="G259" s="37"/>
      <c r="H259" s="37"/>
      <c r="I259" s="37"/>
      <c r="J259" s="41"/>
      <c r="K259" s="26">
        <f>IF(OR($E259&lt;&gt;"CS",$H259&lt;&gt;"x"),0,INDEX($Y$4:$Y$14,MATCH($G259,$X$4:$X269,0),1))*J259*1.1</f>
        <v>0</v>
      </c>
      <c r="L259" s="26">
        <f t="shared" si="26"/>
        <v>0</v>
      </c>
      <c r="M259" s="26">
        <f>IF($I259&lt;&gt;"x",0,INDEX($Y$27:$Y$37,MATCH($G259,$X$27:$X292,0),1))*J259*1.1</f>
        <v>0</v>
      </c>
      <c r="N259" s="26">
        <f t="shared" si="27"/>
        <v>0</v>
      </c>
      <c r="O259" s="20">
        <f t="shared" si="28"/>
        <v>0</v>
      </c>
      <c r="P259" s="20">
        <f>IF(OR($E259&lt;&gt;"CS",$H259&lt;&gt;"x"),0,INDEX($Z$4:$Z$14,MATCH($G259,$X$4:$X269,0),1))*J259*1.1</f>
        <v>0</v>
      </c>
      <c r="Q259" s="26">
        <f>IF($I259&lt;&gt;"x",0,INDEX($Z$27:$Z$37,MATCH($G259,$X$27:$X292,0),1))*J259*1.1</f>
        <v>0</v>
      </c>
      <c r="R259" s="20">
        <f t="shared" si="29"/>
        <v>0</v>
      </c>
      <c r="S259" s="86">
        <f t="shared" si="30"/>
        <v>0</v>
      </c>
    </row>
    <row r="260" spans="2:19">
      <c r="B260" s="14">
        <f t="shared" si="31"/>
        <v>257</v>
      </c>
      <c r="C260" s="37"/>
      <c r="D260" s="37"/>
      <c r="E260" s="37"/>
      <c r="F260" s="38"/>
      <c r="G260" s="37"/>
      <c r="H260" s="37"/>
      <c r="I260" s="37"/>
      <c r="J260" s="41"/>
      <c r="K260" s="26">
        <f>IF(OR($E260&lt;&gt;"CS",$H260&lt;&gt;"x"),0,INDEX($Y$4:$Y$14,MATCH($G260,$X$4:$X270,0),1))*J260*1.1</f>
        <v>0</v>
      </c>
      <c r="L260" s="26">
        <f t="shared" ref="L260:L323" si="32">K260*$L$2</f>
        <v>0</v>
      </c>
      <c r="M260" s="26">
        <f>IF($I260&lt;&gt;"x",0,INDEX($Y$27:$Y$37,MATCH($G260,$X$27:$X293,0),1))*J260*1.1</f>
        <v>0</v>
      </c>
      <c r="N260" s="26">
        <f t="shared" ref="N260:N323" si="33">M260*$N$2</f>
        <v>0</v>
      </c>
      <c r="O260" s="20">
        <f t="shared" ref="O260:O323" si="34">SUM(K260:N260)</f>
        <v>0</v>
      </c>
      <c r="P260" s="20">
        <f>IF(OR($E260&lt;&gt;"CS",$H260&lt;&gt;"x"),0,INDEX($Z$4:$Z$14,MATCH($G260,$X$4:$X270,0),1))*J260*1.1</f>
        <v>0</v>
      </c>
      <c r="Q260" s="26">
        <f>IF($I260&lt;&gt;"x",0,INDEX($Z$27:$Z$37,MATCH($G260,$X$27:$X293,0),1))*J260*1.1</f>
        <v>0</v>
      </c>
      <c r="R260" s="20">
        <f t="shared" ref="R260:R323" si="35">SUM(P260:Q260)</f>
        <v>0</v>
      </c>
      <c r="S260" s="86">
        <f t="shared" ref="S260:S323" si="36">R260+O260</f>
        <v>0</v>
      </c>
    </row>
    <row r="261" spans="2:19">
      <c r="B261" s="14">
        <f t="shared" ref="B261:B324" si="37">1+B260</f>
        <v>258</v>
      </c>
      <c r="C261" s="37"/>
      <c r="D261" s="37"/>
      <c r="E261" s="37"/>
      <c r="F261" s="38"/>
      <c r="G261" s="37"/>
      <c r="H261" s="37"/>
      <c r="I261" s="37"/>
      <c r="J261" s="41"/>
      <c r="K261" s="26">
        <f>IF(OR($E261&lt;&gt;"CS",$H261&lt;&gt;"x"),0,INDEX($Y$4:$Y$14,MATCH($G261,$X$4:$X271,0),1))*J261*1.1</f>
        <v>0</v>
      </c>
      <c r="L261" s="26">
        <f t="shared" si="32"/>
        <v>0</v>
      </c>
      <c r="M261" s="26">
        <f>IF($I261&lt;&gt;"x",0,INDEX($Y$27:$Y$37,MATCH($G261,$X$27:$X294,0),1))*J261*1.1</f>
        <v>0</v>
      </c>
      <c r="N261" s="26">
        <f t="shared" si="33"/>
        <v>0</v>
      </c>
      <c r="O261" s="20">
        <f t="shared" si="34"/>
        <v>0</v>
      </c>
      <c r="P261" s="20">
        <f>IF(OR($E261&lt;&gt;"CS",$H261&lt;&gt;"x"),0,INDEX($Z$4:$Z$14,MATCH($G261,$X$4:$X271,0),1))*J261*1.1</f>
        <v>0</v>
      </c>
      <c r="Q261" s="26">
        <f>IF($I261&lt;&gt;"x",0,INDEX($Z$27:$Z$37,MATCH($G261,$X$27:$X294,0),1))*J261*1.1</f>
        <v>0</v>
      </c>
      <c r="R261" s="20">
        <f t="shared" si="35"/>
        <v>0</v>
      </c>
      <c r="S261" s="86">
        <f t="shared" si="36"/>
        <v>0</v>
      </c>
    </row>
    <row r="262" spans="2:19">
      <c r="B262" s="14">
        <f t="shared" si="37"/>
        <v>259</v>
      </c>
      <c r="C262" s="37"/>
      <c r="D262" s="37"/>
      <c r="E262" s="37"/>
      <c r="F262" s="38"/>
      <c r="G262" s="37"/>
      <c r="H262" s="37"/>
      <c r="I262" s="37"/>
      <c r="J262" s="41"/>
      <c r="K262" s="26">
        <f>IF(OR($E262&lt;&gt;"CS",$H262&lt;&gt;"x"),0,INDEX($Y$4:$Y$14,MATCH($G262,$X$4:$X272,0),1))*J262*1.1</f>
        <v>0</v>
      </c>
      <c r="L262" s="26">
        <f t="shared" si="32"/>
        <v>0</v>
      </c>
      <c r="M262" s="26">
        <f>IF($I262&lt;&gt;"x",0,INDEX($Y$27:$Y$37,MATCH($G262,$X$27:$X295,0),1))*J262*1.1</f>
        <v>0</v>
      </c>
      <c r="N262" s="26">
        <f t="shared" si="33"/>
        <v>0</v>
      </c>
      <c r="O262" s="20">
        <f t="shared" si="34"/>
        <v>0</v>
      </c>
      <c r="P262" s="20">
        <f>IF(OR($E262&lt;&gt;"CS",$H262&lt;&gt;"x"),0,INDEX($Z$4:$Z$14,MATCH($G262,$X$4:$X272,0),1))*J262*1.1</f>
        <v>0</v>
      </c>
      <c r="Q262" s="26">
        <f>IF($I262&lt;&gt;"x",0,INDEX($Z$27:$Z$37,MATCH($G262,$X$27:$X295,0),1))*J262*1.1</f>
        <v>0</v>
      </c>
      <c r="R262" s="20">
        <f t="shared" si="35"/>
        <v>0</v>
      </c>
      <c r="S262" s="86">
        <f t="shared" si="36"/>
        <v>0</v>
      </c>
    </row>
    <row r="263" spans="2:19">
      <c r="B263" s="14">
        <f t="shared" si="37"/>
        <v>260</v>
      </c>
      <c r="C263" s="37"/>
      <c r="D263" s="37"/>
      <c r="E263" s="37"/>
      <c r="F263" s="38"/>
      <c r="G263" s="37"/>
      <c r="H263" s="37"/>
      <c r="I263" s="37"/>
      <c r="J263" s="41"/>
      <c r="K263" s="26">
        <f>IF(OR($E263&lt;&gt;"CS",$H263&lt;&gt;"x"),0,INDEX($Y$4:$Y$14,MATCH($G263,$X$4:$X273,0),1))*J263*1.1</f>
        <v>0</v>
      </c>
      <c r="L263" s="26">
        <f t="shared" si="32"/>
        <v>0</v>
      </c>
      <c r="M263" s="26">
        <f>IF($I263&lt;&gt;"x",0,INDEX($Y$27:$Y$37,MATCH($G263,$X$27:$X296,0),1))*J263*1.1</f>
        <v>0</v>
      </c>
      <c r="N263" s="26">
        <f t="shared" si="33"/>
        <v>0</v>
      </c>
      <c r="O263" s="20">
        <f t="shared" si="34"/>
        <v>0</v>
      </c>
      <c r="P263" s="20">
        <f>IF(OR($E263&lt;&gt;"CS",$H263&lt;&gt;"x"),0,INDEX($Z$4:$Z$14,MATCH($G263,$X$4:$X273,0),1))*J263*1.1</f>
        <v>0</v>
      </c>
      <c r="Q263" s="26">
        <f>IF($I263&lt;&gt;"x",0,INDEX($Z$27:$Z$37,MATCH($G263,$X$27:$X296,0),1))*J263*1.1</f>
        <v>0</v>
      </c>
      <c r="R263" s="20">
        <f t="shared" si="35"/>
        <v>0</v>
      </c>
      <c r="S263" s="86">
        <f t="shared" si="36"/>
        <v>0</v>
      </c>
    </row>
    <row r="264" spans="2:19">
      <c r="B264" s="14">
        <f t="shared" si="37"/>
        <v>261</v>
      </c>
      <c r="C264" s="37"/>
      <c r="D264" s="37"/>
      <c r="E264" s="37"/>
      <c r="F264" s="38"/>
      <c r="G264" s="37"/>
      <c r="H264" s="37"/>
      <c r="I264" s="37"/>
      <c r="J264" s="41"/>
      <c r="K264" s="26">
        <f>IF(OR($E264&lt;&gt;"CS",$H264&lt;&gt;"x"),0,INDEX($Y$4:$Y$14,MATCH($G264,$X$4:$X274,0),1))*J264*1.1</f>
        <v>0</v>
      </c>
      <c r="L264" s="26">
        <f t="shared" si="32"/>
        <v>0</v>
      </c>
      <c r="M264" s="26">
        <f>IF($I264&lt;&gt;"x",0,INDEX($Y$27:$Y$37,MATCH($G264,$X$27:$X297,0),1))*J264*1.1</f>
        <v>0</v>
      </c>
      <c r="N264" s="26">
        <f t="shared" si="33"/>
        <v>0</v>
      </c>
      <c r="O264" s="20">
        <f t="shared" si="34"/>
        <v>0</v>
      </c>
      <c r="P264" s="20">
        <f>IF(OR($E264&lt;&gt;"CS",$H264&lt;&gt;"x"),0,INDEX($Z$4:$Z$14,MATCH($G264,$X$4:$X274,0),1))*J264*1.1</f>
        <v>0</v>
      </c>
      <c r="Q264" s="26">
        <f>IF($I264&lt;&gt;"x",0,INDEX($Z$27:$Z$37,MATCH($G264,$X$27:$X297,0),1))*J264*1.1</f>
        <v>0</v>
      </c>
      <c r="R264" s="20">
        <f t="shared" si="35"/>
        <v>0</v>
      </c>
      <c r="S264" s="86">
        <f t="shared" si="36"/>
        <v>0</v>
      </c>
    </row>
    <row r="265" spans="2:19">
      <c r="B265" s="14">
        <f t="shared" si="37"/>
        <v>262</v>
      </c>
      <c r="C265" s="37"/>
      <c r="D265" s="37"/>
      <c r="E265" s="37"/>
      <c r="F265" s="38"/>
      <c r="G265" s="37"/>
      <c r="H265" s="37"/>
      <c r="I265" s="37"/>
      <c r="J265" s="41"/>
      <c r="K265" s="26">
        <f>IF(OR($E265&lt;&gt;"CS",$H265&lt;&gt;"x"),0,INDEX($Y$4:$Y$14,MATCH($G265,$X$4:$X275,0),1))*J265*1.1</f>
        <v>0</v>
      </c>
      <c r="L265" s="26">
        <f t="shared" si="32"/>
        <v>0</v>
      </c>
      <c r="M265" s="26">
        <f>IF($I265&lt;&gt;"x",0,INDEX($Y$27:$Y$37,MATCH($G265,$X$27:$X298,0),1))*J265*1.1</f>
        <v>0</v>
      </c>
      <c r="N265" s="26">
        <f t="shared" si="33"/>
        <v>0</v>
      </c>
      <c r="O265" s="20">
        <f t="shared" si="34"/>
        <v>0</v>
      </c>
      <c r="P265" s="20">
        <f>IF(OR($E265&lt;&gt;"CS",$H265&lt;&gt;"x"),0,INDEX($Z$4:$Z$14,MATCH($G265,$X$4:$X275,0),1))*J265*1.1</f>
        <v>0</v>
      </c>
      <c r="Q265" s="26">
        <f>IF($I265&lt;&gt;"x",0,INDEX($Z$27:$Z$37,MATCH($G265,$X$27:$X298,0),1))*J265*1.1</f>
        <v>0</v>
      </c>
      <c r="R265" s="20">
        <f t="shared" si="35"/>
        <v>0</v>
      </c>
      <c r="S265" s="86">
        <f t="shared" si="36"/>
        <v>0</v>
      </c>
    </row>
    <row r="266" spans="2:19">
      <c r="B266" s="14">
        <f t="shared" si="37"/>
        <v>263</v>
      </c>
      <c r="C266" s="37"/>
      <c r="D266" s="37"/>
      <c r="E266" s="37"/>
      <c r="F266" s="38"/>
      <c r="G266" s="37"/>
      <c r="H266" s="37"/>
      <c r="I266" s="37"/>
      <c r="J266" s="41"/>
      <c r="K266" s="26">
        <f>IF(OR($E266&lt;&gt;"CS",$H266&lt;&gt;"x"),0,INDEX($Y$4:$Y$14,MATCH($G266,$X$4:$X276,0),1))*J266*1.1</f>
        <v>0</v>
      </c>
      <c r="L266" s="26">
        <f t="shared" si="32"/>
        <v>0</v>
      </c>
      <c r="M266" s="26">
        <f>IF($I266&lt;&gt;"x",0,INDEX($Y$27:$Y$37,MATCH($G266,$X$27:$X299,0),1))*J266*1.1</f>
        <v>0</v>
      </c>
      <c r="N266" s="26">
        <f t="shared" si="33"/>
        <v>0</v>
      </c>
      <c r="O266" s="20">
        <f t="shared" si="34"/>
        <v>0</v>
      </c>
      <c r="P266" s="20">
        <f>IF(OR($E266&lt;&gt;"CS",$H266&lt;&gt;"x"),0,INDEX($Z$4:$Z$14,MATCH($G266,$X$4:$X276,0),1))*J266*1.1</f>
        <v>0</v>
      </c>
      <c r="Q266" s="26">
        <f>IF($I266&lt;&gt;"x",0,INDEX($Z$27:$Z$37,MATCH($G266,$X$27:$X299,0),1))*J266*1.1</f>
        <v>0</v>
      </c>
      <c r="R266" s="20">
        <f t="shared" si="35"/>
        <v>0</v>
      </c>
      <c r="S266" s="86">
        <f t="shared" si="36"/>
        <v>0</v>
      </c>
    </row>
    <row r="267" spans="2:19">
      <c r="B267" s="14">
        <f t="shared" si="37"/>
        <v>264</v>
      </c>
      <c r="C267" s="37"/>
      <c r="D267" s="37"/>
      <c r="E267" s="37"/>
      <c r="F267" s="38"/>
      <c r="G267" s="37"/>
      <c r="H267" s="37"/>
      <c r="I267" s="37"/>
      <c r="J267" s="41"/>
      <c r="K267" s="26">
        <f>IF(OR($E267&lt;&gt;"CS",$H267&lt;&gt;"x"),0,INDEX($Y$4:$Y$14,MATCH($G267,$X$4:$X277,0),1))*J267*1.1</f>
        <v>0</v>
      </c>
      <c r="L267" s="26">
        <f t="shared" si="32"/>
        <v>0</v>
      </c>
      <c r="M267" s="26">
        <f>IF($I267&lt;&gt;"x",0,INDEX($Y$27:$Y$37,MATCH($G267,$X$27:$X300,0),1))*J267*1.1</f>
        <v>0</v>
      </c>
      <c r="N267" s="26">
        <f t="shared" si="33"/>
        <v>0</v>
      </c>
      <c r="O267" s="20">
        <f t="shared" si="34"/>
        <v>0</v>
      </c>
      <c r="P267" s="20">
        <f>IF(OR($E267&lt;&gt;"CS",$H267&lt;&gt;"x"),0,INDEX($Z$4:$Z$14,MATCH($G267,$X$4:$X277,0),1))*J267*1.1</f>
        <v>0</v>
      </c>
      <c r="Q267" s="26">
        <f>IF($I267&lt;&gt;"x",0,INDEX($Z$27:$Z$37,MATCH($G267,$X$27:$X300,0),1))*J267*1.1</f>
        <v>0</v>
      </c>
      <c r="R267" s="20">
        <f t="shared" si="35"/>
        <v>0</v>
      </c>
      <c r="S267" s="86">
        <f t="shared" si="36"/>
        <v>0</v>
      </c>
    </row>
    <row r="268" spans="2:19">
      <c r="B268" s="14">
        <f t="shared" si="37"/>
        <v>265</v>
      </c>
      <c r="C268" s="37"/>
      <c r="D268" s="37"/>
      <c r="E268" s="37"/>
      <c r="F268" s="38"/>
      <c r="G268" s="37"/>
      <c r="H268" s="37"/>
      <c r="I268" s="37"/>
      <c r="J268" s="41"/>
      <c r="K268" s="26">
        <f>IF(OR($E268&lt;&gt;"CS",$H268&lt;&gt;"x"),0,INDEX($Y$4:$Y$14,MATCH($G268,$X$4:$X278,0),1))*J268*1.1</f>
        <v>0</v>
      </c>
      <c r="L268" s="26">
        <f t="shared" si="32"/>
        <v>0</v>
      </c>
      <c r="M268" s="26">
        <f>IF($I268&lt;&gt;"x",0,INDEX($Y$27:$Y$37,MATCH($G268,$X$27:$X301,0),1))*J268*1.1</f>
        <v>0</v>
      </c>
      <c r="N268" s="26">
        <f t="shared" si="33"/>
        <v>0</v>
      </c>
      <c r="O268" s="20">
        <f t="shared" si="34"/>
        <v>0</v>
      </c>
      <c r="P268" s="20">
        <f>IF(OR($E268&lt;&gt;"CS",$H268&lt;&gt;"x"),0,INDEX($Z$4:$Z$14,MATCH($G268,$X$4:$X278,0),1))*J268*1.1</f>
        <v>0</v>
      </c>
      <c r="Q268" s="26">
        <f>IF($I268&lt;&gt;"x",0,INDEX($Z$27:$Z$37,MATCH($G268,$X$27:$X301,0),1))*J268*1.1</f>
        <v>0</v>
      </c>
      <c r="R268" s="20">
        <f t="shared" si="35"/>
        <v>0</v>
      </c>
      <c r="S268" s="86">
        <f t="shared" si="36"/>
        <v>0</v>
      </c>
    </row>
    <row r="269" spans="2:19">
      <c r="B269" s="14">
        <f t="shared" si="37"/>
        <v>266</v>
      </c>
      <c r="C269" s="37"/>
      <c r="D269" s="37"/>
      <c r="E269" s="37"/>
      <c r="F269" s="38"/>
      <c r="G269" s="37"/>
      <c r="H269" s="37"/>
      <c r="I269" s="37"/>
      <c r="J269" s="41"/>
      <c r="K269" s="26">
        <f>IF(OR($E269&lt;&gt;"CS",$H269&lt;&gt;"x"),0,INDEX($Y$4:$Y$14,MATCH($G269,$X$4:$X279,0),1))*J269*1.1</f>
        <v>0</v>
      </c>
      <c r="L269" s="26">
        <f t="shared" si="32"/>
        <v>0</v>
      </c>
      <c r="M269" s="26">
        <f>IF($I269&lt;&gt;"x",0,INDEX($Y$27:$Y$37,MATCH($G269,$X$27:$X302,0),1))*J269*1.1</f>
        <v>0</v>
      </c>
      <c r="N269" s="26">
        <f t="shared" si="33"/>
        <v>0</v>
      </c>
      <c r="O269" s="20">
        <f t="shared" si="34"/>
        <v>0</v>
      </c>
      <c r="P269" s="20">
        <f>IF(OR($E269&lt;&gt;"CS",$H269&lt;&gt;"x"),0,INDEX($Z$4:$Z$14,MATCH($G269,$X$4:$X279,0),1))*J269*1.1</f>
        <v>0</v>
      </c>
      <c r="Q269" s="26">
        <f>IF($I269&lt;&gt;"x",0,INDEX($Z$27:$Z$37,MATCH($G269,$X$27:$X302,0),1))*J269*1.1</f>
        <v>0</v>
      </c>
      <c r="R269" s="20">
        <f t="shared" si="35"/>
        <v>0</v>
      </c>
      <c r="S269" s="86">
        <f t="shared" si="36"/>
        <v>0</v>
      </c>
    </row>
    <row r="270" spans="2:19">
      <c r="B270" s="14">
        <f t="shared" si="37"/>
        <v>267</v>
      </c>
      <c r="C270" s="37"/>
      <c r="D270" s="37"/>
      <c r="E270" s="37"/>
      <c r="F270" s="38"/>
      <c r="G270" s="37"/>
      <c r="H270" s="37"/>
      <c r="I270" s="37"/>
      <c r="J270" s="41"/>
      <c r="K270" s="26">
        <f>IF(OR($E270&lt;&gt;"CS",$H270&lt;&gt;"x"),0,INDEX($Y$4:$Y$14,MATCH($G270,$X$4:$X280,0),1))*J270*1.1</f>
        <v>0</v>
      </c>
      <c r="L270" s="26">
        <f t="shared" si="32"/>
        <v>0</v>
      </c>
      <c r="M270" s="26">
        <f>IF($I270&lt;&gt;"x",0,INDEX($Y$27:$Y$37,MATCH($G270,$X$27:$X303,0),1))*J270*1.1</f>
        <v>0</v>
      </c>
      <c r="N270" s="26">
        <f t="shared" si="33"/>
        <v>0</v>
      </c>
      <c r="O270" s="20">
        <f t="shared" si="34"/>
        <v>0</v>
      </c>
      <c r="P270" s="20">
        <f>IF(OR($E270&lt;&gt;"CS",$H270&lt;&gt;"x"),0,INDEX($Z$4:$Z$14,MATCH($G270,$X$4:$X280,0),1))*J270*1.1</f>
        <v>0</v>
      </c>
      <c r="Q270" s="26">
        <f>IF($I270&lt;&gt;"x",0,INDEX($Z$27:$Z$37,MATCH($G270,$X$27:$X303,0),1))*J270*1.1</f>
        <v>0</v>
      </c>
      <c r="R270" s="20">
        <f t="shared" si="35"/>
        <v>0</v>
      </c>
      <c r="S270" s="86">
        <f t="shared" si="36"/>
        <v>0</v>
      </c>
    </row>
    <row r="271" spans="2:19">
      <c r="B271" s="14">
        <f t="shared" si="37"/>
        <v>268</v>
      </c>
      <c r="C271" s="37"/>
      <c r="D271" s="37"/>
      <c r="E271" s="37"/>
      <c r="F271" s="38"/>
      <c r="G271" s="37"/>
      <c r="H271" s="37"/>
      <c r="I271" s="37"/>
      <c r="J271" s="41"/>
      <c r="K271" s="26">
        <f>IF(OR($E271&lt;&gt;"CS",$H271&lt;&gt;"x"),0,INDEX($Y$4:$Y$14,MATCH($G271,$X$4:$X281,0),1))*J271*1.1</f>
        <v>0</v>
      </c>
      <c r="L271" s="26">
        <f t="shared" si="32"/>
        <v>0</v>
      </c>
      <c r="M271" s="26">
        <f>IF($I271&lt;&gt;"x",0,INDEX($Y$27:$Y$37,MATCH($G271,$X$27:$X304,0),1))*J271*1.1</f>
        <v>0</v>
      </c>
      <c r="N271" s="26">
        <f t="shared" si="33"/>
        <v>0</v>
      </c>
      <c r="O271" s="20">
        <f t="shared" si="34"/>
        <v>0</v>
      </c>
      <c r="P271" s="20">
        <f>IF(OR($E271&lt;&gt;"CS",$H271&lt;&gt;"x"),0,INDEX($Z$4:$Z$14,MATCH($G271,$X$4:$X281,0),1))*J271*1.1</f>
        <v>0</v>
      </c>
      <c r="Q271" s="26">
        <f>IF($I271&lt;&gt;"x",0,INDEX($Z$27:$Z$37,MATCH($G271,$X$27:$X304,0),1))*J271*1.1</f>
        <v>0</v>
      </c>
      <c r="R271" s="20">
        <f t="shared" si="35"/>
        <v>0</v>
      </c>
      <c r="S271" s="86">
        <f t="shared" si="36"/>
        <v>0</v>
      </c>
    </row>
    <row r="272" spans="2:19">
      <c r="B272" s="14">
        <f t="shared" si="37"/>
        <v>269</v>
      </c>
      <c r="C272" s="37"/>
      <c r="D272" s="37"/>
      <c r="E272" s="37"/>
      <c r="F272" s="38"/>
      <c r="G272" s="37"/>
      <c r="H272" s="37"/>
      <c r="I272" s="37"/>
      <c r="J272" s="41"/>
      <c r="K272" s="26">
        <f>IF(OR($E272&lt;&gt;"CS",$H272&lt;&gt;"x"),0,INDEX($Y$4:$Y$14,MATCH($G272,$X$4:$X282,0),1))*J272*1.1</f>
        <v>0</v>
      </c>
      <c r="L272" s="26">
        <f t="shared" si="32"/>
        <v>0</v>
      </c>
      <c r="M272" s="26">
        <f>IF($I272&lt;&gt;"x",0,INDEX($Y$27:$Y$37,MATCH($G272,$X$27:$X305,0),1))*J272*1.1</f>
        <v>0</v>
      </c>
      <c r="N272" s="26">
        <f t="shared" si="33"/>
        <v>0</v>
      </c>
      <c r="O272" s="20">
        <f t="shared" si="34"/>
        <v>0</v>
      </c>
      <c r="P272" s="20">
        <f>IF(OR($E272&lt;&gt;"CS",$H272&lt;&gt;"x"),0,INDEX($Z$4:$Z$14,MATCH($G272,$X$4:$X282,0),1))*J272*1.1</f>
        <v>0</v>
      </c>
      <c r="Q272" s="26">
        <f>IF($I272&lt;&gt;"x",0,INDEX($Z$27:$Z$37,MATCH($G272,$X$27:$X305,0),1))*J272*1.1</f>
        <v>0</v>
      </c>
      <c r="R272" s="20">
        <f t="shared" si="35"/>
        <v>0</v>
      </c>
      <c r="S272" s="86">
        <f t="shared" si="36"/>
        <v>0</v>
      </c>
    </row>
    <row r="273" spans="2:19">
      <c r="B273" s="14">
        <f t="shared" si="37"/>
        <v>270</v>
      </c>
      <c r="C273" s="37"/>
      <c r="D273" s="37"/>
      <c r="E273" s="37"/>
      <c r="F273" s="38"/>
      <c r="G273" s="37"/>
      <c r="H273" s="37"/>
      <c r="I273" s="37"/>
      <c r="J273" s="41"/>
      <c r="K273" s="26">
        <f>IF(OR($E273&lt;&gt;"CS",$H273&lt;&gt;"x"),0,INDEX($Y$4:$Y$14,MATCH($G273,$X$4:$X283,0),1))*J273*1.1</f>
        <v>0</v>
      </c>
      <c r="L273" s="26">
        <f t="shared" si="32"/>
        <v>0</v>
      </c>
      <c r="M273" s="26">
        <f>IF($I273&lt;&gt;"x",0,INDEX($Y$27:$Y$37,MATCH($G273,$X$27:$X306,0),1))*J273*1.1</f>
        <v>0</v>
      </c>
      <c r="N273" s="26">
        <f t="shared" si="33"/>
        <v>0</v>
      </c>
      <c r="O273" s="20">
        <f t="shared" si="34"/>
        <v>0</v>
      </c>
      <c r="P273" s="20">
        <f>IF(OR($E273&lt;&gt;"CS",$H273&lt;&gt;"x"),0,INDEX($Z$4:$Z$14,MATCH($G273,$X$4:$X283,0),1))*J273*1.1</f>
        <v>0</v>
      </c>
      <c r="Q273" s="26">
        <f>IF($I273&lt;&gt;"x",0,INDEX($Z$27:$Z$37,MATCH($G273,$X$27:$X306,0),1))*J273*1.1</f>
        <v>0</v>
      </c>
      <c r="R273" s="20">
        <f t="shared" si="35"/>
        <v>0</v>
      </c>
      <c r="S273" s="86">
        <f t="shared" si="36"/>
        <v>0</v>
      </c>
    </row>
    <row r="274" spans="2:19">
      <c r="B274" s="14">
        <f t="shared" si="37"/>
        <v>271</v>
      </c>
      <c r="C274" s="37"/>
      <c r="D274" s="37"/>
      <c r="E274" s="37"/>
      <c r="F274" s="38"/>
      <c r="G274" s="37"/>
      <c r="H274" s="37"/>
      <c r="I274" s="37"/>
      <c r="J274" s="41"/>
      <c r="K274" s="26">
        <f>IF(OR($E274&lt;&gt;"CS",$H274&lt;&gt;"x"),0,INDEX($Y$4:$Y$14,MATCH($G274,$X$4:$X284,0),1))*J274*1.1</f>
        <v>0</v>
      </c>
      <c r="L274" s="26">
        <f t="shared" si="32"/>
        <v>0</v>
      </c>
      <c r="M274" s="26">
        <f>IF($I274&lt;&gt;"x",0,INDEX($Y$27:$Y$37,MATCH($G274,$X$27:$X307,0),1))*J274*1.1</f>
        <v>0</v>
      </c>
      <c r="N274" s="26">
        <f t="shared" si="33"/>
        <v>0</v>
      </c>
      <c r="O274" s="20">
        <f t="shared" si="34"/>
        <v>0</v>
      </c>
      <c r="P274" s="20">
        <f>IF(OR($E274&lt;&gt;"CS",$H274&lt;&gt;"x"),0,INDEX($Z$4:$Z$14,MATCH($G274,$X$4:$X284,0),1))*J274*1.1</f>
        <v>0</v>
      </c>
      <c r="Q274" s="26">
        <f>IF($I274&lt;&gt;"x",0,INDEX($Z$27:$Z$37,MATCH($G274,$X$27:$X307,0),1))*J274*1.1</f>
        <v>0</v>
      </c>
      <c r="R274" s="20">
        <f t="shared" si="35"/>
        <v>0</v>
      </c>
      <c r="S274" s="86">
        <f t="shared" si="36"/>
        <v>0</v>
      </c>
    </row>
    <row r="275" spans="2:19">
      <c r="B275" s="14">
        <f t="shared" si="37"/>
        <v>272</v>
      </c>
      <c r="C275" s="37"/>
      <c r="D275" s="37"/>
      <c r="E275" s="37"/>
      <c r="F275" s="38"/>
      <c r="G275" s="37"/>
      <c r="H275" s="37"/>
      <c r="I275" s="37"/>
      <c r="J275" s="41"/>
      <c r="K275" s="26">
        <f>IF(OR($E275&lt;&gt;"CS",$H275&lt;&gt;"x"),0,INDEX($Y$4:$Y$14,MATCH($G275,$X$4:$X285,0),1))*J275*1.1</f>
        <v>0</v>
      </c>
      <c r="L275" s="26">
        <f t="shared" si="32"/>
        <v>0</v>
      </c>
      <c r="M275" s="26">
        <f>IF($I275&lt;&gt;"x",0,INDEX($Y$27:$Y$37,MATCH($G275,$X$27:$X308,0),1))*J275*1.1</f>
        <v>0</v>
      </c>
      <c r="N275" s="26">
        <f t="shared" si="33"/>
        <v>0</v>
      </c>
      <c r="O275" s="20">
        <f t="shared" si="34"/>
        <v>0</v>
      </c>
      <c r="P275" s="20">
        <f>IF(OR($E275&lt;&gt;"CS",$H275&lt;&gt;"x"),0,INDEX($Z$4:$Z$14,MATCH($G275,$X$4:$X285,0),1))*J275*1.1</f>
        <v>0</v>
      </c>
      <c r="Q275" s="26">
        <f>IF($I275&lt;&gt;"x",0,INDEX($Z$27:$Z$37,MATCH($G275,$X$27:$X308,0),1))*J275*1.1</f>
        <v>0</v>
      </c>
      <c r="R275" s="20">
        <f t="shared" si="35"/>
        <v>0</v>
      </c>
      <c r="S275" s="86">
        <f t="shared" si="36"/>
        <v>0</v>
      </c>
    </row>
    <row r="276" spans="2:19">
      <c r="B276" s="14">
        <f t="shared" si="37"/>
        <v>273</v>
      </c>
      <c r="C276" s="37"/>
      <c r="D276" s="37"/>
      <c r="E276" s="37"/>
      <c r="F276" s="38"/>
      <c r="G276" s="37"/>
      <c r="H276" s="37"/>
      <c r="I276" s="37"/>
      <c r="J276" s="41"/>
      <c r="K276" s="26">
        <f>IF(OR($E276&lt;&gt;"CS",$H276&lt;&gt;"x"),0,INDEX($Y$4:$Y$14,MATCH($G276,$X$4:$X286,0),1))*J276*1.1</f>
        <v>0</v>
      </c>
      <c r="L276" s="26">
        <f t="shared" si="32"/>
        <v>0</v>
      </c>
      <c r="M276" s="26">
        <f>IF($I276&lt;&gt;"x",0,INDEX($Y$27:$Y$37,MATCH($G276,$X$27:$X309,0),1))*J276*1.1</f>
        <v>0</v>
      </c>
      <c r="N276" s="26">
        <f t="shared" si="33"/>
        <v>0</v>
      </c>
      <c r="O276" s="20">
        <f t="shared" si="34"/>
        <v>0</v>
      </c>
      <c r="P276" s="20">
        <f>IF(OR($E276&lt;&gt;"CS",$H276&lt;&gt;"x"),0,INDEX($Z$4:$Z$14,MATCH($G276,$X$4:$X286,0),1))*J276*1.1</f>
        <v>0</v>
      </c>
      <c r="Q276" s="26">
        <f>IF($I276&lt;&gt;"x",0,INDEX($Z$27:$Z$37,MATCH($G276,$X$27:$X309,0),1))*J276*1.1</f>
        <v>0</v>
      </c>
      <c r="R276" s="20">
        <f t="shared" si="35"/>
        <v>0</v>
      </c>
      <c r="S276" s="86">
        <f t="shared" si="36"/>
        <v>0</v>
      </c>
    </row>
    <row r="277" spans="2:19">
      <c r="B277" s="14">
        <f t="shared" si="37"/>
        <v>274</v>
      </c>
      <c r="C277" s="37"/>
      <c r="D277" s="37"/>
      <c r="E277" s="37"/>
      <c r="F277" s="38"/>
      <c r="G277" s="37"/>
      <c r="H277" s="37"/>
      <c r="I277" s="37"/>
      <c r="J277" s="41"/>
      <c r="K277" s="26">
        <f>IF(OR($E277&lt;&gt;"CS",$H277&lt;&gt;"x"),0,INDEX($Y$4:$Y$14,MATCH($G277,$X$4:$X287,0),1))*J277*1.1</f>
        <v>0</v>
      </c>
      <c r="L277" s="26">
        <f t="shared" si="32"/>
        <v>0</v>
      </c>
      <c r="M277" s="26">
        <f>IF($I277&lt;&gt;"x",0,INDEX($Y$27:$Y$37,MATCH($G277,$X$27:$X310,0),1))*J277*1.1</f>
        <v>0</v>
      </c>
      <c r="N277" s="26">
        <f t="shared" si="33"/>
        <v>0</v>
      </c>
      <c r="O277" s="20">
        <f t="shared" si="34"/>
        <v>0</v>
      </c>
      <c r="P277" s="20">
        <f>IF(OR($E277&lt;&gt;"CS",$H277&lt;&gt;"x"),0,INDEX($Z$4:$Z$14,MATCH($G277,$X$4:$X287,0),1))*J277*1.1</f>
        <v>0</v>
      </c>
      <c r="Q277" s="26">
        <f>IF($I277&lt;&gt;"x",0,INDEX($Z$27:$Z$37,MATCH($G277,$X$27:$X310,0),1))*J277*1.1</f>
        <v>0</v>
      </c>
      <c r="R277" s="20">
        <f t="shared" si="35"/>
        <v>0</v>
      </c>
      <c r="S277" s="86">
        <f t="shared" si="36"/>
        <v>0</v>
      </c>
    </row>
    <row r="278" spans="2:19">
      <c r="B278" s="14">
        <f t="shared" si="37"/>
        <v>275</v>
      </c>
      <c r="C278" s="37"/>
      <c r="D278" s="37"/>
      <c r="E278" s="37"/>
      <c r="F278" s="38"/>
      <c r="G278" s="37"/>
      <c r="H278" s="37"/>
      <c r="I278" s="37"/>
      <c r="J278" s="41"/>
      <c r="K278" s="26">
        <f>IF(OR($E278&lt;&gt;"CS",$H278&lt;&gt;"x"),0,INDEX($Y$4:$Y$14,MATCH($G278,$X$4:$X288,0),1))*J278*1.1</f>
        <v>0</v>
      </c>
      <c r="L278" s="26">
        <f t="shared" si="32"/>
        <v>0</v>
      </c>
      <c r="M278" s="26">
        <f>IF($I278&lt;&gt;"x",0,INDEX($Y$27:$Y$37,MATCH($G278,$X$27:$X311,0),1))*J278*1.1</f>
        <v>0</v>
      </c>
      <c r="N278" s="26">
        <f t="shared" si="33"/>
        <v>0</v>
      </c>
      <c r="O278" s="20">
        <f t="shared" si="34"/>
        <v>0</v>
      </c>
      <c r="P278" s="20">
        <f>IF(OR($E278&lt;&gt;"CS",$H278&lt;&gt;"x"),0,INDEX($Z$4:$Z$14,MATCH($G278,$X$4:$X288,0),1))*J278*1.1</f>
        <v>0</v>
      </c>
      <c r="Q278" s="26">
        <f>IF($I278&lt;&gt;"x",0,INDEX($Z$27:$Z$37,MATCH($G278,$X$27:$X311,0),1))*J278*1.1</f>
        <v>0</v>
      </c>
      <c r="R278" s="20">
        <f t="shared" si="35"/>
        <v>0</v>
      </c>
      <c r="S278" s="86">
        <f t="shared" si="36"/>
        <v>0</v>
      </c>
    </row>
    <row r="279" spans="2:19">
      <c r="B279" s="14">
        <f t="shared" si="37"/>
        <v>276</v>
      </c>
      <c r="C279" s="37"/>
      <c r="D279" s="37"/>
      <c r="E279" s="37"/>
      <c r="F279" s="38"/>
      <c r="G279" s="37"/>
      <c r="H279" s="37"/>
      <c r="I279" s="37"/>
      <c r="J279" s="41"/>
      <c r="K279" s="26">
        <f>IF(OR($E279&lt;&gt;"CS",$H279&lt;&gt;"x"),0,INDEX($Y$4:$Y$14,MATCH($G279,$X$4:$X289,0),1))*J279*1.1</f>
        <v>0</v>
      </c>
      <c r="L279" s="26">
        <f t="shared" si="32"/>
        <v>0</v>
      </c>
      <c r="M279" s="26">
        <f>IF($I279&lt;&gt;"x",0,INDEX($Y$27:$Y$37,MATCH($G279,$X$27:$X312,0),1))*J279*1.1</f>
        <v>0</v>
      </c>
      <c r="N279" s="26">
        <f t="shared" si="33"/>
        <v>0</v>
      </c>
      <c r="O279" s="20">
        <f t="shared" si="34"/>
        <v>0</v>
      </c>
      <c r="P279" s="20">
        <f>IF(OR($E279&lt;&gt;"CS",$H279&lt;&gt;"x"),0,INDEX($Z$4:$Z$14,MATCH($G279,$X$4:$X289,0),1))*J279*1.1</f>
        <v>0</v>
      </c>
      <c r="Q279" s="26">
        <f>IF($I279&lt;&gt;"x",0,INDEX($Z$27:$Z$37,MATCH($G279,$X$27:$X312,0),1))*J279*1.1</f>
        <v>0</v>
      </c>
      <c r="R279" s="20">
        <f t="shared" si="35"/>
        <v>0</v>
      </c>
      <c r="S279" s="86">
        <f t="shared" si="36"/>
        <v>0</v>
      </c>
    </row>
    <row r="280" spans="2:19">
      <c r="B280" s="14">
        <f t="shared" si="37"/>
        <v>277</v>
      </c>
      <c r="C280" s="37"/>
      <c r="D280" s="37"/>
      <c r="E280" s="37"/>
      <c r="F280" s="38"/>
      <c r="G280" s="37"/>
      <c r="H280" s="37"/>
      <c r="I280" s="37"/>
      <c r="J280" s="41"/>
      <c r="K280" s="26">
        <f>IF(OR($E280&lt;&gt;"CS",$H280&lt;&gt;"x"),0,INDEX($Y$4:$Y$14,MATCH($G280,$X$4:$X290,0),1))*J280*1.1</f>
        <v>0</v>
      </c>
      <c r="L280" s="26">
        <f t="shared" si="32"/>
        <v>0</v>
      </c>
      <c r="M280" s="26">
        <f>IF($I280&lt;&gt;"x",0,INDEX($Y$27:$Y$37,MATCH($G280,$X$27:$X313,0),1))*J280*1.1</f>
        <v>0</v>
      </c>
      <c r="N280" s="26">
        <f t="shared" si="33"/>
        <v>0</v>
      </c>
      <c r="O280" s="20">
        <f t="shared" si="34"/>
        <v>0</v>
      </c>
      <c r="P280" s="20">
        <f>IF(OR($E280&lt;&gt;"CS",$H280&lt;&gt;"x"),0,INDEX($Z$4:$Z$14,MATCH($G280,$X$4:$X290,0),1))*J280*1.1</f>
        <v>0</v>
      </c>
      <c r="Q280" s="26">
        <f>IF($I280&lt;&gt;"x",0,INDEX($Z$27:$Z$37,MATCH($G280,$X$27:$X313,0),1))*J280*1.1</f>
        <v>0</v>
      </c>
      <c r="R280" s="20">
        <f t="shared" si="35"/>
        <v>0</v>
      </c>
      <c r="S280" s="86">
        <f t="shared" si="36"/>
        <v>0</v>
      </c>
    </row>
    <row r="281" spans="2:19">
      <c r="B281" s="14">
        <f t="shared" si="37"/>
        <v>278</v>
      </c>
      <c r="C281" s="37"/>
      <c r="D281" s="37"/>
      <c r="E281" s="37"/>
      <c r="F281" s="38"/>
      <c r="G281" s="37"/>
      <c r="H281" s="37"/>
      <c r="I281" s="37"/>
      <c r="J281" s="41"/>
      <c r="K281" s="26">
        <f>IF(OR($E281&lt;&gt;"CS",$H281&lt;&gt;"x"),0,INDEX($Y$4:$Y$14,MATCH($G281,$X$4:$X291,0),1))*J281*1.1</f>
        <v>0</v>
      </c>
      <c r="L281" s="26">
        <f t="shared" si="32"/>
        <v>0</v>
      </c>
      <c r="M281" s="26">
        <f>IF($I281&lt;&gt;"x",0,INDEX($Y$27:$Y$37,MATCH($G281,$X$27:$X314,0),1))*J281*1.1</f>
        <v>0</v>
      </c>
      <c r="N281" s="26">
        <f t="shared" si="33"/>
        <v>0</v>
      </c>
      <c r="O281" s="20">
        <f t="shared" si="34"/>
        <v>0</v>
      </c>
      <c r="P281" s="20">
        <f>IF(OR($E281&lt;&gt;"CS",$H281&lt;&gt;"x"),0,INDEX($Z$4:$Z$14,MATCH($G281,$X$4:$X291,0),1))*J281*1.1</f>
        <v>0</v>
      </c>
      <c r="Q281" s="26">
        <f>IF($I281&lt;&gt;"x",0,INDEX($Z$27:$Z$37,MATCH($G281,$X$27:$X314,0),1))*J281*1.1</f>
        <v>0</v>
      </c>
      <c r="R281" s="20">
        <f t="shared" si="35"/>
        <v>0</v>
      </c>
      <c r="S281" s="86">
        <f t="shared" si="36"/>
        <v>0</v>
      </c>
    </row>
    <row r="282" spans="2:19">
      <c r="B282" s="14">
        <f t="shared" si="37"/>
        <v>279</v>
      </c>
      <c r="C282" s="37"/>
      <c r="D282" s="37"/>
      <c r="E282" s="37"/>
      <c r="F282" s="38"/>
      <c r="G282" s="37"/>
      <c r="H282" s="37"/>
      <c r="I282" s="37"/>
      <c r="J282" s="41"/>
      <c r="K282" s="26">
        <f>IF(OR($E282&lt;&gt;"CS",$H282&lt;&gt;"x"),0,INDEX($Y$4:$Y$14,MATCH($G282,$X$4:$X292,0),1))*J282*1.1</f>
        <v>0</v>
      </c>
      <c r="L282" s="26">
        <f t="shared" si="32"/>
        <v>0</v>
      </c>
      <c r="M282" s="26">
        <f>IF($I282&lt;&gt;"x",0,INDEX($Y$27:$Y$37,MATCH($G282,$X$27:$X315,0),1))*J282*1.1</f>
        <v>0</v>
      </c>
      <c r="N282" s="26">
        <f t="shared" si="33"/>
        <v>0</v>
      </c>
      <c r="O282" s="20">
        <f t="shared" si="34"/>
        <v>0</v>
      </c>
      <c r="P282" s="20">
        <f>IF(OR($E282&lt;&gt;"CS",$H282&lt;&gt;"x"),0,INDEX($Z$4:$Z$14,MATCH($G282,$X$4:$X292,0),1))*J282*1.1</f>
        <v>0</v>
      </c>
      <c r="Q282" s="26">
        <f>IF($I282&lt;&gt;"x",0,INDEX($Z$27:$Z$37,MATCH($G282,$X$27:$X315,0),1))*J282*1.1</f>
        <v>0</v>
      </c>
      <c r="R282" s="20">
        <f t="shared" si="35"/>
        <v>0</v>
      </c>
      <c r="S282" s="86">
        <f t="shared" si="36"/>
        <v>0</v>
      </c>
    </row>
    <row r="283" spans="2:19">
      <c r="B283" s="14">
        <f t="shared" si="37"/>
        <v>280</v>
      </c>
      <c r="C283" s="37"/>
      <c r="D283" s="37"/>
      <c r="E283" s="37"/>
      <c r="F283" s="38"/>
      <c r="G283" s="37"/>
      <c r="H283" s="37"/>
      <c r="I283" s="37"/>
      <c r="J283" s="41"/>
      <c r="K283" s="26">
        <f>IF(OR($E283&lt;&gt;"CS",$H283&lt;&gt;"x"),0,INDEX($Y$4:$Y$14,MATCH($G283,$X$4:$X293,0),1))*J283*1.1</f>
        <v>0</v>
      </c>
      <c r="L283" s="26">
        <f t="shared" si="32"/>
        <v>0</v>
      </c>
      <c r="M283" s="26">
        <f>IF($I283&lt;&gt;"x",0,INDEX($Y$27:$Y$37,MATCH($G283,$X$27:$X316,0),1))*J283*1.1</f>
        <v>0</v>
      </c>
      <c r="N283" s="26">
        <f t="shared" si="33"/>
        <v>0</v>
      </c>
      <c r="O283" s="20">
        <f t="shared" si="34"/>
        <v>0</v>
      </c>
      <c r="P283" s="20">
        <f>IF(OR($E283&lt;&gt;"CS",$H283&lt;&gt;"x"),0,INDEX($Z$4:$Z$14,MATCH($G283,$X$4:$X293,0),1))*J283*1.1</f>
        <v>0</v>
      </c>
      <c r="Q283" s="26">
        <f>IF($I283&lt;&gt;"x",0,INDEX($Z$27:$Z$37,MATCH($G283,$X$27:$X316,0),1))*J283*1.1</f>
        <v>0</v>
      </c>
      <c r="R283" s="20">
        <f t="shared" si="35"/>
        <v>0</v>
      </c>
      <c r="S283" s="86">
        <f t="shared" si="36"/>
        <v>0</v>
      </c>
    </row>
    <row r="284" spans="2:19">
      <c r="B284" s="14">
        <f t="shared" si="37"/>
        <v>281</v>
      </c>
      <c r="C284" s="37"/>
      <c r="D284" s="37"/>
      <c r="E284" s="37"/>
      <c r="F284" s="38"/>
      <c r="G284" s="37"/>
      <c r="H284" s="37"/>
      <c r="I284" s="37"/>
      <c r="J284" s="41"/>
      <c r="K284" s="26">
        <f>IF(OR($E284&lt;&gt;"CS",$H284&lt;&gt;"x"),0,INDEX($Y$4:$Y$14,MATCH($G284,$X$4:$X294,0),1))*J284*1.1</f>
        <v>0</v>
      </c>
      <c r="L284" s="26">
        <f t="shared" si="32"/>
        <v>0</v>
      </c>
      <c r="M284" s="26">
        <f>IF($I284&lt;&gt;"x",0,INDEX($Y$27:$Y$37,MATCH($G284,$X$27:$X317,0),1))*J284*1.1</f>
        <v>0</v>
      </c>
      <c r="N284" s="26">
        <f t="shared" si="33"/>
        <v>0</v>
      </c>
      <c r="O284" s="20">
        <f t="shared" si="34"/>
        <v>0</v>
      </c>
      <c r="P284" s="20">
        <f>IF(OR($E284&lt;&gt;"CS",$H284&lt;&gt;"x"),0,INDEX($Z$4:$Z$14,MATCH($G284,$X$4:$X294,0),1))*J284*1.1</f>
        <v>0</v>
      </c>
      <c r="Q284" s="26">
        <f>IF($I284&lt;&gt;"x",0,INDEX($Z$27:$Z$37,MATCH($G284,$X$27:$X317,0),1))*J284*1.1</f>
        <v>0</v>
      </c>
      <c r="R284" s="20">
        <f t="shared" si="35"/>
        <v>0</v>
      </c>
      <c r="S284" s="86">
        <f t="shared" si="36"/>
        <v>0</v>
      </c>
    </row>
    <row r="285" spans="2:19">
      <c r="B285" s="14">
        <f t="shared" si="37"/>
        <v>282</v>
      </c>
      <c r="C285" s="37"/>
      <c r="D285" s="37"/>
      <c r="E285" s="37"/>
      <c r="F285" s="38"/>
      <c r="G285" s="37"/>
      <c r="H285" s="37"/>
      <c r="I285" s="37"/>
      <c r="J285" s="41"/>
      <c r="K285" s="26">
        <f>IF(OR($E285&lt;&gt;"CS",$H285&lt;&gt;"x"),0,INDEX($Y$4:$Y$14,MATCH($G285,$X$4:$X295,0),1))*J285*1.1</f>
        <v>0</v>
      </c>
      <c r="L285" s="26">
        <f t="shared" si="32"/>
        <v>0</v>
      </c>
      <c r="M285" s="26">
        <f>IF($I285&lt;&gt;"x",0,INDEX($Y$27:$Y$37,MATCH($G285,$X$27:$X318,0),1))*J285*1.1</f>
        <v>0</v>
      </c>
      <c r="N285" s="26">
        <f t="shared" si="33"/>
        <v>0</v>
      </c>
      <c r="O285" s="20">
        <f t="shared" si="34"/>
        <v>0</v>
      </c>
      <c r="P285" s="20">
        <f>IF(OR($E285&lt;&gt;"CS",$H285&lt;&gt;"x"),0,INDEX($Z$4:$Z$14,MATCH($G285,$X$4:$X295,0),1))*J285*1.1</f>
        <v>0</v>
      </c>
      <c r="Q285" s="26">
        <f>IF($I285&lt;&gt;"x",0,INDEX($Z$27:$Z$37,MATCH($G285,$X$27:$X318,0),1))*J285*1.1</f>
        <v>0</v>
      </c>
      <c r="R285" s="20">
        <f t="shared" si="35"/>
        <v>0</v>
      </c>
      <c r="S285" s="86">
        <f t="shared" si="36"/>
        <v>0</v>
      </c>
    </row>
    <row r="286" spans="2:19">
      <c r="B286" s="14">
        <f t="shared" si="37"/>
        <v>283</v>
      </c>
      <c r="C286" s="37"/>
      <c r="D286" s="37"/>
      <c r="E286" s="37"/>
      <c r="F286" s="38"/>
      <c r="G286" s="37"/>
      <c r="H286" s="37"/>
      <c r="I286" s="37"/>
      <c r="J286" s="41"/>
      <c r="K286" s="26">
        <f>IF(OR($E286&lt;&gt;"CS",$H286&lt;&gt;"x"),0,INDEX($Y$4:$Y$14,MATCH($G286,$X$4:$X296,0),1))*J286*1.1</f>
        <v>0</v>
      </c>
      <c r="L286" s="26">
        <f t="shared" si="32"/>
        <v>0</v>
      </c>
      <c r="M286" s="26">
        <f>IF($I286&lt;&gt;"x",0,INDEX($Y$27:$Y$37,MATCH($G286,$X$27:$X319,0),1))*J286*1.1</f>
        <v>0</v>
      </c>
      <c r="N286" s="26">
        <f t="shared" si="33"/>
        <v>0</v>
      </c>
      <c r="O286" s="20">
        <f t="shared" si="34"/>
        <v>0</v>
      </c>
      <c r="P286" s="20">
        <f>IF(OR($E286&lt;&gt;"CS",$H286&lt;&gt;"x"),0,INDEX($Z$4:$Z$14,MATCH($G286,$X$4:$X296,0),1))*J286*1.1</f>
        <v>0</v>
      </c>
      <c r="Q286" s="26">
        <f>IF($I286&lt;&gt;"x",0,INDEX($Z$27:$Z$37,MATCH($G286,$X$27:$X319,0),1))*J286*1.1</f>
        <v>0</v>
      </c>
      <c r="R286" s="20">
        <f t="shared" si="35"/>
        <v>0</v>
      </c>
      <c r="S286" s="86">
        <f t="shared" si="36"/>
        <v>0</v>
      </c>
    </row>
    <row r="287" spans="2:19">
      <c r="B287" s="14">
        <f t="shared" si="37"/>
        <v>284</v>
      </c>
      <c r="C287" s="37"/>
      <c r="D287" s="37"/>
      <c r="E287" s="37"/>
      <c r="F287" s="38"/>
      <c r="G287" s="37"/>
      <c r="H287" s="37"/>
      <c r="I287" s="37"/>
      <c r="J287" s="41"/>
      <c r="K287" s="26">
        <f>IF(OR($E287&lt;&gt;"CS",$H287&lt;&gt;"x"),0,INDEX($Y$4:$Y$14,MATCH($G287,$X$4:$X297,0),1))*J287*1.1</f>
        <v>0</v>
      </c>
      <c r="L287" s="26">
        <f t="shared" si="32"/>
        <v>0</v>
      </c>
      <c r="M287" s="26">
        <f>IF($I287&lt;&gt;"x",0,INDEX($Y$27:$Y$37,MATCH($G287,$X$27:$X320,0),1))*J287*1.1</f>
        <v>0</v>
      </c>
      <c r="N287" s="26">
        <f t="shared" si="33"/>
        <v>0</v>
      </c>
      <c r="O287" s="20">
        <f t="shared" si="34"/>
        <v>0</v>
      </c>
      <c r="P287" s="20">
        <f>IF(OR($E287&lt;&gt;"CS",$H287&lt;&gt;"x"),0,INDEX($Z$4:$Z$14,MATCH($G287,$X$4:$X297,0),1))*J287*1.1</f>
        <v>0</v>
      </c>
      <c r="Q287" s="26">
        <f>IF($I287&lt;&gt;"x",0,INDEX($Z$27:$Z$37,MATCH($G287,$X$27:$X320,0),1))*J287*1.1</f>
        <v>0</v>
      </c>
      <c r="R287" s="20">
        <f t="shared" si="35"/>
        <v>0</v>
      </c>
      <c r="S287" s="86">
        <f t="shared" si="36"/>
        <v>0</v>
      </c>
    </row>
    <row r="288" spans="2:19">
      <c r="B288" s="14">
        <f t="shared" si="37"/>
        <v>285</v>
      </c>
      <c r="C288" s="37"/>
      <c r="D288" s="37"/>
      <c r="E288" s="37"/>
      <c r="F288" s="38"/>
      <c r="G288" s="37"/>
      <c r="H288" s="37"/>
      <c r="I288" s="37"/>
      <c r="J288" s="41"/>
      <c r="K288" s="26">
        <f>IF(OR($E288&lt;&gt;"CS",$H288&lt;&gt;"x"),0,INDEX($Y$4:$Y$14,MATCH($G288,$X$4:$X298,0),1))*J288*1.1</f>
        <v>0</v>
      </c>
      <c r="L288" s="26">
        <f t="shared" si="32"/>
        <v>0</v>
      </c>
      <c r="M288" s="26">
        <f>IF($I288&lt;&gt;"x",0,INDEX($Y$27:$Y$37,MATCH($G288,$X$27:$X321,0),1))*J288*1.1</f>
        <v>0</v>
      </c>
      <c r="N288" s="26">
        <f t="shared" si="33"/>
        <v>0</v>
      </c>
      <c r="O288" s="20">
        <f t="shared" si="34"/>
        <v>0</v>
      </c>
      <c r="P288" s="20">
        <f>IF(OR($E288&lt;&gt;"CS",$H288&lt;&gt;"x"),0,INDEX($Z$4:$Z$14,MATCH($G288,$X$4:$X298,0),1))*J288*1.1</f>
        <v>0</v>
      </c>
      <c r="Q288" s="26">
        <f>IF($I288&lt;&gt;"x",0,INDEX($Z$27:$Z$37,MATCH($G288,$X$27:$X321,0),1))*J288*1.1</f>
        <v>0</v>
      </c>
      <c r="R288" s="20">
        <f t="shared" si="35"/>
        <v>0</v>
      </c>
      <c r="S288" s="86">
        <f t="shared" si="36"/>
        <v>0</v>
      </c>
    </row>
    <row r="289" spans="2:19">
      <c r="B289" s="14">
        <f t="shared" si="37"/>
        <v>286</v>
      </c>
      <c r="C289" s="37"/>
      <c r="D289" s="37"/>
      <c r="E289" s="37"/>
      <c r="F289" s="38"/>
      <c r="G289" s="37"/>
      <c r="H289" s="37"/>
      <c r="I289" s="37"/>
      <c r="J289" s="41"/>
      <c r="K289" s="26">
        <f>IF(OR($E289&lt;&gt;"CS",$H289&lt;&gt;"x"),0,INDEX($Y$4:$Y$14,MATCH($G289,$X$4:$X299,0),1))*J289*1.1</f>
        <v>0</v>
      </c>
      <c r="L289" s="26">
        <f t="shared" si="32"/>
        <v>0</v>
      </c>
      <c r="M289" s="26">
        <f>IF($I289&lt;&gt;"x",0,INDEX($Y$27:$Y$37,MATCH($G289,$X$27:$X322,0),1))*J289*1.1</f>
        <v>0</v>
      </c>
      <c r="N289" s="26">
        <f t="shared" si="33"/>
        <v>0</v>
      </c>
      <c r="O289" s="20">
        <f t="shared" si="34"/>
        <v>0</v>
      </c>
      <c r="P289" s="20">
        <f>IF(OR($E289&lt;&gt;"CS",$H289&lt;&gt;"x"),0,INDEX($Z$4:$Z$14,MATCH($G289,$X$4:$X299,0),1))*J289*1.1</f>
        <v>0</v>
      </c>
      <c r="Q289" s="26">
        <f>IF($I289&lt;&gt;"x",0,INDEX($Z$27:$Z$37,MATCH($G289,$X$27:$X322,0),1))*J289*1.1</f>
        <v>0</v>
      </c>
      <c r="R289" s="20">
        <f t="shared" si="35"/>
        <v>0</v>
      </c>
      <c r="S289" s="86">
        <f t="shared" si="36"/>
        <v>0</v>
      </c>
    </row>
    <row r="290" spans="2:19">
      <c r="B290" s="14">
        <f t="shared" si="37"/>
        <v>287</v>
      </c>
      <c r="C290" s="37"/>
      <c r="D290" s="37"/>
      <c r="E290" s="37"/>
      <c r="F290" s="38"/>
      <c r="G290" s="37"/>
      <c r="H290" s="37"/>
      <c r="I290" s="37"/>
      <c r="J290" s="41"/>
      <c r="K290" s="26">
        <f>IF(OR($E290&lt;&gt;"CS",$H290&lt;&gt;"x"),0,INDEX($Y$4:$Y$14,MATCH($G290,$X$4:$X300,0),1))*J290*1.1</f>
        <v>0</v>
      </c>
      <c r="L290" s="26">
        <f t="shared" si="32"/>
        <v>0</v>
      </c>
      <c r="M290" s="26">
        <f>IF($I290&lt;&gt;"x",0,INDEX($Y$27:$Y$37,MATCH($G290,$X$27:$X323,0),1))*J290*1.1</f>
        <v>0</v>
      </c>
      <c r="N290" s="26">
        <f t="shared" si="33"/>
        <v>0</v>
      </c>
      <c r="O290" s="20">
        <f t="shared" si="34"/>
        <v>0</v>
      </c>
      <c r="P290" s="20">
        <f>IF(OR($E290&lt;&gt;"CS",$H290&lt;&gt;"x"),0,INDEX($Z$4:$Z$14,MATCH($G290,$X$4:$X300,0),1))*J290*1.1</f>
        <v>0</v>
      </c>
      <c r="Q290" s="26">
        <f>IF($I290&lt;&gt;"x",0,INDEX($Z$27:$Z$37,MATCH($G290,$X$27:$X323,0),1))*J290*1.1</f>
        <v>0</v>
      </c>
      <c r="R290" s="20">
        <f t="shared" si="35"/>
        <v>0</v>
      </c>
      <c r="S290" s="86">
        <f t="shared" si="36"/>
        <v>0</v>
      </c>
    </row>
    <row r="291" spans="2:19">
      <c r="B291" s="14">
        <f t="shared" si="37"/>
        <v>288</v>
      </c>
      <c r="C291" s="37"/>
      <c r="D291" s="37"/>
      <c r="E291" s="37"/>
      <c r="F291" s="38"/>
      <c r="G291" s="37"/>
      <c r="H291" s="37"/>
      <c r="I291" s="37"/>
      <c r="J291" s="41"/>
      <c r="K291" s="26">
        <f>IF(OR($E291&lt;&gt;"CS",$H291&lt;&gt;"x"),0,INDEX($Y$4:$Y$14,MATCH($G291,$X$4:$X301,0),1))*J291*1.1</f>
        <v>0</v>
      </c>
      <c r="L291" s="26">
        <f t="shared" si="32"/>
        <v>0</v>
      </c>
      <c r="M291" s="26">
        <f>IF($I291&lt;&gt;"x",0,INDEX($Y$27:$Y$37,MATCH($G291,$X$27:$X324,0),1))*J291*1.1</f>
        <v>0</v>
      </c>
      <c r="N291" s="26">
        <f t="shared" si="33"/>
        <v>0</v>
      </c>
      <c r="O291" s="20">
        <f t="shared" si="34"/>
        <v>0</v>
      </c>
      <c r="P291" s="20">
        <f>IF(OR($E291&lt;&gt;"CS",$H291&lt;&gt;"x"),0,INDEX($Z$4:$Z$14,MATCH($G291,$X$4:$X301,0),1))*J291*1.1</f>
        <v>0</v>
      </c>
      <c r="Q291" s="26">
        <f>IF($I291&lt;&gt;"x",0,INDEX($Z$27:$Z$37,MATCH($G291,$X$27:$X324,0),1))*J291*1.1</f>
        <v>0</v>
      </c>
      <c r="R291" s="20">
        <f t="shared" si="35"/>
        <v>0</v>
      </c>
      <c r="S291" s="86">
        <f t="shared" si="36"/>
        <v>0</v>
      </c>
    </row>
    <row r="292" spans="2:19">
      <c r="B292" s="14">
        <f t="shared" si="37"/>
        <v>289</v>
      </c>
      <c r="C292" s="37"/>
      <c r="D292" s="37"/>
      <c r="E292" s="37"/>
      <c r="F292" s="38"/>
      <c r="G292" s="37"/>
      <c r="H292" s="37"/>
      <c r="I292" s="37"/>
      <c r="J292" s="41"/>
      <c r="K292" s="26">
        <f>IF(OR($E292&lt;&gt;"CS",$H292&lt;&gt;"x"),0,INDEX($Y$4:$Y$14,MATCH($G292,$X$4:$X302,0),1))*J292*1.1</f>
        <v>0</v>
      </c>
      <c r="L292" s="26">
        <f t="shared" si="32"/>
        <v>0</v>
      </c>
      <c r="M292" s="26">
        <f>IF($I292&lt;&gt;"x",0,INDEX($Y$27:$Y$37,MATCH($G292,$X$27:$X325,0),1))*J292*1.1</f>
        <v>0</v>
      </c>
      <c r="N292" s="26">
        <f t="shared" si="33"/>
        <v>0</v>
      </c>
      <c r="O292" s="20">
        <f t="shared" si="34"/>
        <v>0</v>
      </c>
      <c r="P292" s="20">
        <f>IF(OR($E292&lt;&gt;"CS",$H292&lt;&gt;"x"),0,INDEX($Z$4:$Z$14,MATCH($G292,$X$4:$X302,0),1))*J292*1.1</f>
        <v>0</v>
      </c>
      <c r="Q292" s="26">
        <f>IF($I292&lt;&gt;"x",0,INDEX($Z$27:$Z$37,MATCH($G292,$X$27:$X325,0),1))*J292*1.1</f>
        <v>0</v>
      </c>
      <c r="R292" s="20">
        <f t="shared" si="35"/>
        <v>0</v>
      </c>
      <c r="S292" s="86">
        <f t="shared" si="36"/>
        <v>0</v>
      </c>
    </row>
    <row r="293" spans="2:19">
      <c r="B293" s="14">
        <f t="shared" si="37"/>
        <v>290</v>
      </c>
      <c r="C293" s="37"/>
      <c r="D293" s="37"/>
      <c r="E293" s="37"/>
      <c r="F293" s="38"/>
      <c r="G293" s="37"/>
      <c r="H293" s="37"/>
      <c r="I293" s="37"/>
      <c r="J293" s="41"/>
      <c r="K293" s="26">
        <f>IF(OR($E293&lt;&gt;"CS",$H293&lt;&gt;"x"),0,INDEX($Y$4:$Y$14,MATCH($G293,$X$4:$X303,0),1))*J293*1.1</f>
        <v>0</v>
      </c>
      <c r="L293" s="26">
        <f t="shared" si="32"/>
        <v>0</v>
      </c>
      <c r="M293" s="26">
        <f>IF($I293&lt;&gt;"x",0,INDEX($Y$27:$Y$37,MATCH($G293,$X$27:$X326,0),1))*J293*1.1</f>
        <v>0</v>
      </c>
      <c r="N293" s="26">
        <f t="shared" si="33"/>
        <v>0</v>
      </c>
      <c r="O293" s="20">
        <f t="shared" si="34"/>
        <v>0</v>
      </c>
      <c r="P293" s="20">
        <f>IF(OR($E293&lt;&gt;"CS",$H293&lt;&gt;"x"),0,INDEX($Z$4:$Z$14,MATCH($G293,$X$4:$X303,0),1))*J293*1.1</f>
        <v>0</v>
      </c>
      <c r="Q293" s="26">
        <f>IF($I293&lt;&gt;"x",0,INDEX($Z$27:$Z$37,MATCH($G293,$X$27:$X326,0),1))*J293*1.1</f>
        <v>0</v>
      </c>
      <c r="R293" s="20">
        <f t="shared" si="35"/>
        <v>0</v>
      </c>
      <c r="S293" s="86">
        <f t="shared" si="36"/>
        <v>0</v>
      </c>
    </row>
    <row r="294" spans="2:19">
      <c r="B294" s="14">
        <f t="shared" si="37"/>
        <v>291</v>
      </c>
      <c r="C294" s="37"/>
      <c r="D294" s="37"/>
      <c r="E294" s="37"/>
      <c r="F294" s="38"/>
      <c r="G294" s="37"/>
      <c r="H294" s="37"/>
      <c r="I294" s="37"/>
      <c r="J294" s="41"/>
      <c r="K294" s="26">
        <f>IF(OR($E294&lt;&gt;"CS",$H294&lt;&gt;"x"),0,INDEX($Y$4:$Y$14,MATCH($G294,$X$4:$X304,0),1))*J294*1.1</f>
        <v>0</v>
      </c>
      <c r="L294" s="26">
        <f t="shared" si="32"/>
        <v>0</v>
      </c>
      <c r="M294" s="26">
        <f>IF($I294&lt;&gt;"x",0,INDEX($Y$27:$Y$37,MATCH($G294,$X$27:$X327,0),1))*J294*1.1</f>
        <v>0</v>
      </c>
      <c r="N294" s="26">
        <f t="shared" si="33"/>
        <v>0</v>
      </c>
      <c r="O294" s="20">
        <f t="shared" si="34"/>
        <v>0</v>
      </c>
      <c r="P294" s="20">
        <f>IF(OR($E294&lt;&gt;"CS",$H294&lt;&gt;"x"),0,INDEX($Z$4:$Z$14,MATCH($G294,$X$4:$X304,0),1))*J294*1.1</f>
        <v>0</v>
      </c>
      <c r="Q294" s="26">
        <f>IF($I294&lt;&gt;"x",0,INDEX($Z$27:$Z$37,MATCH($G294,$X$27:$X327,0),1))*J294*1.1</f>
        <v>0</v>
      </c>
      <c r="R294" s="20">
        <f t="shared" si="35"/>
        <v>0</v>
      </c>
      <c r="S294" s="86">
        <f t="shared" si="36"/>
        <v>0</v>
      </c>
    </row>
    <row r="295" spans="2:19">
      <c r="B295" s="14">
        <f t="shared" si="37"/>
        <v>292</v>
      </c>
      <c r="C295" s="37"/>
      <c r="D295" s="37"/>
      <c r="E295" s="37"/>
      <c r="F295" s="38"/>
      <c r="G295" s="37"/>
      <c r="H295" s="37"/>
      <c r="I295" s="37"/>
      <c r="J295" s="41"/>
      <c r="K295" s="26">
        <f>IF(OR($E295&lt;&gt;"CS",$H295&lt;&gt;"x"),0,INDEX($Y$4:$Y$14,MATCH($G295,$X$4:$X305,0),1))*J295*1.1</f>
        <v>0</v>
      </c>
      <c r="L295" s="26">
        <f t="shared" si="32"/>
        <v>0</v>
      </c>
      <c r="M295" s="26">
        <f>IF($I295&lt;&gt;"x",0,INDEX($Y$27:$Y$37,MATCH($G295,$X$27:$X328,0),1))*J295*1.1</f>
        <v>0</v>
      </c>
      <c r="N295" s="26">
        <f t="shared" si="33"/>
        <v>0</v>
      </c>
      <c r="O295" s="20">
        <f t="shared" si="34"/>
        <v>0</v>
      </c>
      <c r="P295" s="20">
        <f>IF(OR($E295&lt;&gt;"CS",$H295&lt;&gt;"x"),0,INDEX($Z$4:$Z$14,MATCH($G295,$X$4:$X305,0),1))*J295*1.1</f>
        <v>0</v>
      </c>
      <c r="Q295" s="26">
        <f>IF($I295&lt;&gt;"x",0,INDEX($Z$27:$Z$37,MATCH($G295,$X$27:$X328,0),1))*J295*1.1</f>
        <v>0</v>
      </c>
      <c r="R295" s="20">
        <f t="shared" si="35"/>
        <v>0</v>
      </c>
      <c r="S295" s="86">
        <f t="shared" si="36"/>
        <v>0</v>
      </c>
    </row>
    <row r="296" spans="2:19">
      <c r="B296" s="14">
        <f t="shared" si="37"/>
        <v>293</v>
      </c>
      <c r="C296" s="37"/>
      <c r="D296" s="37"/>
      <c r="E296" s="37"/>
      <c r="F296" s="38"/>
      <c r="G296" s="37"/>
      <c r="H296" s="37"/>
      <c r="I296" s="37"/>
      <c r="J296" s="41"/>
      <c r="K296" s="26">
        <f>IF(OR($E296&lt;&gt;"CS",$H296&lt;&gt;"x"),0,INDEX($Y$4:$Y$14,MATCH($G296,$X$4:$X306,0),1))*J296*1.1</f>
        <v>0</v>
      </c>
      <c r="L296" s="26">
        <f t="shared" si="32"/>
        <v>0</v>
      </c>
      <c r="M296" s="26">
        <f>IF($I296&lt;&gt;"x",0,INDEX($Y$27:$Y$37,MATCH($G296,$X$27:$X329,0),1))*J296*1.1</f>
        <v>0</v>
      </c>
      <c r="N296" s="26">
        <f t="shared" si="33"/>
        <v>0</v>
      </c>
      <c r="O296" s="20">
        <f t="shared" si="34"/>
        <v>0</v>
      </c>
      <c r="P296" s="20">
        <f>IF(OR($E296&lt;&gt;"CS",$H296&lt;&gt;"x"),0,INDEX($Z$4:$Z$14,MATCH($G296,$X$4:$X306,0),1))*J296*1.1</f>
        <v>0</v>
      </c>
      <c r="Q296" s="26">
        <f>IF($I296&lt;&gt;"x",0,INDEX($Z$27:$Z$37,MATCH($G296,$X$27:$X329,0),1))*J296*1.1</f>
        <v>0</v>
      </c>
      <c r="R296" s="20">
        <f t="shared" si="35"/>
        <v>0</v>
      </c>
      <c r="S296" s="86">
        <f t="shared" si="36"/>
        <v>0</v>
      </c>
    </row>
    <row r="297" spans="2:19">
      <c r="B297" s="14">
        <f t="shared" si="37"/>
        <v>294</v>
      </c>
      <c r="C297" s="37"/>
      <c r="D297" s="37"/>
      <c r="E297" s="37"/>
      <c r="F297" s="38"/>
      <c r="G297" s="37"/>
      <c r="H297" s="37"/>
      <c r="I297" s="37"/>
      <c r="J297" s="41"/>
      <c r="K297" s="26">
        <f>IF(OR($E297&lt;&gt;"CS",$H297&lt;&gt;"x"),0,INDEX($Y$4:$Y$14,MATCH($G297,$X$4:$X307,0),1))*J297*1.1</f>
        <v>0</v>
      </c>
      <c r="L297" s="26">
        <f t="shared" si="32"/>
        <v>0</v>
      </c>
      <c r="M297" s="26">
        <f>IF($I297&lt;&gt;"x",0,INDEX($Y$27:$Y$37,MATCH($G297,$X$27:$X330,0),1))*J297*1.1</f>
        <v>0</v>
      </c>
      <c r="N297" s="26">
        <f t="shared" si="33"/>
        <v>0</v>
      </c>
      <c r="O297" s="20">
        <f t="shared" si="34"/>
        <v>0</v>
      </c>
      <c r="P297" s="20">
        <f>IF(OR($E297&lt;&gt;"CS",$H297&lt;&gt;"x"),0,INDEX($Z$4:$Z$14,MATCH($G297,$X$4:$X307,0),1))*J297*1.1</f>
        <v>0</v>
      </c>
      <c r="Q297" s="26">
        <f>IF($I297&lt;&gt;"x",0,INDEX($Z$27:$Z$37,MATCH($G297,$X$27:$X330,0),1))*J297*1.1</f>
        <v>0</v>
      </c>
      <c r="R297" s="20">
        <f t="shared" si="35"/>
        <v>0</v>
      </c>
      <c r="S297" s="86">
        <f t="shared" si="36"/>
        <v>0</v>
      </c>
    </row>
    <row r="298" spans="2:19">
      <c r="B298" s="14">
        <f t="shared" si="37"/>
        <v>295</v>
      </c>
      <c r="C298" s="37"/>
      <c r="D298" s="37"/>
      <c r="E298" s="37"/>
      <c r="F298" s="38"/>
      <c r="G298" s="37"/>
      <c r="H298" s="37"/>
      <c r="I298" s="37"/>
      <c r="J298" s="41"/>
      <c r="K298" s="26">
        <f>IF(OR($E298&lt;&gt;"CS",$H298&lt;&gt;"x"),0,INDEX($Y$4:$Y$14,MATCH($G298,$X$4:$X308,0),1))*J298*1.1</f>
        <v>0</v>
      </c>
      <c r="L298" s="26">
        <f t="shared" si="32"/>
        <v>0</v>
      </c>
      <c r="M298" s="26">
        <f>IF($I298&lt;&gt;"x",0,INDEX($Y$27:$Y$37,MATCH($G298,$X$27:$X331,0),1))*J298*1.1</f>
        <v>0</v>
      </c>
      <c r="N298" s="26">
        <f t="shared" si="33"/>
        <v>0</v>
      </c>
      <c r="O298" s="20">
        <f t="shared" si="34"/>
        <v>0</v>
      </c>
      <c r="P298" s="20">
        <f>IF(OR($E298&lt;&gt;"CS",$H298&lt;&gt;"x"),0,INDEX($Z$4:$Z$14,MATCH($G298,$X$4:$X308,0),1))*J298*1.1</f>
        <v>0</v>
      </c>
      <c r="Q298" s="26">
        <f>IF($I298&lt;&gt;"x",0,INDEX($Z$27:$Z$37,MATCH($G298,$X$27:$X331,0),1))*J298*1.1</f>
        <v>0</v>
      </c>
      <c r="R298" s="20">
        <f t="shared" si="35"/>
        <v>0</v>
      </c>
      <c r="S298" s="86">
        <f t="shared" si="36"/>
        <v>0</v>
      </c>
    </row>
    <row r="299" spans="2:19">
      <c r="B299" s="14">
        <f t="shared" si="37"/>
        <v>296</v>
      </c>
      <c r="C299" s="37"/>
      <c r="D299" s="37"/>
      <c r="E299" s="37"/>
      <c r="F299" s="38"/>
      <c r="G299" s="37"/>
      <c r="H299" s="37"/>
      <c r="I299" s="37"/>
      <c r="J299" s="41"/>
      <c r="K299" s="26">
        <f>IF(OR($E299&lt;&gt;"CS",$H299&lt;&gt;"x"),0,INDEX($Y$4:$Y$14,MATCH($G299,$X$4:$X309,0),1))*J299*1.1</f>
        <v>0</v>
      </c>
      <c r="L299" s="26">
        <f t="shared" si="32"/>
        <v>0</v>
      </c>
      <c r="M299" s="26">
        <f>IF($I299&lt;&gt;"x",0,INDEX($Y$27:$Y$37,MATCH($G299,$X$27:$X332,0),1))*J299*1.1</f>
        <v>0</v>
      </c>
      <c r="N299" s="26">
        <f t="shared" si="33"/>
        <v>0</v>
      </c>
      <c r="O299" s="20">
        <f t="shared" si="34"/>
        <v>0</v>
      </c>
      <c r="P299" s="20">
        <f>IF(OR($E299&lt;&gt;"CS",$H299&lt;&gt;"x"),0,INDEX($Z$4:$Z$14,MATCH($G299,$X$4:$X309,0),1))*J299*1.1</f>
        <v>0</v>
      </c>
      <c r="Q299" s="26">
        <f>IF($I299&lt;&gt;"x",0,INDEX($Z$27:$Z$37,MATCH($G299,$X$27:$X332,0),1))*J299*1.1</f>
        <v>0</v>
      </c>
      <c r="R299" s="20">
        <f t="shared" si="35"/>
        <v>0</v>
      </c>
      <c r="S299" s="86">
        <f t="shared" si="36"/>
        <v>0</v>
      </c>
    </row>
    <row r="300" spans="2:19">
      <c r="B300" s="14">
        <f t="shared" si="37"/>
        <v>297</v>
      </c>
      <c r="C300" s="37"/>
      <c r="D300" s="37"/>
      <c r="E300" s="37"/>
      <c r="F300" s="38"/>
      <c r="G300" s="37"/>
      <c r="H300" s="37"/>
      <c r="I300" s="37"/>
      <c r="J300" s="41"/>
      <c r="K300" s="26">
        <f>IF(OR($E300&lt;&gt;"CS",$H300&lt;&gt;"x"),0,INDEX($Y$4:$Y$14,MATCH($G300,$X$4:$X310,0),1))*J300*1.1</f>
        <v>0</v>
      </c>
      <c r="L300" s="26">
        <f t="shared" si="32"/>
        <v>0</v>
      </c>
      <c r="M300" s="26">
        <f>IF($I300&lt;&gt;"x",0,INDEX($Y$27:$Y$37,MATCH($G300,$X$27:$X333,0),1))*J300*1.1</f>
        <v>0</v>
      </c>
      <c r="N300" s="26">
        <f t="shared" si="33"/>
        <v>0</v>
      </c>
      <c r="O300" s="20">
        <f t="shared" si="34"/>
        <v>0</v>
      </c>
      <c r="P300" s="20">
        <f>IF(OR($E300&lt;&gt;"CS",$H300&lt;&gt;"x"),0,INDEX($Z$4:$Z$14,MATCH($G300,$X$4:$X310,0),1))*J300*1.1</f>
        <v>0</v>
      </c>
      <c r="Q300" s="26">
        <f>IF($I300&lt;&gt;"x",0,INDEX($Z$27:$Z$37,MATCH($G300,$X$27:$X333,0),1))*J300*1.1</f>
        <v>0</v>
      </c>
      <c r="R300" s="20">
        <f t="shared" si="35"/>
        <v>0</v>
      </c>
      <c r="S300" s="86">
        <f t="shared" si="36"/>
        <v>0</v>
      </c>
    </row>
    <row r="301" spans="2:19">
      <c r="B301" s="14">
        <f t="shared" si="37"/>
        <v>298</v>
      </c>
      <c r="C301" s="37"/>
      <c r="D301" s="37"/>
      <c r="E301" s="37"/>
      <c r="F301" s="38"/>
      <c r="G301" s="37"/>
      <c r="H301" s="37"/>
      <c r="I301" s="37"/>
      <c r="J301" s="41"/>
      <c r="K301" s="26">
        <f>IF(OR($E301&lt;&gt;"CS",$H301&lt;&gt;"x"),0,INDEX($Y$4:$Y$14,MATCH($G301,$X$4:$X311,0),1))*J301*1.1</f>
        <v>0</v>
      </c>
      <c r="L301" s="26">
        <f t="shared" si="32"/>
        <v>0</v>
      </c>
      <c r="M301" s="26">
        <f>IF($I301&lt;&gt;"x",0,INDEX($Y$27:$Y$37,MATCH($G301,$X$27:$X334,0),1))*J301*1.1</f>
        <v>0</v>
      </c>
      <c r="N301" s="26">
        <f t="shared" si="33"/>
        <v>0</v>
      </c>
      <c r="O301" s="20">
        <f t="shared" si="34"/>
        <v>0</v>
      </c>
      <c r="P301" s="20">
        <f>IF(OR($E301&lt;&gt;"CS",$H301&lt;&gt;"x"),0,INDEX($Z$4:$Z$14,MATCH($G301,$X$4:$X311,0),1))*J301*1.1</f>
        <v>0</v>
      </c>
      <c r="Q301" s="26">
        <f>IF($I301&lt;&gt;"x",0,INDEX($Z$27:$Z$37,MATCH($G301,$X$27:$X334,0),1))*J301*1.1</f>
        <v>0</v>
      </c>
      <c r="R301" s="20">
        <f t="shared" si="35"/>
        <v>0</v>
      </c>
      <c r="S301" s="86">
        <f t="shared" si="36"/>
        <v>0</v>
      </c>
    </row>
    <row r="302" spans="2:19">
      <c r="B302" s="14">
        <f t="shared" si="37"/>
        <v>299</v>
      </c>
      <c r="C302" s="37"/>
      <c r="D302" s="37"/>
      <c r="E302" s="37"/>
      <c r="F302" s="38"/>
      <c r="G302" s="37"/>
      <c r="H302" s="37"/>
      <c r="I302" s="37"/>
      <c r="J302" s="41"/>
      <c r="K302" s="26">
        <f>IF(OR($E302&lt;&gt;"CS",$H302&lt;&gt;"x"),0,INDEX($Y$4:$Y$14,MATCH($G302,$X$4:$X312,0),1))*J302*1.1</f>
        <v>0</v>
      </c>
      <c r="L302" s="26">
        <f t="shared" si="32"/>
        <v>0</v>
      </c>
      <c r="M302" s="26">
        <f>IF($I302&lt;&gt;"x",0,INDEX($Y$27:$Y$37,MATCH($G302,$X$27:$X335,0),1))*J302*1.1</f>
        <v>0</v>
      </c>
      <c r="N302" s="26">
        <f t="shared" si="33"/>
        <v>0</v>
      </c>
      <c r="O302" s="20">
        <f t="shared" si="34"/>
        <v>0</v>
      </c>
      <c r="P302" s="20">
        <f>IF(OR($E302&lt;&gt;"CS",$H302&lt;&gt;"x"),0,INDEX($Z$4:$Z$14,MATCH($G302,$X$4:$X312,0),1))*J302*1.1</f>
        <v>0</v>
      </c>
      <c r="Q302" s="26">
        <f>IF($I302&lt;&gt;"x",0,INDEX($Z$27:$Z$37,MATCH($G302,$X$27:$X335,0),1))*J302*1.1</f>
        <v>0</v>
      </c>
      <c r="R302" s="20">
        <f t="shared" si="35"/>
        <v>0</v>
      </c>
      <c r="S302" s="86">
        <f t="shared" si="36"/>
        <v>0</v>
      </c>
    </row>
    <row r="303" spans="2:19">
      <c r="B303" s="14">
        <f t="shared" si="37"/>
        <v>300</v>
      </c>
      <c r="C303" s="37"/>
      <c r="D303" s="37"/>
      <c r="E303" s="37"/>
      <c r="F303" s="38"/>
      <c r="G303" s="37"/>
      <c r="H303" s="37"/>
      <c r="I303" s="37"/>
      <c r="J303" s="41"/>
      <c r="K303" s="26">
        <f>IF(OR($E303&lt;&gt;"CS",$H303&lt;&gt;"x"),0,INDEX($Y$4:$Y$14,MATCH($G303,$X$4:$X313,0),1))*J303*1.1</f>
        <v>0</v>
      </c>
      <c r="L303" s="26">
        <f t="shared" si="32"/>
        <v>0</v>
      </c>
      <c r="M303" s="26">
        <f>IF($I303&lt;&gt;"x",0,INDEX($Y$27:$Y$37,MATCH($G303,$X$27:$X336,0),1))*J303*1.1</f>
        <v>0</v>
      </c>
      <c r="N303" s="26">
        <f t="shared" si="33"/>
        <v>0</v>
      </c>
      <c r="O303" s="20">
        <f t="shared" si="34"/>
        <v>0</v>
      </c>
      <c r="P303" s="20">
        <f>IF(OR($E303&lt;&gt;"CS",$H303&lt;&gt;"x"),0,INDEX($Z$4:$Z$14,MATCH($G303,$X$4:$X313,0),1))*J303*1.1</f>
        <v>0</v>
      </c>
      <c r="Q303" s="26">
        <f>IF($I303&lt;&gt;"x",0,INDEX($Z$27:$Z$37,MATCH($G303,$X$27:$X336,0),1))*J303*1.1</f>
        <v>0</v>
      </c>
      <c r="R303" s="20">
        <f t="shared" si="35"/>
        <v>0</v>
      </c>
      <c r="S303" s="86">
        <f t="shared" si="36"/>
        <v>0</v>
      </c>
    </row>
    <row r="304" spans="2:19">
      <c r="B304" s="14">
        <f t="shared" si="37"/>
        <v>301</v>
      </c>
      <c r="C304" s="37"/>
      <c r="D304" s="37"/>
      <c r="E304" s="37"/>
      <c r="F304" s="38"/>
      <c r="G304" s="37"/>
      <c r="H304" s="37"/>
      <c r="I304" s="37"/>
      <c r="J304" s="41"/>
      <c r="K304" s="26">
        <f>IF(OR($E304&lt;&gt;"CS",$H304&lt;&gt;"x"),0,INDEX($Y$4:$Y$14,MATCH($G304,$X$4:$X314,0),1))*J304*1.1</f>
        <v>0</v>
      </c>
      <c r="L304" s="26">
        <f t="shared" si="32"/>
        <v>0</v>
      </c>
      <c r="M304" s="26">
        <f>IF($I304&lt;&gt;"x",0,INDEX($Y$27:$Y$37,MATCH($G304,$X$27:$X337,0),1))*J304*1.1</f>
        <v>0</v>
      </c>
      <c r="N304" s="26">
        <f t="shared" si="33"/>
        <v>0</v>
      </c>
      <c r="O304" s="20">
        <f t="shared" si="34"/>
        <v>0</v>
      </c>
      <c r="P304" s="20">
        <f>IF(OR($E304&lt;&gt;"CS",$H304&lt;&gt;"x"),0,INDEX($Z$4:$Z$14,MATCH($G304,$X$4:$X314,0),1))*J304*1.1</f>
        <v>0</v>
      </c>
      <c r="Q304" s="26">
        <f>IF($I304&lt;&gt;"x",0,INDEX($Z$27:$Z$37,MATCH($G304,$X$27:$X337,0),1))*J304*1.1</f>
        <v>0</v>
      </c>
      <c r="R304" s="20">
        <f t="shared" si="35"/>
        <v>0</v>
      </c>
      <c r="S304" s="86">
        <f t="shared" si="36"/>
        <v>0</v>
      </c>
    </row>
    <row r="305" spans="2:19">
      <c r="B305" s="14">
        <f t="shared" si="37"/>
        <v>302</v>
      </c>
      <c r="C305" s="37"/>
      <c r="D305" s="37"/>
      <c r="E305" s="37"/>
      <c r="F305" s="38"/>
      <c r="G305" s="37"/>
      <c r="H305" s="37"/>
      <c r="I305" s="37"/>
      <c r="J305" s="41"/>
      <c r="K305" s="26">
        <f>IF(OR($E305&lt;&gt;"CS",$H305&lt;&gt;"x"),0,INDEX($Y$4:$Y$14,MATCH($G305,$X$4:$X315,0),1))*J305*1.1</f>
        <v>0</v>
      </c>
      <c r="L305" s="26">
        <f t="shared" si="32"/>
        <v>0</v>
      </c>
      <c r="M305" s="26">
        <f>IF($I305&lt;&gt;"x",0,INDEX($Y$27:$Y$37,MATCH($G305,$X$27:$X338,0),1))*J305*1.1</f>
        <v>0</v>
      </c>
      <c r="N305" s="26">
        <f t="shared" si="33"/>
        <v>0</v>
      </c>
      <c r="O305" s="20">
        <f t="shared" si="34"/>
        <v>0</v>
      </c>
      <c r="P305" s="20">
        <f>IF(OR($E305&lt;&gt;"CS",$H305&lt;&gt;"x"),0,INDEX($Z$4:$Z$14,MATCH($G305,$X$4:$X315,0),1))*J305*1.1</f>
        <v>0</v>
      </c>
      <c r="Q305" s="26">
        <f>IF($I305&lt;&gt;"x",0,INDEX($Z$27:$Z$37,MATCH($G305,$X$27:$X338,0),1))*J305*1.1</f>
        <v>0</v>
      </c>
      <c r="R305" s="20">
        <f t="shared" si="35"/>
        <v>0</v>
      </c>
      <c r="S305" s="86">
        <f t="shared" si="36"/>
        <v>0</v>
      </c>
    </row>
    <row r="306" spans="2:19">
      <c r="B306" s="14">
        <f t="shared" si="37"/>
        <v>303</v>
      </c>
      <c r="C306" s="37"/>
      <c r="D306" s="37"/>
      <c r="E306" s="37"/>
      <c r="F306" s="38"/>
      <c r="G306" s="37"/>
      <c r="H306" s="37"/>
      <c r="I306" s="37"/>
      <c r="J306" s="41"/>
      <c r="K306" s="26">
        <f>IF(OR($E306&lt;&gt;"CS",$H306&lt;&gt;"x"),0,INDEX($Y$4:$Y$14,MATCH($G306,$X$4:$X316,0),1))*J306*1.1</f>
        <v>0</v>
      </c>
      <c r="L306" s="26">
        <f t="shared" si="32"/>
        <v>0</v>
      </c>
      <c r="M306" s="26">
        <f>IF($I306&lt;&gt;"x",0,INDEX($Y$27:$Y$37,MATCH($G306,$X$27:$X339,0),1))*J306*1.1</f>
        <v>0</v>
      </c>
      <c r="N306" s="26">
        <f t="shared" si="33"/>
        <v>0</v>
      </c>
      <c r="O306" s="20">
        <f t="shared" si="34"/>
        <v>0</v>
      </c>
      <c r="P306" s="20">
        <f>IF(OR($E306&lt;&gt;"CS",$H306&lt;&gt;"x"),0,INDEX($Z$4:$Z$14,MATCH($G306,$X$4:$X316,0),1))*J306*1.1</f>
        <v>0</v>
      </c>
      <c r="Q306" s="26">
        <f>IF($I306&lt;&gt;"x",0,INDEX($Z$27:$Z$37,MATCH($G306,$X$27:$X339,0),1))*J306*1.1</f>
        <v>0</v>
      </c>
      <c r="R306" s="20">
        <f t="shared" si="35"/>
        <v>0</v>
      </c>
      <c r="S306" s="86">
        <f t="shared" si="36"/>
        <v>0</v>
      </c>
    </row>
    <row r="307" spans="2:19">
      <c r="B307" s="14">
        <f t="shared" si="37"/>
        <v>304</v>
      </c>
      <c r="C307" s="37"/>
      <c r="D307" s="37"/>
      <c r="E307" s="37"/>
      <c r="F307" s="38"/>
      <c r="G307" s="37"/>
      <c r="H307" s="37"/>
      <c r="I307" s="37"/>
      <c r="J307" s="41"/>
      <c r="K307" s="26">
        <f>IF(OR($E307&lt;&gt;"CS",$H307&lt;&gt;"x"),0,INDEX($Y$4:$Y$14,MATCH($G307,$X$4:$X317,0),1))*J307*1.1</f>
        <v>0</v>
      </c>
      <c r="L307" s="26">
        <f t="shared" si="32"/>
        <v>0</v>
      </c>
      <c r="M307" s="26">
        <f>IF($I307&lt;&gt;"x",0,INDEX($Y$27:$Y$37,MATCH($G307,$X$27:$X340,0),1))*J307*1.1</f>
        <v>0</v>
      </c>
      <c r="N307" s="26">
        <f t="shared" si="33"/>
        <v>0</v>
      </c>
      <c r="O307" s="20">
        <f t="shared" si="34"/>
        <v>0</v>
      </c>
      <c r="P307" s="20">
        <f>IF(OR($E307&lt;&gt;"CS",$H307&lt;&gt;"x"),0,INDEX($Z$4:$Z$14,MATCH($G307,$X$4:$X317,0),1))*J307*1.1</f>
        <v>0</v>
      </c>
      <c r="Q307" s="26">
        <f>IF($I307&lt;&gt;"x",0,INDEX($Z$27:$Z$37,MATCH($G307,$X$27:$X340,0),1))*J307*1.1</f>
        <v>0</v>
      </c>
      <c r="R307" s="20">
        <f t="shared" si="35"/>
        <v>0</v>
      </c>
      <c r="S307" s="86">
        <f t="shared" si="36"/>
        <v>0</v>
      </c>
    </row>
    <row r="308" spans="2:19">
      <c r="B308" s="14">
        <f t="shared" si="37"/>
        <v>305</v>
      </c>
      <c r="C308" s="37"/>
      <c r="D308" s="37"/>
      <c r="E308" s="37"/>
      <c r="F308" s="38"/>
      <c r="G308" s="37"/>
      <c r="H308" s="37"/>
      <c r="I308" s="37"/>
      <c r="J308" s="41"/>
      <c r="K308" s="26">
        <f>IF(OR($E308&lt;&gt;"CS",$H308&lt;&gt;"x"),0,INDEX($Y$4:$Y$14,MATCH($G308,$X$4:$X318,0),1))*J308*1.1</f>
        <v>0</v>
      </c>
      <c r="L308" s="26">
        <f t="shared" si="32"/>
        <v>0</v>
      </c>
      <c r="M308" s="26">
        <f>IF($I308&lt;&gt;"x",0,INDEX($Y$27:$Y$37,MATCH($G308,$X$27:$X341,0),1))*J308*1.1</f>
        <v>0</v>
      </c>
      <c r="N308" s="26">
        <f t="shared" si="33"/>
        <v>0</v>
      </c>
      <c r="O308" s="20">
        <f t="shared" si="34"/>
        <v>0</v>
      </c>
      <c r="P308" s="20">
        <f>IF(OR($E308&lt;&gt;"CS",$H308&lt;&gt;"x"),0,INDEX($Z$4:$Z$14,MATCH($G308,$X$4:$X318,0),1))*J308*1.1</f>
        <v>0</v>
      </c>
      <c r="Q308" s="26">
        <f>IF($I308&lt;&gt;"x",0,INDEX($Z$27:$Z$37,MATCH($G308,$X$27:$X341,0),1))*J308*1.1</f>
        <v>0</v>
      </c>
      <c r="R308" s="20">
        <f t="shared" si="35"/>
        <v>0</v>
      </c>
      <c r="S308" s="86">
        <f t="shared" si="36"/>
        <v>0</v>
      </c>
    </row>
    <row r="309" spans="2:19">
      <c r="B309" s="14">
        <f t="shared" si="37"/>
        <v>306</v>
      </c>
      <c r="C309" s="37"/>
      <c r="D309" s="37"/>
      <c r="E309" s="37"/>
      <c r="F309" s="38"/>
      <c r="G309" s="37"/>
      <c r="H309" s="37"/>
      <c r="I309" s="37"/>
      <c r="J309" s="41"/>
      <c r="K309" s="26">
        <f>IF(OR($E309&lt;&gt;"CS",$H309&lt;&gt;"x"),0,INDEX($Y$4:$Y$14,MATCH($G309,$X$4:$X319,0),1))*J309*1.1</f>
        <v>0</v>
      </c>
      <c r="L309" s="26">
        <f t="shared" si="32"/>
        <v>0</v>
      </c>
      <c r="M309" s="26">
        <f>IF($I309&lt;&gt;"x",0,INDEX($Y$27:$Y$37,MATCH($G309,$X$27:$X342,0),1))*J309*1.1</f>
        <v>0</v>
      </c>
      <c r="N309" s="26">
        <f t="shared" si="33"/>
        <v>0</v>
      </c>
      <c r="O309" s="20">
        <f t="shared" si="34"/>
        <v>0</v>
      </c>
      <c r="P309" s="20">
        <f>IF(OR($E309&lt;&gt;"CS",$H309&lt;&gt;"x"),0,INDEX($Z$4:$Z$14,MATCH($G309,$X$4:$X319,0),1))*J309*1.1</f>
        <v>0</v>
      </c>
      <c r="Q309" s="26">
        <f>IF($I309&lt;&gt;"x",0,INDEX($Z$27:$Z$37,MATCH($G309,$X$27:$X342,0),1))*J309*1.1</f>
        <v>0</v>
      </c>
      <c r="R309" s="20">
        <f t="shared" si="35"/>
        <v>0</v>
      </c>
      <c r="S309" s="86">
        <f t="shared" si="36"/>
        <v>0</v>
      </c>
    </row>
    <row r="310" spans="2:19">
      <c r="B310" s="14">
        <f t="shared" si="37"/>
        <v>307</v>
      </c>
      <c r="C310" s="37"/>
      <c r="D310" s="37"/>
      <c r="E310" s="37"/>
      <c r="F310" s="38"/>
      <c r="G310" s="37"/>
      <c r="H310" s="37"/>
      <c r="I310" s="37"/>
      <c r="J310" s="41"/>
      <c r="K310" s="26">
        <f>IF(OR($E310&lt;&gt;"CS",$H310&lt;&gt;"x"),0,INDEX($Y$4:$Y$14,MATCH($G310,$X$4:$X320,0),1))*J310*1.1</f>
        <v>0</v>
      </c>
      <c r="L310" s="26">
        <f t="shared" si="32"/>
        <v>0</v>
      </c>
      <c r="M310" s="26">
        <f>IF($I310&lt;&gt;"x",0,INDEX($Y$27:$Y$37,MATCH($G310,$X$27:$X343,0),1))*J310*1.1</f>
        <v>0</v>
      </c>
      <c r="N310" s="26">
        <f t="shared" si="33"/>
        <v>0</v>
      </c>
      <c r="O310" s="20">
        <f t="shared" si="34"/>
        <v>0</v>
      </c>
      <c r="P310" s="20">
        <f>IF(OR($E310&lt;&gt;"CS",$H310&lt;&gt;"x"),0,INDEX($Z$4:$Z$14,MATCH($G310,$X$4:$X320,0),1))*J310*1.1</f>
        <v>0</v>
      </c>
      <c r="Q310" s="26">
        <f>IF($I310&lt;&gt;"x",0,INDEX($Z$27:$Z$37,MATCH($G310,$X$27:$X343,0),1))*J310*1.1</f>
        <v>0</v>
      </c>
      <c r="R310" s="20">
        <f t="shared" si="35"/>
        <v>0</v>
      </c>
      <c r="S310" s="86">
        <f t="shared" si="36"/>
        <v>0</v>
      </c>
    </row>
    <row r="311" spans="2:19">
      <c r="B311" s="14">
        <f t="shared" si="37"/>
        <v>308</v>
      </c>
      <c r="C311" s="37"/>
      <c r="D311" s="37"/>
      <c r="E311" s="37"/>
      <c r="F311" s="38"/>
      <c r="G311" s="37"/>
      <c r="H311" s="37"/>
      <c r="I311" s="37"/>
      <c r="J311" s="41"/>
      <c r="K311" s="26">
        <f>IF(OR($E311&lt;&gt;"CS",$H311&lt;&gt;"x"),0,INDEX($Y$4:$Y$14,MATCH($G311,$X$4:$X321,0),1))*J311*1.1</f>
        <v>0</v>
      </c>
      <c r="L311" s="26">
        <f t="shared" si="32"/>
        <v>0</v>
      </c>
      <c r="M311" s="26">
        <f>IF($I311&lt;&gt;"x",0,INDEX($Y$27:$Y$37,MATCH($G311,$X$27:$X344,0),1))*J311*1.1</f>
        <v>0</v>
      </c>
      <c r="N311" s="26">
        <f t="shared" si="33"/>
        <v>0</v>
      </c>
      <c r="O311" s="20">
        <f t="shared" si="34"/>
        <v>0</v>
      </c>
      <c r="P311" s="20">
        <f>IF(OR($E311&lt;&gt;"CS",$H311&lt;&gt;"x"),0,INDEX($Z$4:$Z$14,MATCH($G311,$X$4:$X321,0),1))*J311*1.1</f>
        <v>0</v>
      </c>
      <c r="Q311" s="26">
        <f>IF($I311&lt;&gt;"x",0,INDEX($Z$27:$Z$37,MATCH($G311,$X$27:$X344,0),1))*J311*1.1</f>
        <v>0</v>
      </c>
      <c r="R311" s="20">
        <f t="shared" si="35"/>
        <v>0</v>
      </c>
      <c r="S311" s="86">
        <f t="shared" si="36"/>
        <v>0</v>
      </c>
    </row>
    <row r="312" spans="2:19">
      <c r="B312" s="14">
        <f t="shared" si="37"/>
        <v>309</v>
      </c>
      <c r="C312" s="37"/>
      <c r="D312" s="37"/>
      <c r="E312" s="37"/>
      <c r="F312" s="38"/>
      <c r="G312" s="37"/>
      <c r="H312" s="37"/>
      <c r="I312" s="37"/>
      <c r="J312" s="41"/>
      <c r="K312" s="26">
        <f>IF(OR($E312&lt;&gt;"CS",$H312&lt;&gt;"x"),0,INDEX($Y$4:$Y$14,MATCH($G312,$X$4:$X322,0),1))*J312*1.1</f>
        <v>0</v>
      </c>
      <c r="L312" s="26">
        <f t="shared" si="32"/>
        <v>0</v>
      </c>
      <c r="M312" s="26">
        <f>IF($I312&lt;&gt;"x",0,INDEX($Y$27:$Y$37,MATCH($G312,$X$27:$X345,0),1))*J312*1.1</f>
        <v>0</v>
      </c>
      <c r="N312" s="26">
        <f t="shared" si="33"/>
        <v>0</v>
      </c>
      <c r="O312" s="20">
        <f t="shared" si="34"/>
        <v>0</v>
      </c>
      <c r="P312" s="20">
        <f>IF(OR($E312&lt;&gt;"CS",$H312&lt;&gt;"x"),0,INDEX($Z$4:$Z$14,MATCH($G312,$X$4:$X322,0),1))*J312*1.1</f>
        <v>0</v>
      </c>
      <c r="Q312" s="26">
        <f>IF($I312&lt;&gt;"x",0,INDEX($Z$27:$Z$37,MATCH($G312,$X$27:$X345,0),1))*J312*1.1</f>
        <v>0</v>
      </c>
      <c r="R312" s="20">
        <f t="shared" si="35"/>
        <v>0</v>
      </c>
      <c r="S312" s="86">
        <f t="shared" si="36"/>
        <v>0</v>
      </c>
    </row>
    <row r="313" spans="2:19">
      <c r="B313" s="14">
        <f t="shared" si="37"/>
        <v>310</v>
      </c>
      <c r="C313" s="37"/>
      <c r="D313" s="37"/>
      <c r="E313" s="37"/>
      <c r="F313" s="38"/>
      <c r="G313" s="37"/>
      <c r="H313" s="37"/>
      <c r="I313" s="37"/>
      <c r="J313" s="41"/>
      <c r="K313" s="26">
        <f>IF(OR($E313&lt;&gt;"CS",$H313&lt;&gt;"x"),0,INDEX($Y$4:$Y$14,MATCH($G313,$X$4:$X323,0),1))*J313*1.1</f>
        <v>0</v>
      </c>
      <c r="L313" s="26">
        <f t="shared" si="32"/>
        <v>0</v>
      </c>
      <c r="M313" s="26">
        <f>IF($I313&lt;&gt;"x",0,INDEX($Y$27:$Y$37,MATCH($G313,$X$27:$X346,0),1))*J313*1.1</f>
        <v>0</v>
      </c>
      <c r="N313" s="26">
        <f t="shared" si="33"/>
        <v>0</v>
      </c>
      <c r="O313" s="20">
        <f t="shared" si="34"/>
        <v>0</v>
      </c>
      <c r="P313" s="20">
        <f>IF(OR($E313&lt;&gt;"CS",$H313&lt;&gt;"x"),0,INDEX($Z$4:$Z$14,MATCH($G313,$X$4:$X323,0),1))*J313*1.1</f>
        <v>0</v>
      </c>
      <c r="Q313" s="26">
        <f>IF($I313&lt;&gt;"x",0,INDEX($Z$27:$Z$37,MATCH($G313,$X$27:$X346,0),1))*J313*1.1</f>
        <v>0</v>
      </c>
      <c r="R313" s="20">
        <f t="shared" si="35"/>
        <v>0</v>
      </c>
      <c r="S313" s="86">
        <f t="shared" si="36"/>
        <v>0</v>
      </c>
    </row>
    <row r="314" spans="2:19">
      <c r="B314" s="14">
        <f t="shared" si="37"/>
        <v>311</v>
      </c>
      <c r="C314" s="37"/>
      <c r="D314" s="37"/>
      <c r="E314" s="37"/>
      <c r="F314" s="38"/>
      <c r="G314" s="37"/>
      <c r="H314" s="37"/>
      <c r="I314" s="37"/>
      <c r="J314" s="41"/>
      <c r="K314" s="26">
        <f>IF(OR($E314&lt;&gt;"CS",$H314&lt;&gt;"x"),0,INDEX($Y$4:$Y$14,MATCH($G314,$X$4:$X324,0),1))*J314*1.1</f>
        <v>0</v>
      </c>
      <c r="L314" s="26">
        <f t="shared" si="32"/>
        <v>0</v>
      </c>
      <c r="M314" s="26">
        <f>IF($I314&lt;&gt;"x",0,INDEX($Y$27:$Y$37,MATCH($G314,$X$27:$X347,0),1))*J314*1.1</f>
        <v>0</v>
      </c>
      <c r="N314" s="26">
        <f t="shared" si="33"/>
        <v>0</v>
      </c>
      <c r="O314" s="20">
        <f t="shared" si="34"/>
        <v>0</v>
      </c>
      <c r="P314" s="20">
        <f>IF(OR($E314&lt;&gt;"CS",$H314&lt;&gt;"x"),0,INDEX($Z$4:$Z$14,MATCH($G314,$X$4:$X324,0),1))*J314*1.1</f>
        <v>0</v>
      </c>
      <c r="Q314" s="26">
        <f>IF($I314&lt;&gt;"x",0,INDEX($Z$27:$Z$37,MATCH($G314,$X$27:$X347,0),1))*J314*1.1</f>
        <v>0</v>
      </c>
      <c r="R314" s="20">
        <f t="shared" si="35"/>
        <v>0</v>
      </c>
      <c r="S314" s="86">
        <f t="shared" si="36"/>
        <v>0</v>
      </c>
    </row>
    <row r="315" spans="2:19">
      <c r="B315" s="14">
        <f t="shared" si="37"/>
        <v>312</v>
      </c>
      <c r="C315" s="37"/>
      <c r="D315" s="37"/>
      <c r="E315" s="37"/>
      <c r="F315" s="38"/>
      <c r="G315" s="37"/>
      <c r="H315" s="37"/>
      <c r="I315" s="37"/>
      <c r="J315" s="41"/>
      <c r="K315" s="26">
        <f>IF(OR($E315&lt;&gt;"CS",$H315&lt;&gt;"x"),0,INDEX($Y$4:$Y$14,MATCH($G315,$X$4:$X325,0),1))*J315*1.1</f>
        <v>0</v>
      </c>
      <c r="L315" s="26">
        <f t="shared" si="32"/>
        <v>0</v>
      </c>
      <c r="M315" s="26">
        <f>IF($I315&lt;&gt;"x",0,INDEX($Y$27:$Y$37,MATCH($G315,$X$27:$X348,0),1))*J315*1.1</f>
        <v>0</v>
      </c>
      <c r="N315" s="26">
        <f t="shared" si="33"/>
        <v>0</v>
      </c>
      <c r="O315" s="20">
        <f t="shared" si="34"/>
        <v>0</v>
      </c>
      <c r="P315" s="20">
        <f>IF(OR($E315&lt;&gt;"CS",$H315&lt;&gt;"x"),0,INDEX($Z$4:$Z$14,MATCH($G315,$X$4:$X325,0),1))*J315*1.1</f>
        <v>0</v>
      </c>
      <c r="Q315" s="26">
        <f>IF($I315&lt;&gt;"x",0,INDEX($Z$27:$Z$37,MATCH($G315,$X$27:$X348,0),1))*J315*1.1</f>
        <v>0</v>
      </c>
      <c r="R315" s="20">
        <f t="shared" si="35"/>
        <v>0</v>
      </c>
      <c r="S315" s="86">
        <f t="shared" si="36"/>
        <v>0</v>
      </c>
    </row>
    <row r="316" spans="2:19">
      <c r="B316" s="14">
        <f t="shared" si="37"/>
        <v>313</v>
      </c>
      <c r="C316" s="37"/>
      <c r="D316" s="37"/>
      <c r="E316" s="37"/>
      <c r="F316" s="38"/>
      <c r="G316" s="37"/>
      <c r="H316" s="37"/>
      <c r="I316" s="37"/>
      <c r="J316" s="41"/>
      <c r="K316" s="26">
        <f>IF(OR($E316&lt;&gt;"CS",$H316&lt;&gt;"x"),0,INDEX($Y$4:$Y$14,MATCH($G316,$X$4:$X326,0),1))*J316*1.1</f>
        <v>0</v>
      </c>
      <c r="L316" s="26">
        <f t="shared" si="32"/>
        <v>0</v>
      </c>
      <c r="M316" s="26">
        <f>IF($I316&lt;&gt;"x",0,INDEX($Y$27:$Y$37,MATCH($G316,$X$27:$X349,0),1))*J316*1.1</f>
        <v>0</v>
      </c>
      <c r="N316" s="26">
        <f t="shared" si="33"/>
        <v>0</v>
      </c>
      <c r="O316" s="20">
        <f t="shared" si="34"/>
        <v>0</v>
      </c>
      <c r="P316" s="20">
        <f>IF(OR($E316&lt;&gt;"CS",$H316&lt;&gt;"x"),0,INDEX($Z$4:$Z$14,MATCH($G316,$X$4:$X326,0),1))*J316*1.1</f>
        <v>0</v>
      </c>
      <c r="Q316" s="26">
        <f>IF($I316&lt;&gt;"x",0,INDEX($Z$27:$Z$37,MATCH($G316,$X$27:$X349,0),1))*J316*1.1</f>
        <v>0</v>
      </c>
      <c r="R316" s="20">
        <f t="shared" si="35"/>
        <v>0</v>
      </c>
      <c r="S316" s="86">
        <f t="shared" si="36"/>
        <v>0</v>
      </c>
    </row>
    <row r="317" spans="2:19">
      <c r="B317" s="14">
        <f t="shared" si="37"/>
        <v>314</v>
      </c>
      <c r="C317" s="37"/>
      <c r="D317" s="37"/>
      <c r="E317" s="37"/>
      <c r="F317" s="38"/>
      <c r="G317" s="37"/>
      <c r="H317" s="37"/>
      <c r="I317" s="37"/>
      <c r="J317" s="41"/>
      <c r="K317" s="26">
        <f>IF(OR($E317&lt;&gt;"CS",$H317&lt;&gt;"x"),0,INDEX($Y$4:$Y$14,MATCH($G317,$X$4:$X327,0),1))*J317*1.1</f>
        <v>0</v>
      </c>
      <c r="L317" s="26">
        <f t="shared" si="32"/>
        <v>0</v>
      </c>
      <c r="M317" s="26">
        <f>IF($I317&lt;&gt;"x",0,INDEX($Y$27:$Y$37,MATCH($G317,$X$27:$X350,0),1))*J317*1.1</f>
        <v>0</v>
      </c>
      <c r="N317" s="26">
        <f t="shared" si="33"/>
        <v>0</v>
      </c>
      <c r="O317" s="20">
        <f t="shared" si="34"/>
        <v>0</v>
      </c>
      <c r="P317" s="20">
        <f>IF(OR($E317&lt;&gt;"CS",$H317&lt;&gt;"x"),0,INDEX($Z$4:$Z$14,MATCH($G317,$X$4:$X327,0),1))*J317*1.1</f>
        <v>0</v>
      </c>
      <c r="Q317" s="26">
        <f>IF($I317&lt;&gt;"x",0,INDEX($Z$27:$Z$37,MATCH($G317,$X$27:$X350,0),1))*J317*1.1</f>
        <v>0</v>
      </c>
      <c r="R317" s="20">
        <f t="shared" si="35"/>
        <v>0</v>
      </c>
      <c r="S317" s="86">
        <f t="shared" si="36"/>
        <v>0</v>
      </c>
    </row>
    <row r="318" spans="2:19">
      <c r="B318" s="14">
        <f t="shared" si="37"/>
        <v>315</v>
      </c>
      <c r="C318" s="37"/>
      <c r="D318" s="37"/>
      <c r="E318" s="37"/>
      <c r="F318" s="38"/>
      <c r="G318" s="37"/>
      <c r="H318" s="37"/>
      <c r="I318" s="37"/>
      <c r="J318" s="41"/>
      <c r="K318" s="26">
        <f>IF(OR($E318&lt;&gt;"CS",$H318&lt;&gt;"x"),0,INDEX($Y$4:$Y$14,MATCH($G318,$X$4:$X328,0),1))*J318*1.1</f>
        <v>0</v>
      </c>
      <c r="L318" s="26">
        <f t="shared" si="32"/>
        <v>0</v>
      </c>
      <c r="M318" s="26">
        <f>IF($I318&lt;&gt;"x",0,INDEX($Y$27:$Y$37,MATCH($G318,$X$27:$X351,0),1))*J318*1.1</f>
        <v>0</v>
      </c>
      <c r="N318" s="26">
        <f t="shared" si="33"/>
        <v>0</v>
      </c>
      <c r="O318" s="20">
        <f t="shared" si="34"/>
        <v>0</v>
      </c>
      <c r="P318" s="20">
        <f>IF(OR($E318&lt;&gt;"CS",$H318&lt;&gt;"x"),0,INDEX($Z$4:$Z$14,MATCH($G318,$X$4:$X328,0),1))*J318*1.1</f>
        <v>0</v>
      </c>
      <c r="Q318" s="26">
        <f>IF($I318&lt;&gt;"x",0,INDEX($Z$27:$Z$37,MATCH($G318,$X$27:$X351,0),1))*J318*1.1</f>
        <v>0</v>
      </c>
      <c r="R318" s="20">
        <f t="shared" si="35"/>
        <v>0</v>
      </c>
      <c r="S318" s="86">
        <f t="shared" si="36"/>
        <v>0</v>
      </c>
    </row>
    <row r="319" spans="2:19">
      <c r="B319" s="14">
        <f t="shared" si="37"/>
        <v>316</v>
      </c>
      <c r="C319" s="37"/>
      <c r="D319" s="37"/>
      <c r="E319" s="37"/>
      <c r="F319" s="38"/>
      <c r="G319" s="37"/>
      <c r="H319" s="37"/>
      <c r="I319" s="37"/>
      <c r="J319" s="41"/>
      <c r="K319" s="26">
        <f>IF(OR($E319&lt;&gt;"CS",$H319&lt;&gt;"x"),0,INDEX($Y$4:$Y$14,MATCH($G319,$X$4:$X329,0),1))*J319*1.1</f>
        <v>0</v>
      </c>
      <c r="L319" s="26">
        <f t="shared" si="32"/>
        <v>0</v>
      </c>
      <c r="M319" s="26">
        <f>IF($I319&lt;&gt;"x",0,INDEX($Y$27:$Y$37,MATCH($G319,$X$27:$X352,0),1))*J319*1.1</f>
        <v>0</v>
      </c>
      <c r="N319" s="26">
        <f t="shared" si="33"/>
        <v>0</v>
      </c>
      <c r="O319" s="20">
        <f t="shared" si="34"/>
        <v>0</v>
      </c>
      <c r="P319" s="20">
        <f>IF(OR($E319&lt;&gt;"CS",$H319&lt;&gt;"x"),0,INDEX($Z$4:$Z$14,MATCH($G319,$X$4:$X329,0),1))*J319*1.1</f>
        <v>0</v>
      </c>
      <c r="Q319" s="26">
        <f>IF($I319&lt;&gt;"x",0,INDEX($Z$27:$Z$37,MATCH($G319,$X$27:$X352,0),1))*J319*1.1</f>
        <v>0</v>
      </c>
      <c r="R319" s="20">
        <f t="shared" si="35"/>
        <v>0</v>
      </c>
      <c r="S319" s="86">
        <f t="shared" si="36"/>
        <v>0</v>
      </c>
    </row>
    <row r="320" spans="2:19">
      <c r="B320" s="14">
        <f t="shared" si="37"/>
        <v>317</v>
      </c>
      <c r="C320" s="37"/>
      <c r="D320" s="39"/>
      <c r="E320" s="37"/>
      <c r="F320" s="38"/>
      <c r="G320" s="37"/>
      <c r="H320" s="37"/>
      <c r="I320" s="37"/>
      <c r="J320" s="41"/>
      <c r="K320" s="26">
        <f>IF(OR($E320&lt;&gt;"CS",$H320&lt;&gt;"x"),0,INDEX($Y$4:$Y$14,MATCH($G320,$X$4:$X330,0),1))*J320*1.1</f>
        <v>0</v>
      </c>
      <c r="L320" s="26">
        <f t="shared" si="32"/>
        <v>0</v>
      </c>
      <c r="M320" s="26">
        <f>IF($I320&lt;&gt;"x",0,INDEX($Y$27:$Y$37,MATCH($G320,$X$27:$X353,0),1))*J320*1.1</f>
        <v>0</v>
      </c>
      <c r="N320" s="26">
        <f t="shared" si="33"/>
        <v>0</v>
      </c>
      <c r="O320" s="20">
        <f t="shared" si="34"/>
        <v>0</v>
      </c>
      <c r="P320" s="20">
        <f>IF(OR($E320&lt;&gt;"CS",$H320&lt;&gt;"x"),0,INDEX($Z$4:$Z$14,MATCH($G320,$X$4:$X330,0),1))*J320*1.1</f>
        <v>0</v>
      </c>
      <c r="Q320" s="26">
        <f>IF($I320&lt;&gt;"x",0,INDEX($Z$27:$Z$37,MATCH($G320,$X$27:$X353,0),1))*J320*1.1</f>
        <v>0</v>
      </c>
      <c r="R320" s="20">
        <f t="shared" si="35"/>
        <v>0</v>
      </c>
      <c r="S320" s="86">
        <f t="shared" si="36"/>
        <v>0</v>
      </c>
    </row>
    <row r="321" spans="2:19">
      <c r="B321" s="14">
        <f t="shared" si="37"/>
        <v>318</v>
      </c>
      <c r="C321" s="37"/>
      <c r="D321" s="39"/>
      <c r="E321" s="37"/>
      <c r="F321" s="38"/>
      <c r="G321" s="37"/>
      <c r="H321" s="37"/>
      <c r="I321" s="37"/>
      <c r="J321" s="41"/>
      <c r="K321" s="26">
        <f>IF(OR($E321&lt;&gt;"CS",$H321&lt;&gt;"x"),0,INDEX($Y$4:$Y$14,MATCH($G321,$X$4:$X331,0),1))*J321*1.1</f>
        <v>0</v>
      </c>
      <c r="L321" s="26">
        <f t="shared" si="32"/>
        <v>0</v>
      </c>
      <c r="M321" s="26">
        <f>IF($I321&lt;&gt;"x",0,INDEX($Y$27:$Y$37,MATCH($G321,$X$27:$X354,0),1))*J321*1.1</f>
        <v>0</v>
      </c>
      <c r="N321" s="20">
        <f t="shared" si="33"/>
        <v>0</v>
      </c>
      <c r="O321" s="20">
        <f t="shared" si="34"/>
        <v>0</v>
      </c>
      <c r="P321" s="20">
        <f>IF(OR($E321&lt;&gt;"CS",$H321&lt;&gt;"x"),0,INDEX($Z$4:$Z$14,MATCH($G321,$X$4:$X331,0),1))*J321*1.1</f>
        <v>0</v>
      </c>
      <c r="Q321" s="26">
        <f>IF($I321&lt;&gt;"x",0,INDEX($Z$27:$Z$37,MATCH($G321,$X$27:$X354,0),1))*J321*1.1</f>
        <v>0</v>
      </c>
      <c r="R321" s="20">
        <f t="shared" si="35"/>
        <v>0</v>
      </c>
      <c r="S321" s="86">
        <f t="shared" si="36"/>
        <v>0</v>
      </c>
    </row>
    <row r="322" spans="2:19">
      <c r="B322" s="14">
        <f t="shared" si="37"/>
        <v>319</v>
      </c>
      <c r="C322" s="37"/>
      <c r="D322" s="39"/>
      <c r="E322" s="37"/>
      <c r="F322" s="38"/>
      <c r="G322" s="37"/>
      <c r="H322" s="37"/>
      <c r="I322" s="37"/>
      <c r="J322" s="41"/>
      <c r="K322" s="26">
        <f>IF(OR($E322&lt;&gt;"CS",$H322&lt;&gt;"x"),0,INDEX($Y$4:$Y$14,MATCH($G322,$X$4:$X332,0),1))*J322*1.1</f>
        <v>0</v>
      </c>
      <c r="L322" s="26">
        <f t="shared" si="32"/>
        <v>0</v>
      </c>
      <c r="M322" s="26">
        <f>IF($I322&lt;&gt;"x",0,INDEX($Y$27:$Y$37,MATCH($G322,$X$27:$X355,0),1))*J322*1.1</f>
        <v>0</v>
      </c>
      <c r="N322" s="20">
        <f t="shared" si="33"/>
        <v>0</v>
      </c>
      <c r="O322" s="20">
        <f t="shared" si="34"/>
        <v>0</v>
      </c>
      <c r="P322" s="20">
        <f>IF(OR($E322&lt;&gt;"CS",$H322&lt;&gt;"x"),0,INDEX($Z$4:$Z$14,MATCH($G322,$X$4:$X332,0),1))*J322*1.1</f>
        <v>0</v>
      </c>
      <c r="Q322" s="26">
        <f>IF($I322&lt;&gt;"x",0,INDEX($Z$27:$Z$37,MATCH($G322,$X$27:$X355,0),1))*J322*1.1</f>
        <v>0</v>
      </c>
      <c r="R322" s="20">
        <f t="shared" si="35"/>
        <v>0</v>
      </c>
      <c r="S322" s="86">
        <f t="shared" si="36"/>
        <v>0</v>
      </c>
    </row>
    <row r="323" spans="2:19">
      <c r="B323" s="14">
        <f t="shared" si="37"/>
        <v>320</v>
      </c>
      <c r="C323" s="37"/>
      <c r="D323" s="39"/>
      <c r="E323" s="37"/>
      <c r="F323" s="38"/>
      <c r="G323" s="37"/>
      <c r="H323" s="37"/>
      <c r="I323" s="37"/>
      <c r="J323" s="41"/>
      <c r="K323" s="26">
        <f>IF(OR($E323&lt;&gt;"CS",$H323&lt;&gt;"x"),0,INDEX($Y$4:$Y$14,MATCH($G323,$X$4:$X333,0),1))*J323*1.1</f>
        <v>0</v>
      </c>
      <c r="L323" s="26">
        <f t="shared" si="32"/>
        <v>0</v>
      </c>
      <c r="M323" s="26">
        <f>IF($I323&lt;&gt;"x",0,INDEX($Y$27:$Y$37,MATCH($G323,$X$27:$X356,0),1))*J323*1.1</f>
        <v>0</v>
      </c>
      <c r="N323" s="20">
        <f t="shared" si="33"/>
        <v>0</v>
      </c>
      <c r="O323" s="20">
        <f t="shared" si="34"/>
        <v>0</v>
      </c>
      <c r="P323" s="20">
        <f>IF(OR($E323&lt;&gt;"CS",$H323&lt;&gt;"x"),0,INDEX($Z$4:$Z$14,MATCH($G323,$X$4:$X333,0),1))*J323*1.1</f>
        <v>0</v>
      </c>
      <c r="Q323" s="26">
        <f>IF($I323&lt;&gt;"x",0,INDEX($Z$27:$Z$37,MATCH($G323,$X$27:$X356,0),1))*J323*1.1</f>
        <v>0</v>
      </c>
      <c r="R323" s="20">
        <f t="shared" si="35"/>
        <v>0</v>
      </c>
      <c r="S323" s="86">
        <f t="shared" si="36"/>
        <v>0</v>
      </c>
    </row>
    <row r="324" spans="2:19">
      <c r="B324" s="14">
        <f t="shared" si="37"/>
        <v>321</v>
      </c>
      <c r="C324" s="37"/>
      <c r="D324" s="39"/>
      <c r="E324" s="37"/>
      <c r="F324" s="38"/>
      <c r="G324" s="37"/>
      <c r="H324" s="37"/>
      <c r="I324" s="37"/>
      <c r="J324" s="41"/>
      <c r="K324" s="26">
        <f>IF(OR($E324&lt;&gt;"CS",$H324&lt;&gt;"x"),0,INDEX($Y$4:$Y$14,MATCH($G324,$X$4:$X334,0),1))*J324*1.1</f>
        <v>0</v>
      </c>
      <c r="L324" s="26">
        <f t="shared" ref="L324:L387" si="38">K324*$L$2</f>
        <v>0</v>
      </c>
      <c r="M324" s="26">
        <f>IF($I324&lt;&gt;"x",0,INDEX($Y$27:$Y$37,MATCH($G324,$X$27:$X357,0),1))*J324*1.1</f>
        <v>0</v>
      </c>
      <c r="N324" s="20">
        <f t="shared" ref="N324:N387" si="39">M324*$N$2</f>
        <v>0</v>
      </c>
      <c r="O324" s="20">
        <f t="shared" ref="O324:O387" si="40">SUM(K324:N324)</f>
        <v>0</v>
      </c>
      <c r="P324" s="20">
        <f>IF(OR($E324&lt;&gt;"CS",$H324&lt;&gt;"x"),0,INDEX($Z$4:$Z$14,MATCH($G324,$X$4:$X334,0),1))*J324*1.1</f>
        <v>0</v>
      </c>
      <c r="Q324" s="26">
        <f>IF($I324&lt;&gt;"x",0,INDEX($Z$27:$Z$37,MATCH($G324,$X$27:$X357,0),1))*J324*1.1</f>
        <v>0</v>
      </c>
      <c r="R324" s="20">
        <f t="shared" ref="R324:R387" si="41">SUM(P324:Q324)</f>
        <v>0</v>
      </c>
      <c r="S324" s="86">
        <f t="shared" ref="S324:S387" si="42">R324+O324</f>
        <v>0</v>
      </c>
    </row>
    <row r="325" spans="2:19">
      <c r="B325" s="14">
        <f t="shared" ref="B325:B388" si="43">1+B324</f>
        <v>322</v>
      </c>
      <c r="C325" s="37"/>
      <c r="D325" s="39"/>
      <c r="E325" s="37"/>
      <c r="F325" s="38"/>
      <c r="G325" s="37"/>
      <c r="H325" s="37"/>
      <c r="I325" s="37"/>
      <c r="J325" s="41"/>
      <c r="K325" s="26">
        <f>IF(OR($E325&lt;&gt;"CS",$H325&lt;&gt;"x"),0,INDEX($Y$4:$Y$14,MATCH($G325,$X$4:$X335,0),1))*J325*1.1</f>
        <v>0</v>
      </c>
      <c r="L325" s="26">
        <f t="shared" si="38"/>
        <v>0</v>
      </c>
      <c r="M325" s="26">
        <f>IF($I325&lt;&gt;"x",0,INDEX($Y$27:$Y$37,MATCH($G325,$X$27:$X358,0),1))*J325*1.1</f>
        <v>0</v>
      </c>
      <c r="N325" s="20">
        <f t="shared" si="39"/>
        <v>0</v>
      </c>
      <c r="O325" s="20">
        <f t="shared" si="40"/>
        <v>0</v>
      </c>
      <c r="P325" s="20">
        <f>IF(OR($E325&lt;&gt;"CS",$H325&lt;&gt;"x"),0,INDEX($Z$4:$Z$14,MATCH($G325,$X$4:$X335,0),1))*J325*1.1</f>
        <v>0</v>
      </c>
      <c r="Q325" s="26">
        <f>IF($I325&lt;&gt;"x",0,INDEX($Z$27:$Z$37,MATCH($G325,$X$27:$X358,0),1))*J325*1.1</f>
        <v>0</v>
      </c>
      <c r="R325" s="20">
        <f t="shared" si="41"/>
        <v>0</v>
      </c>
      <c r="S325" s="86">
        <f t="shared" si="42"/>
        <v>0</v>
      </c>
    </row>
    <row r="326" spans="2:19">
      <c r="B326" s="14">
        <f t="shared" si="43"/>
        <v>323</v>
      </c>
      <c r="C326" s="37"/>
      <c r="D326" s="39"/>
      <c r="E326" s="37"/>
      <c r="F326" s="38"/>
      <c r="G326" s="37"/>
      <c r="H326" s="37"/>
      <c r="I326" s="37"/>
      <c r="J326" s="41"/>
      <c r="K326" s="26">
        <f>IF(OR($E326&lt;&gt;"CS",$H326&lt;&gt;"x"),0,INDEX($Y$4:$Y$14,MATCH($G326,$X$4:$X336,0),1))*J326*1.1</f>
        <v>0</v>
      </c>
      <c r="L326" s="26">
        <f t="shared" si="38"/>
        <v>0</v>
      </c>
      <c r="M326" s="26">
        <f>IF($I326&lt;&gt;"x",0,INDEX($Y$27:$Y$37,MATCH($G326,$X$27:$X359,0),1))*J326*1.1</f>
        <v>0</v>
      </c>
      <c r="N326" s="20">
        <f t="shared" si="39"/>
        <v>0</v>
      </c>
      <c r="O326" s="20">
        <f t="shared" si="40"/>
        <v>0</v>
      </c>
      <c r="P326" s="20">
        <f>IF(OR($E326&lt;&gt;"CS",$H326&lt;&gt;"x"),0,INDEX($Z$4:$Z$14,MATCH($G326,$X$4:$X336,0),1))*J326*1.1</f>
        <v>0</v>
      </c>
      <c r="Q326" s="26">
        <f>IF($I326&lt;&gt;"x",0,INDEX($Z$27:$Z$37,MATCH($G326,$X$27:$X359,0),1))*J326*1.1</f>
        <v>0</v>
      </c>
      <c r="R326" s="20">
        <f t="shared" si="41"/>
        <v>0</v>
      </c>
      <c r="S326" s="86">
        <f t="shared" si="42"/>
        <v>0</v>
      </c>
    </row>
    <row r="327" spans="2:19">
      <c r="B327" s="14">
        <f t="shared" si="43"/>
        <v>324</v>
      </c>
      <c r="C327" s="37"/>
      <c r="D327" s="39"/>
      <c r="E327" s="37"/>
      <c r="F327" s="38"/>
      <c r="G327" s="37"/>
      <c r="H327" s="37"/>
      <c r="I327" s="37"/>
      <c r="J327" s="41"/>
      <c r="K327" s="26">
        <f>IF(OR($E327&lt;&gt;"CS",$H327&lt;&gt;"x"),0,INDEX($Y$4:$Y$14,MATCH($G327,$X$4:$X337,0),1))*J327*1.1</f>
        <v>0</v>
      </c>
      <c r="L327" s="26">
        <f t="shared" si="38"/>
        <v>0</v>
      </c>
      <c r="M327" s="26">
        <f>IF($I327&lt;&gt;"x",0,INDEX($Y$27:$Y$37,MATCH($G327,$X$27:$X360,0),1))*J327*1.1</f>
        <v>0</v>
      </c>
      <c r="N327" s="20">
        <f t="shared" si="39"/>
        <v>0</v>
      </c>
      <c r="O327" s="20">
        <f t="shared" si="40"/>
        <v>0</v>
      </c>
      <c r="P327" s="20">
        <f>IF(OR($E327&lt;&gt;"CS",$H327&lt;&gt;"x"),0,INDEX($Z$4:$Z$14,MATCH($G327,$X$4:$X337,0),1))*J327*1.1</f>
        <v>0</v>
      </c>
      <c r="Q327" s="26">
        <f>IF($I327&lt;&gt;"x",0,INDEX($Z$27:$Z$37,MATCH($G327,$X$27:$X360,0),1))*J327*1.1</f>
        <v>0</v>
      </c>
      <c r="R327" s="20">
        <f t="shared" si="41"/>
        <v>0</v>
      </c>
      <c r="S327" s="86">
        <f t="shared" si="42"/>
        <v>0</v>
      </c>
    </row>
    <row r="328" spans="2:19">
      <c r="B328" s="14">
        <f t="shared" si="43"/>
        <v>325</v>
      </c>
      <c r="C328" s="37"/>
      <c r="D328" s="39"/>
      <c r="E328" s="37"/>
      <c r="F328" s="38"/>
      <c r="G328" s="37"/>
      <c r="H328" s="37"/>
      <c r="I328" s="37"/>
      <c r="J328" s="41"/>
      <c r="K328" s="26">
        <f>IF(OR($E328&lt;&gt;"CS",$H328&lt;&gt;"x"),0,INDEX($Y$4:$Y$14,MATCH($G328,$X$4:$X338,0),1))*J328*1.1</f>
        <v>0</v>
      </c>
      <c r="L328" s="26">
        <f t="shared" si="38"/>
        <v>0</v>
      </c>
      <c r="M328" s="26">
        <f>IF($I328&lt;&gt;"x",0,INDEX($Y$27:$Y$37,MATCH($G328,$X$27:$X361,0),1))*J328*1.1</f>
        <v>0</v>
      </c>
      <c r="N328" s="20">
        <f t="shared" si="39"/>
        <v>0</v>
      </c>
      <c r="O328" s="20">
        <f t="shared" si="40"/>
        <v>0</v>
      </c>
      <c r="P328" s="20">
        <f>IF(OR($E328&lt;&gt;"CS",$H328&lt;&gt;"x"),0,INDEX($Z$4:$Z$14,MATCH($G328,$X$4:$X338,0),1))*J328*1.1</f>
        <v>0</v>
      </c>
      <c r="Q328" s="26">
        <f>IF($I328&lt;&gt;"x",0,INDEX($Z$27:$Z$37,MATCH($G328,$X$27:$X361,0),1))*J328*1.1</f>
        <v>0</v>
      </c>
      <c r="R328" s="20">
        <f t="shared" si="41"/>
        <v>0</v>
      </c>
      <c r="S328" s="86">
        <f t="shared" si="42"/>
        <v>0</v>
      </c>
    </row>
    <row r="329" spans="2:19">
      <c r="B329" s="14">
        <f t="shared" si="43"/>
        <v>326</v>
      </c>
      <c r="C329" s="37"/>
      <c r="D329" s="39"/>
      <c r="E329" s="37"/>
      <c r="F329" s="38"/>
      <c r="G329" s="37"/>
      <c r="H329" s="37"/>
      <c r="I329" s="37"/>
      <c r="J329" s="41"/>
      <c r="K329" s="26">
        <f>IF(OR($E329&lt;&gt;"CS",$H329&lt;&gt;"x"),0,INDEX($Y$4:$Y$14,MATCH($G329,$X$4:$X339,0),1))*J329*1.1</f>
        <v>0</v>
      </c>
      <c r="L329" s="26">
        <f t="shared" si="38"/>
        <v>0</v>
      </c>
      <c r="M329" s="26">
        <f>IF($I329&lt;&gt;"x",0,INDEX($Y$27:$Y$37,MATCH($G329,$X$27:$X362,0),1))*J329*1.1</f>
        <v>0</v>
      </c>
      <c r="N329" s="20">
        <f t="shared" si="39"/>
        <v>0</v>
      </c>
      <c r="O329" s="20">
        <f t="shared" si="40"/>
        <v>0</v>
      </c>
      <c r="P329" s="20">
        <f>IF(OR($E329&lt;&gt;"CS",$H329&lt;&gt;"x"),0,INDEX($Z$4:$Z$14,MATCH($G329,$X$4:$X339,0),1))*J329*1.1</f>
        <v>0</v>
      </c>
      <c r="Q329" s="26">
        <f>IF($I329&lt;&gt;"x",0,INDEX($Z$27:$Z$37,MATCH($G329,$X$27:$X362,0),1))*J329*1.1</f>
        <v>0</v>
      </c>
      <c r="R329" s="20">
        <f t="shared" si="41"/>
        <v>0</v>
      </c>
      <c r="S329" s="86">
        <f t="shared" si="42"/>
        <v>0</v>
      </c>
    </row>
    <row r="330" spans="2:19">
      <c r="B330" s="14">
        <f t="shared" si="43"/>
        <v>327</v>
      </c>
      <c r="C330" s="37"/>
      <c r="D330" s="39"/>
      <c r="E330" s="37"/>
      <c r="F330" s="38"/>
      <c r="G330" s="37"/>
      <c r="H330" s="37"/>
      <c r="I330" s="37"/>
      <c r="J330" s="41"/>
      <c r="K330" s="26">
        <f>IF(OR($E330&lt;&gt;"CS",$H330&lt;&gt;"x"),0,INDEX($Y$4:$Y$14,MATCH($G330,$X$4:$X340,0),1))*J330*1.1</f>
        <v>0</v>
      </c>
      <c r="L330" s="26">
        <f t="shared" si="38"/>
        <v>0</v>
      </c>
      <c r="M330" s="26">
        <f>IF($I330&lt;&gt;"x",0,INDEX($Y$27:$Y$37,MATCH($G330,$X$27:$X363,0),1))*J330*1.1</f>
        <v>0</v>
      </c>
      <c r="N330" s="20">
        <f t="shared" si="39"/>
        <v>0</v>
      </c>
      <c r="O330" s="20">
        <f t="shared" si="40"/>
        <v>0</v>
      </c>
      <c r="P330" s="20">
        <f>IF(OR($E330&lt;&gt;"CS",$H330&lt;&gt;"x"),0,INDEX($Z$4:$Z$14,MATCH($G330,$X$4:$X340,0),1))*J330*1.1</f>
        <v>0</v>
      </c>
      <c r="Q330" s="26">
        <f>IF($I330&lt;&gt;"x",0,INDEX($Z$27:$Z$37,MATCH($G330,$X$27:$X363,0),1))*J330*1.1</f>
        <v>0</v>
      </c>
      <c r="R330" s="20">
        <f t="shared" si="41"/>
        <v>0</v>
      </c>
      <c r="S330" s="86">
        <f t="shared" si="42"/>
        <v>0</v>
      </c>
    </row>
    <row r="331" spans="2:19">
      <c r="B331" s="14">
        <f t="shared" si="43"/>
        <v>328</v>
      </c>
      <c r="C331" s="37"/>
      <c r="D331" s="39"/>
      <c r="E331" s="37"/>
      <c r="F331" s="38"/>
      <c r="G331" s="37"/>
      <c r="H331" s="37"/>
      <c r="I331" s="37"/>
      <c r="J331" s="41"/>
      <c r="K331" s="26">
        <f>IF(OR($E331&lt;&gt;"CS",$H331&lt;&gt;"x"),0,INDEX($Y$4:$Y$14,MATCH($G331,$X$4:$X341,0),1))*J331*1.1</f>
        <v>0</v>
      </c>
      <c r="L331" s="26">
        <f t="shared" si="38"/>
        <v>0</v>
      </c>
      <c r="M331" s="26">
        <f>IF($I331&lt;&gt;"x",0,INDEX($Y$27:$Y$37,MATCH($G331,$X$27:$X364,0),1))*J331*1.1</f>
        <v>0</v>
      </c>
      <c r="N331" s="20">
        <f t="shared" si="39"/>
        <v>0</v>
      </c>
      <c r="O331" s="20">
        <f t="shared" si="40"/>
        <v>0</v>
      </c>
      <c r="P331" s="20">
        <f>IF(OR($E331&lt;&gt;"CS",$H331&lt;&gt;"x"),0,INDEX($Z$4:$Z$14,MATCH($G331,$X$4:$X341,0),1))*J331*1.1</f>
        <v>0</v>
      </c>
      <c r="Q331" s="26">
        <f>IF($I331&lt;&gt;"x",0,INDEX($Z$27:$Z$37,MATCH($G331,$X$27:$X364,0),1))*J331*1.1</f>
        <v>0</v>
      </c>
      <c r="R331" s="20">
        <f t="shared" si="41"/>
        <v>0</v>
      </c>
      <c r="S331" s="86">
        <f t="shared" si="42"/>
        <v>0</v>
      </c>
    </row>
    <row r="332" spans="2:19">
      <c r="B332" s="14">
        <f t="shared" si="43"/>
        <v>329</v>
      </c>
      <c r="C332" s="37"/>
      <c r="D332" s="39"/>
      <c r="E332" s="37"/>
      <c r="F332" s="38"/>
      <c r="G332" s="37"/>
      <c r="H332" s="37"/>
      <c r="I332" s="37"/>
      <c r="J332" s="41"/>
      <c r="K332" s="26">
        <f>IF(OR($E332&lt;&gt;"CS",$H332&lt;&gt;"x"),0,INDEX($Y$4:$Y$14,MATCH($G332,$X$4:$X342,0),1))*J332*1.1</f>
        <v>0</v>
      </c>
      <c r="L332" s="26">
        <f t="shared" si="38"/>
        <v>0</v>
      </c>
      <c r="M332" s="26">
        <f>IF($I332&lt;&gt;"x",0,INDEX($Y$27:$Y$37,MATCH($G332,$X$27:$X365,0),1))*J332*1.1</f>
        <v>0</v>
      </c>
      <c r="N332" s="20">
        <f t="shared" si="39"/>
        <v>0</v>
      </c>
      <c r="O332" s="20">
        <f t="shared" si="40"/>
        <v>0</v>
      </c>
      <c r="P332" s="20">
        <f>IF(OR($E332&lt;&gt;"CS",$H332&lt;&gt;"x"),0,INDEX($Z$4:$Z$14,MATCH($G332,$X$4:$X342,0),1))*J332*1.1</f>
        <v>0</v>
      </c>
      <c r="Q332" s="26">
        <f>IF($I332&lt;&gt;"x",0,INDEX($Z$27:$Z$37,MATCH($G332,$X$27:$X365,0),1))*J332*1.1</f>
        <v>0</v>
      </c>
      <c r="R332" s="20">
        <f t="shared" si="41"/>
        <v>0</v>
      </c>
      <c r="S332" s="86">
        <f t="shared" si="42"/>
        <v>0</v>
      </c>
    </row>
    <row r="333" spans="2:19">
      <c r="B333" s="14">
        <f t="shared" si="43"/>
        <v>330</v>
      </c>
      <c r="C333" s="37"/>
      <c r="D333" s="39"/>
      <c r="E333" s="37"/>
      <c r="F333" s="38"/>
      <c r="G333" s="37"/>
      <c r="H333" s="37"/>
      <c r="I333" s="37"/>
      <c r="J333" s="41"/>
      <c r="K333" s="26">
        <f>IF(OR($E333&lt;&gt;"CS",$H333&lt;&gt;"x"),0,INDEX($Y$4:$Y$14,MATCH($G333,$X$4:$X343,0),1))*J333*1.1</f>
        <v>0</v>
      </c>
      <c r="L333" s="26">
        <f t="shared" si="38"/>
        <v>0</v>
      </c>
      <c r="M333" s="26">
        <f>IF($I333&lt;&gt;"x",0,INDEX($Y$27:$Y$37,MATCH($G333,$X$27:$X366,0),1))*J333*1.1</f>
        <v>0</v>
      </c>
      <c r="N333" s="20">
        <f t="shared" si="39"/>
        <v>0</v>
      </c>
      <c r="O333" s="20">
        <f t="shared" si="40"/>
        <v>0</v>
      </c>
      <c r="P333" s="20">
        <f>IF(OR($E333&lt;&gt;"CS",$H333&lt;&gt;"x"),0,INDEX($Z$4:$Z$14,MATCH($G333,$X$4:$X343,0),1))*J333*1.1</f>
        <v>0</v>
      </c>
      <c r="Q333" s="26">
        <f>IF($I333&lt;&gt;"x",0,INDEX($Z$27:$Z$37,MATCH($G333,$X$27:$X366,0),1))*J333*1.1</f>
        <v>0</v>
      </c>
      <c r="R333" s="20">
        <f t="shared" si="41"/>
        <v>0</v>
      </c>
      <c r="S333" s="86">
        <f t="shared" si="42"/>
        <v>0</v>
      </c>
    </row>
    <row r="334" spans="2:19">
      <c r="B334" s="14">
        <f t="shared" si="43"/>
        <v>331</v>
      </c>
      <c r="C334" s="37"/>
      <c r="D334" s="39"/>
      <c r="E334" s="37"/>
      <c r="F334" s="38"/>
      <c r="G334" s="37"/>
      <c r="H334" s="37"/>
      <c r="I334" s="37"/>
      <c r="J334" s="41"/>
      <c r="K334" s="26">
        <f>IF(OR($E334&lt;&gt;"CS",$H334&lt;&gt;"x"),0,INDEX($Y$4:$Y$14,MATCH($G334,$X$4:$X344,0),1))*J334*1.1</f>
        <v>0</v>
      </c>
      <c r="L334" s="26">
        <f t="shared" si="38"/>
        <v>0</v>
      </c>
      <c r="M334" s="26">
        <f>IF($I334&lt;&gt;"x",0,INDEX($Y$27:$Y$37,MATCH($G334,$X$27:$X367,0),1))*J334*1.1</f>
        <v>0</v>
      </c>
      <c r="N334" s="20">
        <f t="shared" si="39"/>
        <v>0</v>
      </c>
      <c r="O334" s="20">
        <f t="shared" si="40"/>
        <v>0</v>
      </c>
      <c r="P334" s="20">
        <f>IF(OR($E334&lt;&gt;"CS",$H334&lt;&gt;"x"),0,INDEX($Z$4:$Z$14,MATCH($G334,$X$4:$X344,0),1))*J334*1.1</f>
        <v>0</v>
      </c>
      <c r="Q334" s="26">
        <f>IF($I334&lt;&gt;"x",0,INDEX($Z$27:$Z$37,MATCH($G334,$X$27:$X367,0),1))*J334*1.1</f>
        <v>0</v>
      </c>
      <c r="R334" s="20">
        <f t="shared" si="41"/>
        <v>0</v>
      </c>
      <c r="S334" s="86">
        <f t="shared" si="42"/>
        <v>0</v>
      </c>
    </row>
    <row r="335" spans="2:19">
      <c r="B335" s="14">
        <f t="shared" si="43"/>
        <v>332</v>
      </c>
      <c r="C335" s="37"/>
      <c r="D335" s="39"/>
      <c r="E335" s="37"/>
      <c r="F335" s="38"/>
      <c r="G335" s="37"/>
      <c r="H335" s="37"/>
      <c r="I335" s="37"/>
      <c r="J335" s="41"/>
      <c r="K335" s="26">
        <f>IF(OR($E335&lt;&gt;"CS",$H335&lt;&gt;"x"),0,INDEX($Y$4:$Y$14,MATCH($G335,$X$4:$X345,0),1))*J335*1.1</f>
        <v>0</v>
      </c>
      <c r="L335" s="26">
        <f t="shared" si="38"/>
        <v>0</v>
      </c>
      <c r="M335" s="26">
        <f>IF($I335&lt;&gt;"x",0,INDEX($Y$27:$Y$37,MATCH($G335,$X$27:$X368,0),1))*J335*1.1</f>
        <v>0</v>
      </c>
      <c r="N335" s="20">
        <f t="shared" si="39"/>
        <v>0</v>
      </c>
      <c r="O335" s="20">
        <f t="shared" si="40"/>
        <v>0</v>
      </c>
      <c r="P335" s="20">
        <f>IF(OR($E335&lt;&gt;"CS",$H335&lt;&gt;"x"),0,INDEX($Z$4:$Z$14,MATCH($G335,$X$4:$X345,0),1))*J335*1.1</f>
        <v>0</v>
      </c>
      <c r="Q335" s="26">
        <f>IF($I335&lt;&gt;"x",0,INDEX($Z$27:$Z$37,MATCH($G335,$X$27:$X368,0),1))*J335*1.1</f>
        <v>0</v>
      </c>
      <c r="R335" s="20">
        <f t="shared" si="41"/>
        <v>0</v>
      </c>
      <c r="S335" s="86">
        <f t="shared" si="42"/>
        <v>0</v>
      </c>
    </row>
    <row r="336" spans="2:19">
      <c r="B336" s="14">
        <f t="shared" si="43"/>
        <v>333</v>
      </c>
      <c r="C336" s="37"/>
      <c r="D336" s="39"/>
      <c r="E336" s="37"/>
      <c r="F336" s="38"/>
      <c r="G336" s="37"/>
      <c r="H336" s="37"/>
      <c r="I336" s="37"/>
      <c r="J336" s="41"/>
      <c r="K336" s="26">
        <f>IF(OR($E336&lt;&gt;"CS",$H336&lt;&gt;"x"),0,INDEX($Y$4:$Y$14,MATCH($G336,$X$4:$X346,0),1))*J336*1.1</f>
        <v>0</v>
      </c>
      <c r="L336" s="26">
        <f t="shared" si="38"/>
        <v>0</v>
      </c>
      <c r="M336" s="26">
        <f>IF($I336&lt;&gt;"x",0,INDEX($Y$27:$Y$37,MATCH($G336,$X$27:$X369,0),1))*J336*1.1</f>
        <v>0</v>
      </c>
      <c r="N336" s="20">
        <f t="shared" si="39"/>
        <v>0</v>
      </c>
      <c r="O336" s="20">
        <f t="shared" si="40"/>
        <v>0</v>
      </c>
      <c r="P336" s="20">
        <f>IF(OR($E336&lt;&gt;"CS",$H336&lt;&gt;"x"),0,INDEX($Z$4:$Z$14,MATCH($G336,$X$4:$X346,0),1))*J336*1.1</f>
        <v>0</v>
      </c>
      <c r="Q336" s="26">
        <f>IF($I336&lt;&gt;"x",0,INDEX($Z$27:$Z$37,MATCH($G336,$X$27:$X369,0),1))*J336*1.1</f>
        <v>0</v>
      </c>
      <c r="R336" s="20">
        <f t="shared" si="41"/>
        <v>0</v>
      </c>
      <c r="S336" s="86">
        <f t="shared" si="42"/>
        <v>0</v>
      </c>
    </row>
    <row r="337" spans="2:19">
      <c r="B337" s="14">
        <f t="shared" si="43"/>
        <v>334</v>
      </c>
      <c r="C337" s="37"/>
      <c r="D337" s="39"/>
      <c r="E337" s="37"/>
      <c r="F337" s="38"/>
      <c r="G337" s="37"/>
      <c r="H337" s="37"/>
      <c r="I337" s="37"/>
      <c r="J337" s="41"/>
      <c r="K337" s="26">
        <f>IF(OR($E337&lt;&gt;"CS",$H337&lt;&gt;"x"),0,INDEX($Y$4:$Y$14,MATCH($G337,$X$4:$X347,0),1))*J337*1.1</f>
        <v>0</v>
      </c>
      <c r="L337" s="26">
        <f t="shared" si="38"/>
        <v>0</v>
      </c>
      <c r="M337" s="26">
        <f>IF($I337&lt;&gt;"x",0,INDEX($Y$27:$Y$37,MATCH($G337,$X$27:$X370,0),1))*J337*1.1</f>
        <v>0</v>
      </c>
      <c r="N337" s="20">
        <f t="shared" si="39"/>
        <v>0</v>
      </c>
      <c r="O337" s="20">
        <f t="shared" si="40"/>
        <v>0</v>
      </c>
      <c r="P337" s="20">
        <f>IF(OR($E337&lt;&gt;"CS",$H337&lt;&gt;"x"),0,INDEX($Z$4:$Z$14,MATCH($G337,$X$4:$X347,0),1))*J337*1.1</f>
        <v>0</v>
      </c>
      <c r="Q337" s="26">
        <f>IF($I337&lt;&gt;"x",0,INDEX($Z$27:$Z$37,MATCH($G337,$X$27:$X370,0),1))*J337*1.1</f>
        <v>0</v>
      </c>
      <c r="R337" s="20">
        <f t="shared" si="41"/>
        <v>0</v>
      </c>
      <c r="S337" s="86">
        <f t="shared" si="42"/>
        <v>0</v>
      </c>
    </row>
    <row r="338" spans="2:19">
      <c r="B338" s="14">
        <f t="shared" si="43"/>
        <v>335</v>
      </c>
      <c r="C338" s="37"/>
      <c r="D338" s="39"/>
      <c r="E338" s="37"/>
      <c r="F338" s="38"/>
      <c r="G338" s="37"/>
      <c r="H338" s="37"/>
      <c r="I338" s="37"/>
      <c r="J338" s="41"/>
      <c r="K338" s="26">
        <f>IF(OR($E338&lt;&gt;"CS",$H338&lt;&gt;"x"),0,INDEX($Y$4:$Y$14,MATCH($G338,$X$4:$X348,0),1))*J338*1.1</f>
        <v>0</v>
      </c>
      <c r="L338" s="26">
        <f t="shared" si="38"/>
        <v>0</v>
      </c>
      <c r="M338" s="26">
        <f>IF($I338&lt;&gt;"x",0,INDEX($Y$27:$Y$37,MATCH($G338,$X$27:$X371,0),1))*J338*1.1</f>
        <v>0</v>
      </c>
      <c r="N338" s="20">
        <f t="shared" si="39"/>
        <v>0</v>
      </c>
      <c r="O338" s="20">
        <f t="shared" si="40"/>
        <v>0</v>
      </c>
      <c r="P338" s="20">
        <f>IF(OR($E338&lt;&gt;"CS",$H338&lt;&gt;"x"),0,INDEX($Z$4:$Z$14,MATCH($G338,$X$4:$X348,0),1))*J338*1.1</f>
        <v>0</v>
      </c>
      <c r="Q338" s="26">
        <f>IF($I338&lt;&gt;"x",0,INDEX($Z$27:$Z$37,MATCH($G338,$X$27:$X371,0),1))*J338*1.1</f>
        <v>0</v>
      </c>
      <c r="R338" s="20">
        <f t="shared" si="41"/>
        <v>0</v>
      </c>
      <c r="S338" s="86">
        <f t="shared" si="42"/>
        <v>0</v>
      </c>
    </row>
    <row r="339" spans="2:19">
      <c r="B339" s="14">
        <f t="shared" si="43"/>
        <v>336</v>
      </c>
      <c r="C339" s="37"/>
      <c r="D339" s="39"/>
      <c r="E339" s="37"/>
      <c r="F339" s="38"/>
      <c r="G339" s="37"/>
      <c r="H339" s="37"/>
      <c r="I339" s="37"/>
      <c r="J339" s="41"/>
      <c r="K339" s="26">
        <f>IF(OR($E339&lt;&gt;"CS",$H339&lt;&gt;"x"),0,INDEX($Y$4:$Y$14,MATCH($G339,$X$4:$X349,0),1))*J339*1.1</f>
        <v>0</v>
      </c>
      <c r="L339" s="26">
        <f t="shared" si="38"/>
        <v>0</v>
      </c>
      <c r="M339" s="26">
        <f>IF($I339&lt;&gt;"x",0,INDEX($Y$27:$Y$37,MATCH($G339,$X$27:$X372,0),1))*J339*1.1</f>
        <v>0</v>
      </c>
      <c r="N339" s="20">
        <f t="shared" si="39"/>
        <v>0</v>
      </c>
      <c r="O339" s="20">
        <f t="shared" si="40"/>
        <v>0</v>
      </c>
      <c r="P339" s="20">
        <f>IF(OR($E339&lt;&gt;"CS",$H339&lt;&gt;"x"),0,INDEX($Z$4:$Z$14,MATCH($G339,$X$4:$X349,0),1))*J339*1.1</f>
        <v>0</v>
      </c>
      <c r="Q339" s="26">
        <f>IF($I339&lt;&gt;"x",0,INDEX($Z$27:$Z$37,MATCH($G339,$X$27:$X372,0),1))*J339*1.1</f>
        <v>0</v>
      </c>
      <c r="R339" s="20">
        <f t="shared" si="41"/>
        <v>0</v>
      </c>
      <c r="S339" s="86">
        <f t="shared" si="42"/>
        <v>0</v>
      </c>
    </row>
    <row r="340" spans="2:19">
      <c r="B340" s="14">
        <f t="shared" si="43"/>
        <v>337</v>
      </c>
      <c r="C340" s="37"/>
      <c r="D340" s="39"/>
      <c r="E340" s="37"/>
      <c r="F340" s="38"/>
      <c r="G340" s="37"/>
      <c r="H340" s="37"/>
      <c r="I340" s="37"/>
      <c r="J340" s="41"/>
      <c r="K340" s="26">
        <f>IF(OR($E340&lt;&gt;"CS",$H340&lt;&gt;"x"),0,INDEX($Y$4:$Y$14,MATCH($G340,$X$4:$X350,0),1))*J340*1.1</f>
        <v>0</v>
      </c>
      <c r="L340" s="26">
        <f t="shared" si="38"/>
        <v>0</v>
      </c>
      <c r="M340" s="26">
        <f>IF($I340&lt;&gt;"x",0,INDEX($Y$27:$Y$37,MATCH($G340,$X$27:$X373,0),1))*J340*1.1</f>
        <v>0</v>
      </c>
      <c r="N340" s="20">
        <f t="shared" si="39"/>
        <v>0</v>
      </c>
      <c r="O340" s="20">
        <f t="shared" si="40"/>
        <v>0</v>
      </c>
      <c r="P340" s="20">
        <f>IF(OR($E340&lt;&gt;"CS",$H340&lt;&gt;"x"),0,INDEX($Z$4:$Z$14,MATCH($G340,$X$4:$X350,0),1))*J340*1.1</f>
        <v>0</v>
      </c>
      <c r="Q340" s="26">
        <f>IF($I340&lt;&gt;"x",0,INDEX($Z$27:$Z$37,MATCH($G340,$X$27:$X373,0),1))*J340*1.1</f>
        <v>0</v>
      </c>
      <c r="R340" s="20">
        <f t="shared" si="41"/>
        <v>0</v>
      </c>
      <c r="S340" s="86">
        <f t="shared" si="42"/>
        <v>0</v>
      </c>
    </row>
    <row r="341" spans="2:19">
      <c r="B341" s="14">
        <f t="shared" si="43"/>
        <v>338</v>
      </c>
      <c r="C341" s="37"/>
      <c r="D341" s="39"/>
      <c r="E341" s="37"/>
      <c r="F341" s="38"/>
      <c r="G341" s="37"/>
      <c r="H341" s="37"/>
      <c r="I341" s="37"/>
      <c r="J341" s="41"/>
      <c r="K341" s="26">
        <f>IF(OR($E341&lt;&gt;"CS",$H341&lt;&gt;"x"),0,INDEX($Y$4:$Y$14,MATCH($G341,$X$4:$X351,0),1))*J341*1.1</f>
        <v>0</v>
      </c>
      <c r="L341" s="26">
        <f t="shared" si="38"/>
        <v>0</v>
      </c>
      <c r="M341" s="26">
        <f>IF($I341&lt;&gt;"x",0,INDEX($Y$27:$Y$37,MATCH($G341,$X$27:$X374,0),1))*J341*1.1</f>
        <v>0</v>
      </c>
      <c r="N341" s="20">
        <f t="shared" si="39"/>
        <v>0</v>
      </c>
      <c r="O341" s="20">
        <f t="shared" si="40"/>
        <v>0</v>
      </c>
      <c r="P341" s="20">
        <f>IF(OR($E341&lt;&gt;"CS",$H341&lt;&gt;"x"),0,INDEX($Z$4:$Z$14,MATCH($G341,$X$4:$X351,0),1))*J341*1.1</f>
        <v>0</v>
      </c>
      <c r="Q341" s="26">
        <f>IF($I341&lt;&gt;"x",0,INDEX($Z$27:$Z$37,MATCH($G341,$X$27:$X374,0),1))*J341*1.1</f>
        <v>0</v>
      </c>
      <c r="R341" s="20">
        <f t="shared" si="41"/>
        <v>0</v>
      </c>
      <c r="S341" s="86">
        <f t="shared" si="42"/>
        <v>0</v>
      </c>
    </row>
    <row r="342" spans="2:19">
      <c r="B342" s="14">
        <f t="shared" si="43"/>
        <v>339</v>
      </c>
      <c r="C342" s="37"/>
      <c r="D342" s="39"/>
      <c r="E342" s="37"/>
      <c r="F342" s="38"/>
      <c r="G342" s="37"/>
      <c r="H342" s="37"/>
      <c r="I342" s="37"/>
      <c r="J342" s="41"/>
      <c r="K342" s="26">
        <f>IF(OR($E342&lt;&gt;"CS",$H342&lt;&gt;"x"),0,INDEX($Y$4:$Y$14,MATCH($G342,$X$4:$X352,0),1))*J342*1.1</f>
        <v>0</v>
      </c>
      <c r="L342" s="26">
        <f t="shared" si="38"/>
        <v>0</v>
      </c>
      <c r="M342" s="26">
        <f>IF($I342&lt;&gt;"x",0,INDEX($Y$27:$Y$37,MATCH($G342,$X$27:$X375,0),1))*J342*1.1</f>
        <v>0</v>
      </c>
      <c r="N342" s="20">
        <f t="shared" si="39"/>
        <v>0</v>
      </c>
      <c r="O342" s="20">
        <f t="shared" si="40"/>
        <v>0</v>
      </c>
      <c r="P342" s="20">
        <f>IF(OR($E342&lt;&gt;"CS",$H342&lt;&gt;"x"),0,INDEX($Z$4:$Z$14,MATCH($G342,$X$4:$X352,0),1))*J342*1.1</f>
        <v>0</v>
      </c>
      <c r="Q342" s="26">
        <f>IF($I342&lt;&gt;"x",0,INDEX($Z$27:$Z$37,MATCH($G342,$X$27:$X375,0),1))*J342*1.1</f>
        <v>0</v>
      </c>
      <c r="R342" s="20">
        <f t="shared" si="41"/>
        <v>0</v>
      </c>
      <c r="S342" s="86">
        <f t="shared" si="42"/>
        <v>0</v>
      </c>
    </row>
    <row r="343" spans="2:19">
      <c r="B343" s="14">
        <f t="shared" si="43"/>
        <v>340</v>
      </c>
      <c r="C343" s="37"/>
      <c r="D343" s="39"/>
      <c r="E343" s="37"/>
      <c r="F343" s="38"/>
      <c r="G343" s="37"/>
      <c r="H343" s="37"/>
      <c r="I343" s="37"/>
      <c r="J343" s="41"/>
      <c r="K343" s="26">
        <f>IF(OR($E343&lt;&gt;"CS",$H343&lt;&gt;"x"),0,INDEX($Y$4:$Y$14,MATCH($G343,$X$4:$X353,0),1))*J343*1.1</f>
        <v>0</v>
      </c>
      <c r="L343" s="26">
        <f t="shared" si="38"/>
        <v>0</v>
      </c>
      <c r="M343" s="26">
        <f>IF($I343&lt;&gt;"x",0,INDEX($Y$27:$Y$37,MATCH($G343,$X$27:$X376,0),1))*J343*1.1</f>
        <v>0</v>
      </c>
      <c r="N343" s="20">
        <f t="shared" si="39"/>
        <v>0</v>
      </c>
      <c r="O343" s="20">
        <f t="shared" si="40"/>
        <v>0</v>
      </c>
      <c r="P343" s="20">
        <f>IF(OR($E343&lt;&gt;"CS",$H343&lt;&gt;"x"),0,INDEX($Z$4:$Z$14,MATCH($G343,$X$4:$X353,0),1))*J343*1.1</f>
        <v>0</v>
      </c>
      <c r="Q343" s="26">
        <f>IF($I343&lt;&gt;"x",0,INDEX($Z$27:$Z$37,MATCH($G343,$X$27:$X376,0),1))*J343*1.1</f>
        <v>0</v>
      </c>
      <c r="R343" s="20">
        <f t="shared" si="41"/>
        <v>0</v>
      </c>
      <c r="S343" s="86">
        <f t="shared" si="42"/>
        <v>0</v>
      </c>
    </row>
    <row r="344" spans="2:19">
      <c r="B344" s="14">
        <f t="shared" si="43"/>
        <v>341</v>
      </c>
      <c r="C344" s="37"/>
      <c r="D344" s="39"/>
      <c r="E344" s="37"/>
      <c r="F344" s="38"/>
      <c r="G344" s="37"/>
      <c r="H344" s="37"/>
      <c r="I344" s="37"/>
      <c r="J344" s="41"/>
      <c r="K344" s="26">
        <f>IF(OR($E344&lt;&gt;"CS",$H344&lt;&gt;"x"),0,INDEX($Y$4:$Y$14,MATCH($G344,$X$4:$X354,0),1))*J344*1.1</f>
        <v>0</v>
      </c>
      <c r="L344" s="26">
        <f t="shared" si="38"/>
        <v>0</v>
      </c>
      <c r="M344" s="26">
        <f>IF($I344&lt;&gt;"x",0,INDEX($Y$27:$Y$37,MATCH($G344,$X$27:$X377,0),1))*J344*1.1</f>
        <v>0</v>
      </c>
      <c r="N344" s="20">
        <f t="shared" si="39"/>
        <v>0</v>
      </c>
      <c r="O344" s="20">
        <f t="shared" si="40"/>
        <v>0</v>
      </c>
      <c r="P344" s="20">
        <f>IF(OR($E344&lt;&gt;"CS",$H344&lt;&gt;"x"),0,INDEX($Z$4:$Z$14,MATCH($G344,$X$4:$X354,0),1))*J344*1.1</f>
        <v>0</v>
      </c>
      <c r="Q344" s="26">
        <f>IF($I344&lt;&gt;"x",0,INDEX($Z$27:$Z$37,MATCH($G344,$X$27:$X377,0),1))*J344*1.1</f>
        <v>0</v>
      </c>
      <c r="R344" s="20">
        <f t="shared" si="41"/>
        <v>0</v>
      </c>
      <c r="S344" s="86">
        <f t="shared" si="42"/>
        <v>0</v>
      </c>
    </row>
    <row r="345" spans="2:19">
      <c r="B345" s="14">
        <f t="shared" si="43"/>
        <v>342</v>
      </c>
      <c r="C345" s="37"/>
      <c r="D345" s="39"/>
      <c r="E345" s="37"/>
      <c r="F345" s="38"/>
      <c r="G345" s="37"/>
      <c r="H345" s="37"/>
      <c r="I345" s="37"/>
      <c r="J345" s="41"/>
      <c r="K345" s="26">
        <f>IF(OR($E345&lt;&gt;"CS",$H345&lt;&gt;"x"),0,INDEX($Y$4:$Y$14,MATCH($G345,$X$4:$X355,0),1))*J345*1.1</f>
        <v>0</v>
      </c>
      <c r="L345" s="26">
        <f t="shared" si="38"/>
        <v>0</v>
      </c>
      <c r="M345" s="26">
        <f>IF($I345&lt;&gt;"x",0,INDEX($Y$27:$Y$37,MATCH($G345,$X$27:$X378,0),1))*J345*1.1</f>
        <v>0</v>
      </c>
      <c r="N345" s="20">
        <f t="shared" si="39"/>
        <v>0</v>
      </c>
      <c r="O345" s="20">
        <f t="shared" si="40"/>
        <v>0</v>
      </c>
      <c r="P345" s="20">
        <f>IF(OR($E345&lt;&gt;"CS",$H345&lt;&gt;"x"),0,INDEX($Z$4:$Z$14,MATCH($G345,$X$4:$X355,0),1))*J345*1.1</f>
        <v>0</v>
      </c>
      <c r="Q345" s="26">
        <f>IF($I345&lt;&gt;"x",0,INDEX($Z$27:$Z$37,MATCH($G345,$X$27:$X378,0),1))*J345*1.1</f>
        <v>0</v>
      </c>
      <c r="R345" s="20">
        <f t="shared" si="41"/>
        <v>0</v>
      </c>
      <c r="S345" s="86">
        <f t="shared" si="42"/>
        <v>0</v>
      </c>
    </row>
    <row r="346" spans="2:19">
      <c r="B346" s="14">
        <f t="shared" si="43"/>
        <v>343</v>
      </c>
      <c r="C346" s="37"/>
      <c r="D346" s="39"/>
      <c r="E346" s="37"/>
      <c r="F346" s="38"/>
      <c r="G346" s="37"/>
      <c r="H346" s="37"/>
      <c r="I346" s="37"/>
      <c r="J346" s="41"/>
      <c r="K346" s="26">
        <f>IF(OR($E346&lt;&gt;"CS",$H346&lt;&gt;"x"),0,INDEX($Y$4:$Y$14,MATCH($G346,$X$4:$X356,0),1))*J346*1.1</f>
        <v>0</v>
      </c>
      <c r="L346" s="26">
        <f t="shared" si="38"/>
        <v>0</v>
      </c>
      <c r="M346" s="26">
        <f>IF($I346&lt;&gt;"x",0,INDEX($Y$27:$Y$37,MATCH($G346,$X$27:$X379,0),1))*J346*1.1</f>
        <v>0</v>
      </c>
      <c r="N346" s="20">
        <f t="shared" si="39"/>
        <v>0</v>
      </c>
      <c r="O346" s="20">
        <f t="shared" si="40"/>
        <v>0</v>
      </c>
      <c r="P346" s="20">
        <f>IF(OR($E346&lt;&gt;"CS",$H346&lt;&gt;"x"),0,INDEX($Z$4:$Z$14,MATCH($G346,$X$4:$X356,0),1))*J346*1.1</f>
        <v>0</v>
      </c>
      <c r="Q346" s="26">
        <f>IF($I346&lt;&gt;"x",0,INDEX($Z$27:$Z$37,MATCH($G346,$X$27:$X379,0),1))*J346*1.1</f>
        <v>0</v>
      </c>
      <c r="R346" s="20">
        <f t="shared" si="41"/>
        <v>0</v>
      </c>
      <c r="S346" s="86">
        <f t="shared" si="42"/>
        <v>0</v>
      </c>
    </row>
    <row r="347" spans="2:19">
      <c r="B347" s="14">
        <f t="shared" si="43"/>
        <v>344</v>
      </c>
      <c r="C347" s="37"/>
      <c r="D347" s="39"/>
      <c r="E347" s="37"/>
      <c r="F347" s="38"/>
      <c r="G347" s="37"/>
      <c r="H347" s="37"/>
      <c r="I347" s="37"/>
      <c r="J347" s="41"/>
      <c r="K347" s="26">
        <f>IF(OR($E347&lt;&gt;"CS",$H347&lt;&gt;"x"),0,INDEX($Y$4:$Y$14,MATCH($G347,$X$4:$X357,0),1))*J347*1.1</f>
        <v>0</v>
      </c>
      <c r="L347" s="26">
        <f t="shared" si="38"/>
        <v>0</v>
      </c>
      <c r="M347" s="26">
        <f>IF($I347&lt;&gt;"x",0,INDEX($Y$27:$Y$37,MATCH($G347,$X$27:$X380,0),1))*J347*1.1</f>
        <v>0</v>
      </c>
      <c r="N347" s="20">
        <f t="shared" si="39"/>
        <v>0</v>
      </c>
      <c r="O347" s="20">
        <f t="shared" si="40"/>
        <v>0</v>
      </c>
      <c r="P347" s="20">
        <f>IF(OR($E347&lt;&gt;"CS",$H347&lt;&gt;"x"),0,INDEX($Z$4:$Z$14,MATCH($G347,$X$4:$X357,0),1))*J347*1.1</f>
        <v>0</v>
      </c>
      <c r="Q347" s="26">
        <f>IF($I347&lt;&gt;"x",0,INDEX($Z$27:$Z$37,MATCH($G347,$X$27:$X380,0),1))*J347*1.1</f>
        <v>0</v>
      </c>
      <c r="R347" s="20">
        <f t="shared" si="41"/>
        <v>0</v>
      </c>
      <c r="S347" s="86">
        <f t="shared" si="42"/>
        <v>0</v>
      </c>
    </row>
    <row r="348" spans="2:19">
      <c r="B348" s="14">
        <f t="shared" si="43"/>
        <v>345</v>
      </c>
      <c r="C348" s="37"/>
      <c r="D348" s="39"/>
      <c r="E348" s="37"/>
      <c r="F348" s="38"/>
      <c r="G348" s="37"/>
      <c r="H348" s="37"/>
      <c r="I348" s="37"/>
      <c r="J348" s="41"/>
      <c r="K348" s="26">
        <f>IF(OR($E348&lt;&gt;"CS",$H348&lt;&gt;"x"),0,INDEX($Y$4:$Y$14,MATCH($G348,$X$4:$X358,0),1))*J348*1.1</f>
        <v>0</v>
      </c>
      <c r="L348" s="26">
        <f t="shared" si="38"/>
        <v>0</v>
      </c>
      <c r="M348" s="26">
        <f>IF($I348&lt;&gt;"x",0,INDEX($Y$27:$Y$37,MATCH($G348,$X$27:$X381,0),1))*J348*1.1</f>
        <v>0</v>
      </c>
      <c r="N348" s="20">
        <f t="shared" si="39"/>
        <v>0</v>
      </c>
      <c r="O348" s="20">
        <f t="shared" si="40"/>
        <v>0</v>
      </c>
      <c r="P348" s="20">
        <f>IF(OR($E348&lt;&gt;"CS",$H348&lt;&gt;"x"),0,INDEX($Z$4:$Z$14,MATCH($G348,$X$4:$X358,0),1))*J348*1.1</f>
        <v>0</v>
      </c>
      <c r="Q348" s="26">
        <f>IF($I348&lt;&gt;"x",0,INDEX($Z$27:$Z$37,MATCH($G348,$X$27:$X381,0),1))*J348*1.1</f>
        <v>0</v>
      </c>
      <c r="R348" s="20">
        <f t="shared" si="41"/>
        <v>0</v>
      </c>
      <c r="S348" s="86">
        <f t="shared" si="42"/>
        <v>0</v>
      </c>
    </row>
    <row r="349" spans="2:19">
      <c r="B349" s="14">
        <f t="shared" si="43"/>
        <v>346</v>
      </c>
      <c r="C349" s="37"/>
      <c r="D349" s="39"/>
      <c r="E349" s="37"/>
      <c r="F349" s="38"/>
      <c r="G349" s="37"/>
      <c r="H349" s="37"/>
      <c r="I349" s="37"/>
      <c r="J349" s="41"/>
      <c r="K349" s="26">
        <f>IF(OR($E349&lt;&gt;"CS",$H349&lt;&gt;"x"),0,INDEX($Y$4:$Y$14,MATCH($G349,$X$4:$X359,0),1))*J349*1.1</f>
        <v>0</v>
      </c>
      <c r="L349" s="26">
        <f t="shared" si="38"/>
        <v>0</v>
      </c>
      <c r="M349" s="26">
        <f>IF($I349&lt;&gt;"x",0,INDEX($Y$27:$Y$37,MATCH($G349,$X$27:$X382,0),1))*J349*1.1</f>
        <v>0</v>
      </c>
      <c r="N349" s="20">
        <f t="shared" si="39"/>
        <v>0</v>
      </c>
      <c r="O349" s="20">
        <f t="shared" si="40"/>
        <v>0</v>
      </c>
      <c r="P349" s="20">
        <f>IF(OR($E349&lt;&gt;"CS",$H349&lt;&gt;"x"),0,INDEX($Z$4:$Z$14,MATCH($G349,$X$4:$X359,0),1))*J349*1.1</f>
        <v>0</v>
      </c>
      <c r="Q349" s="26">
        <f>IF($I349&lt;&gt;"x",0,INDEX($Z$27:$Z$37,MATCH($G349,$X$27:$X382,0),1))*J349*1.1</f>
        <v>0</v>
      </c>
      <c r="R349" s="20">
        <f t="shared" si="41"/>
        <v>0</v>
      </c>
      <c r="S349" s="86">
        <f t="shared" si="42"/>
        <v>0</v>
      </c>
    </row>
    <row r="350" spans="2:19">
      <c r="B350" s="14">
        <f t="shared" si="43"/>
        <v>347</v>
      </c>
      <c r="C350" s="37"/>
      <c r="D350" s="39"/>
      <c r="E350" s="37"/>
      <c r="F350" s="38"/>
      <c r="G350" s="37"/>
      <c r="H350" s="37"/>
      <c r="I350" s="37"/>
      <c r="J350" s="41"/>
      <c r="K350" s="26">
        <f>IF(OR($E350&lt;&gt;"CS",$H350&lt;&gt;"x"),0,INDEX($Y$4:$Y$14,MATCH($G350,$X$4:$X360,0),1))*J350*1.1</f>
        <v>0</v>
      </c>
      <c r="L350" s="26">
        <f t="shared" si="38"/>
        <v>0</v>
      </c>
      <c r="M350" s="26">
        <f>IF($I350&lt;&gt;"x",0,INDEX($Y$27:$Y$37,MATCH($G350,$X$27:$X383,0),1))*J350*1.1</f>
        <v>0</v>
      </c>
      <c r="N350" s="20">
        <f t="shared" si="39"/>
        <v>0</v>
      </c>
      <c r="O350" s="20">
        <f t="shared" si="40"/>
        <v>0</v>
      </c>
      <c r="P350" s="20">
        <f>IF(OR($E350&lt;&gt;"CS",$H350&lt;&gt;"x"),0,INDEX($Z$4:$Z$14,MATCH($G350,$X$4:$X360,0),1))*J350*1.1</f>
        <v>0</v>
      </c>
      <c r="Q350" s="26">
        <f>IF($I350&lt;&gt;"x",0,INDEX($Z$27:$Z$37,MATCH($G350,$X$27:$X383,0),1))*J350*1.1</f>
        <v>0</v>
      </c>
      <c r="R350" s="20">
        <f t="shared" si="41"/>
        <v>0</v>
      </c>
      <c r="S350" s="86">
        <f t="shared" si="42"/>
        <v>0</v>
      </c>
    </row>
    <row r="351" spans="2:19">
      <c r="B351" s="14">
        <f t="shared" si="43"/>
        <v>348</v>
      </c>
      <c r="C351" s="37"/>
      <c r="D351" s="39"/>
      <c r="E351" s="37"/>
      <c r="F351" s="38"/>
      <c r="G351" s="37"/>
      <c r="H351" s="37"/>
      <c r="I351" s="37"/>
      <c r="J351" s="41"/>
      <c r="K351" s="26">
        <f>IF(OR($E351&lt;&gt;"CS",$H351&lt;&gt;"x"),0,INDEX($Y$4:$Y$14,MATCH($G351,$X$4:$X361,0),1))*J351*1.1</f>
        <v>0</v>
      </c>
      <c r="L351" s="26">
        <f t="shared" si="38"/>
        <v>0</v>
      </c>
      <c r="M351" s="26">
        <f>IF($I351&lt;&gt;"x",0,INDEX($Y$27:$Y$37,MATCH($G351,$X$27:$X384,0),1))*J351*1.1</f>
        <v>0</v>
      </c>
      <c r="N351" s="20">
        <f t="shared" si="39"/>
        <v>0</v>
      </c>
      <c r="O351" s="20">
        <f t="shared" si="40"/>
        <v>0</v>
      </c>
      <c r="P351" s="20">
        <f>IF(OR($E351&lt;&gt;"CS",$H351&lt;&gt;"x"),0,INDEX($Z$4:$Z$14,MATCH($G351,$X$4:$X361,0),1))*J351*1.1</f>
        <v>0</v>
      </c>
      <c r="Q351" s="26">
        <f>IF($I351&lt;&gt;"x",0,INDEX($Z$27:$Z$37,MATCH($G351,$X$27:$X384,0),1))*J351*1.1</f>
        <v>0</v>
      </c>
      <c r="R351" s="20">
        <f t="shared" si="41"/>
        <v>0</v>
      </c>
      <c r="S351" s="86">
        <f t="shared" si="42"/>
        <v>0</v>
      </c>
    </row>
    <row r="352" spans="2:19">
      <c r="B352" s="14">
        <f t="shared" si="43"/>
        <v>349</v>
      </c>
      <c r="C352" s="37"/>
      <c r="D352" s="39"/>
      <c r="E352" s="37"/>
      <c r="F352" s="38"/>
      <c r="G352" s="37"/>
      <c r="H352" s="37"/>
      <c r="I352" s="37"/>
      <c r="J352" s="41"/>
      <c r="K352" s="26">
        <f>IF(OR($E352&lt;&gt;"CS",$H352&lt;&gt;"x"),0,INDEX($Y$4:$Y$14,MATCH($G352,$X$4:$X362,0),1))*J352*1.1</f>
        <v>0</v>
      </c>
      <c r="L352" s="26">
        <f t="shared" si="38"/>
        <v>0</v>
      </c>
      <c r="M352" s="26">
        <f>IF($I352&lt;&gt;"x",0,INDEX($Y$27:$Y$37,MATCH($G352,$X$27:$X385,0),1))*J352*1.1</f>
        <v>0</v>
      </c>
      <c r="N352" s="20">
        <f t="shared" si="39"/>
        <v>0</v>
      </c>
      <c r="O352" s="20">
        <f t="shared" si="40"/>
        <v>0</v>
      </c>
      <c r="P352" s="20">
        <f>IF(OR($E352&lt;&gt;"CS",$H352&lt;&gt;"x"),0,INDEX($Z$4:$Z$14,MATCH($G352,$X$4:$X362,0),1))*J352*1.1</f>
        <v>0</v>
      </c>
      <c r="Q352" s="26">
        <f>IF($I352&lt;&gt;"x",0,INDEX($Z$27:$Z$37,MATCH($G352,$X$27:$X385,0),1))*J352*1.1</f>
        <v>0</v>
      </c>
      <c r="R352" s="20">
        <f t="shared" si="41"/>
        <v>0</v>
      </c>
      <c r="S352" s="86">
        <f t="shared" si="42"/>
        <v>0</v>
      </c>
    </row>
    <row r="353" spans="2:19">
      <c r="B353" s="14">
        <f t="shared" si="43"/>
        <v>350</v>
      </c>
      <c r="C353" s="37"/>
      <c r="D353" s="39"/>
      <c r="E353" s="37"/>
      <c r="F353" s="38"/>
      <c r="G353" s="37"/>
      <c r="H353" s="37"/>
      <c r="I353" s="37"/>
      <c r="J353" s="41"/>
      <c r="K353" s="26">
        <f>IF(OR($E353&lt;&gt;"CS",$H353&lt;&gt;"x"),0,INDEX($Y$4:$Y$14,MATCH($G353,$X$4:$X363,0),1))*J353*1.1</f>
        <v>0</v>
      </c>
      <c r="L353" s="26">
        <f t="shared" si="38"/>
        <v>0</v>
      </c>
      <c r="M353" s="26">
        <f>IF($I353&lt;&gt;"x",0,INDEX($Y$27:$Y$37,MATCH($G353,$X$27:$X386,0),1))*J353*1.1</f>
        <v>0</v>
      </c>
      <c r="N353" s="20">
        <f t="shared" si="39"/>
        <v>0</v>
      </c>
      <c r="O353" s="20">
        <f t="shared" si="40"/>
        <v>0</v>
      </c>
      <c r="P353" s="20">
        <f>IF(OR($E353&lt;&gt;"CS",$H353&lt;&gt;"x"),0,INDEX($Z$4:$Z$14,MATCH($G353,$X$4:$X363,0),1))*J353*1.1</f>
        <v>0</v>
      </c>
      <c r="Q353" s="26">
        <f>IF($I353&lt;&gt;"x",0,INDEX($Z$27:$Z$37,MATCH($G353,$X$27:$X386,0),1))*J353*1.1</f>
        <v>0</v>
      </c>
      <c r="R353" s="20">
        <f t="shared" si="41"/>
        <v>0</v>
      </c>
      <c r="S353" s="86">
        <f t="shared" si="42"/>
        <v>0</v>
      </c>
    </row>
    <row r="354" spans="2:19">
      <c r="B354" s="14">
        <f t="shared" si="43"/>
        <v>351</v>
      </c>
      <c r="C354" s="37"/>
      <c r="D354" s="39"/>
      <c r="E354" s="37"/>
      <c r="F354" s="38"/>
      <c r="G354" s="37"/>
      <c r="H354" s="37"/>
      <c r="I354" s="37"/>
      <c r="J354" s="41"/>
      <c r="K354" s="26">
        <f>IF(OR($E354&lt;&gt;"CS",$H354&lt;&gt;"x"),0,INDEX($Y$4:$Y$14,MATCH($G354,$X$4:$X364,0),1))*J354*1.1</f>
        <v>0</v>
      </c>
      <c r="L354" s="26">
        <f t="shared" si="38"/>
        <v>0</v>
      </c>
      <c r="M354" s="26">
        <f>IF($I354&lt;&gt;"x",0,INDEX($Y$27:$Y$37,MATCH($G354,$X$27:$X387,0),1))*J354*1.1</f>
        <v>0</v>
      </c>
      <c r="N354" s="20">
        <f t="shared" si="39"/>
        <v>0</v>
      </c>
      <c r="O354" s="20">
        <f t="shared" si="40"/>
        <v>0</v>
      </c>
      <c r="P354" s="20">
        <f>IF(OR($E354&lt;&gt;"CS",$H354&lt;&gt;"x"),0,INDEX($Z$4:$Z$14,MATCH($G354,$X$4:$X364,0),1))*J354*1.1</f>
        <v>0</v>
      </c>
      <c r="Q354" s="26">
        <f>IF($I354&lt;&gt;"x",0,INDEX($Z$27:$Z$37,MATCH($G354,$X$27:$X387,0),1))*J354*1.1</f>
        <v>0</v>
      </c>
      <c r="R354" s="20">
        <f t="shared" si="41"/>
        <v>0</v>
      </c>
      <c r="S354" s="86">
        <f t="shared" si="42"/>
        <v>0</v>
      </c>
    </row>
    <row r="355" spans="2:19">
      <c r="B355" s="14">
        <f t="shared" si="43"/>
        <v>352</v>
      </c>
      <c r="C355" s="37"/>
      <c r="D355" s="39"/>
      <c r="E355" s="37"/>
      <c r="F355" s="38"/>
      <c r="G355" s="37"/>
      <c r="H355" s="37"/>
      <c r="I355" s="37"/>
      <c r="J355" s="41"/>
      <c r="K355" s="26">
        <f>IF(OR($E355&lt;&gt;"CS",$H355&lt;&gt;"x"),0,INDEX($Y$4:$Y$14,MATCH($G355,$X$4:$X365,0),1))*J355*1.1</f>
        <v>0</v>
      </c>
      <c r="L355" s="26">
        <f t="shared" si="38"/>
        <v>0</v>
      </c>
      <c r="M355" s="26">
        <f>IF($I355&lt;&gt;"x",0,INDEX($Y$27:$Y$37,MATCH($G355,$X$27:$X388,0),1))*J355*1.1</f>
        <v>0</v>
      </c>
      <c r="N355" s="20">
        <f t="shared" si="39"/>
        <v>0</v>
      </c>
      <c r="O355" s="20">
        <f t="shared" si="40"/>
        <v>0</v>
      </c>
      <c r="P355" s="20">
        <f>IF(OR($E355&lt;&gt;"CS",$H355&lt;&gt;"x"),0,INDEX($Z$4:$Z$14,MATCH($G355,$X$4:$X365,0),1))*J355*1.1</f>
        <v>0</v>
      </c>
      <c r="Q355" s="26">
        <f>IF($I355&lt;&gt;"x",0,INDEX($Z$27:$Z$37,MATCH($G355,$X$27:$X388,0),1))*J355*1.1</f>
        <v>0</v>
      </c>
      <c r="R355" s="20">
        <f t="shared" si="41"/>
        <v>0</v>
      </c>
      <c r="S355" s="86">
        <f t="shared" si="42"/>
        <v>0</v>
      </c>
    </row>
    <row r="356" spans="2:19">
      <c r="B356" s="14">
        <f t="shared" si="43"/>
        <v>353</v>
      </c>
      <c r="C356" s="37"/>
      <c r="D356" s="39"/>
      <c r="E356" s="37"/>
      <c r="F356" s="38"/>
      <c r="G356" s="37"/>
      <c r="H356" s="37"/>
      <c r="I356" s="37"/>
      <c r="J356" s="41"/>
      <c r="K356" s="26">
        <f>IF(OR($E356&lt;&gt;"CS",$H356&lt;&gt;"x"),0,INDEX($Y$4:$Y$14,MATCH($G356,$X$4:$X366,0),1))*J356*1.1</f>
        <v>0</v>
      </c>
      <c r="L356" s="26">
        <f t="shared" si="38"/>
        <v>0</v>
      </c>
      <c r="M356" s="26">
        <f>IF($I356&lt;&gt;"x",0,INDEX($Y$27:$Y$37,MATCH($G356,$X$27:$X389,0),1))*J356*1.1</f>
        <v>0</v>
      </c>
      <c r="N356" s="20">
        <f t="shared" si="39"/>
        <v>0</v>
      </c>
      <c r="O356" s="20">
        <f t="shared" si="40"/>
        <v>0</v>
      </c>
      <c r="P356" s="20">
        <f>IF(OR($E356&lt;&gt;"CS",$H356&lt;&gt;"x"),0,INDEX($Z$4:$Z$14,MATCH($G356,$X$4:$X366,0),1))*J356*1.1</f>
        <v>0</v>
      </c>
      <c r="Q356" s="26">
        <f>IF($I356&lt;&gt;"x",0,INDEX($Z$27:$Z$37,MATCH($G356,$X$27:$X389,0),1))*J356*1.1</f>
        <v>0</v>
      </c>
      <c r="R356" s="20">
        <f t="shared" si="41"/>
        <v>0</v>
      </c>
      <c r="S356" s="86">
        <f t="shared" si="42"/>
        <v>0</v>
      </c>
    </row>
    <row r="357" spans="2:19">
      <c r="B357" s="14">
        <f t="shared" si="43"/>
        <v>354</v>
      </c>
      <c r="C357" s="37"/>
      <c r="D357" s="39"/>
      <c r="E357" s="37"/>
      <c r="F357" s="38"/>
      <c r="G357" s="37"/>
      <c r="H357" s="37"/>
      <c r="I357" s="37"/>
      <c r="J357" s="41"/>
      <c r="K357" s="26">
        <f>IF(OR($E357&lt;&gt;"CS",$H357&lt;&gt;"x"),0,INDEX($Y$4:$Y$14,MATCH($G357,$X$4:$X367,0),1))*J357*1.1</f>
        <v>0</v>
      </c>
      <c r="L357" s="26">
        <f t="shared" si="38"/>
        <v>0</v>
      </c>
      <c r="M357" s="26">
        <f>IF($I357&lt;&gt;"x",0,INDEX($Y$27:$Y$37,MATCH($G357,$X$27:$X390,0),1))*J357*1.1</f>
        <v>0</v>
      </c>
      <c r="N357" s="20">
        <f t="shared" si="39"/>
        <v>0</v>
      </c>
      <c r="O357" s="20">
        <f t="shared" si="40"/>
        <v>0</v>
      </c>
      <c r="P357" s="20">
        <f>IF(OR($E357&lt;&gt;"CS",$H357&lt;&gt;"x"),0,INDEX($Z$4:$Z$14,MATCH($G357,$X$4:$X367,0),1))*J357*1.1</f>
        <v>0</v>
      </c>
      <c r="Q357" s="26">
        <f>IF($I357&lt;&gt;"x",0,INDEX($Z$27:$Z$37,MATCH($G357,$X$27:$X390,0),1))*J357*1.1</f>
        <v>0</v>
      </c>
      <c r="R357" s="20">
        <f t="shared" si="41"/>
        <v>0</v>
      </c>
      <c r="S357" s="86">
        <f t="shared" si="42"/>
        <v>0</v>
      </c>
    </row>
    <row r="358" spans="2:19">
      <c r="B358" s="14">
        <f t="shared" si="43"/>
        <v>355</v>
      </c>
      <c r="C358" s="37"/>
      <c r="D358" s="39"/>
      <c r="E358" s="37"/>
      <c r="F358" s="38"/>
      <c r="G358" s="37"/>
      <c r="H358" s="37"/>
      <c r="I358" s="37"/>
      <c r="J358" s="41"/>
      <c r="K358" s="26">
        <f>IF(OR($E358&lt;&gt;"CS",$H358&lt;&gt;"x"),0,INDEX($Y$4:$Y$14,MATCH($G358,$X$4:$X368,0),1))*J358*1.1</f>
        <v>0</v>
      </c>
      <c r="L358" s="26">
        <f t="shared" si="38"/>
        <v>0</v>
      </c>
      <c r="M358" s="26">
        <f>IF($I358&lt;&gt;"x",0,INDEX($Y$27:$Y$37,MATCH($G358,$X$27:$X391,0),1))*J358*1.1</f>
        <v>0</v>
      </c>
      <c r="N358" s="20">
        <f t="shared" si="39"/>
        <v>0</v>
      </c>
      <c r="O358" s="20">
        <f t="shared" si="40"/>
        <v>0</v>
      </c>
      <c r="P358" s="20">
        <f>IF(OR($E358&lt;&gt;"CS",$H358&lt;&gt;"x"),0,INDEX($Z$4:$Z$14,MATCH($G358,$X$4:$X368,0),1))*J358*1.1</f>
        <v>0</v>
      </c>
      <c r="Q358" s="26">
        <f>IF($I358&lt;&gt;"x",0,INDEX($Z$27:$Z$37,MATCH($G358,$X$27:$X391,0),1))*J358*1.1</f>
        <v>0</v>
      </c>
      <c r="R358" s="20">
        <f t="shared" si="41"/>
        <v>0</v>
      </c>
      <c r="S358" s="86">
        <f t="shared" si="42"/>
        <v>0</v>
      </c>
    </row>
    <row r="359" spans="2:19">
      <c r="B359" s="14">
        <f t="shared" si="43"/>
        <v>356</v>
      </c>
      <c r="C359" s="37"/>
      <c r="D359" s="39"/>
      <c r="E359" s="37"/>
      <c r="F359" s="38"/>
      <c r="G359" s="37"/>
      <c r="H359" s="37"/>
      <c r="I359" s="37"/>
      <c r="J359" s="41"/>
      <c r="K359" s="26">
        <f>IF(OR($E359&lt;&gt;"CS",$H359&lt;&gt;"x"),0,INDEX($Y$4:$Y$14,MATCH($G359,$X$4:$X369,0),1))*J359*1.1</f>
        <v>0</v>
      </c>
      <c r="L359" s="26">
        <f t="shared" si="38"/>
        <v>0</v>
      </c>
      <c r="M359" s="26">
        <f>IF($I359&lt;&gt;"x",0,INDEX($Y$27:$Y$37,MATCH($G359,$X$27:$X392,0),1))*J359*1.1</f>
        <v>0</v>
      </c>
      <c r="N359" s="20">
        <f t="shared" si="39"/>
        <v>0</v>
      </c>
      <c r="O359" s="20">
        <f t="shared" si="40"/>
        <v>0</v>
      </c>
      <c r="P359" s="20">
        <f>IF(OR($E359&lt;&gt;"CS",$H359&lt;&gt;"x"),0,INDEX($Z$4:$Z$14,MATCH($G359,$X$4:$X369,0),1))*J359*1.1</f>
        <v>0</v>
      </c>
      <c r="Q359" s="26">
        <f>IF($I359&lt;&gt;"x",0,INDEX($Z$27:$Z$37,MATCH($G359,$X$27:$X392,0),1))*J359*1.1</f>
        <v>0</v>
      </c>
      <c r="R359" s="20">
        <f t="shared" si="41"/>
        <v>0</v>
      </c>
      <c r="S359" s="86">
        <f t="shared" si="42"/>
        <v>0</v>
      </c>
    </row>
    <row r="360" spans="2:19">
      <c r="B360" s="14">
        <f t="shared" si="43"/>
        <v>357</v>
      </c>
      <c r="C360" s="37"/>
      <c r="D360" s="39"/>
      <c r="E360" s="37"/>
      <c r="F360" s="38"/>
      <c r="G360" s="37"/>
      <c r="H360" s="37"/>
      <c r="I360" s="37"/>
      <c r="J360" s="41"/>
      <c r="K360" s="26">
        <f>IF(OR($E360&lt;&gt;"CS",$H360&lt;&gt;"x"),0,INDEX($Y$4:$Y$14,MATCH($G360,$X$4:$X370,0),1))*J360*1.1</f>
        <v>0</v>
      </c>
      <c r="L360" s="26">
        <f t="shared" si="38"/>
        <v>0</v>
      </c>
      <c r="M360" s="26">
        <f>IF($I360&lt;&gt;"x",0,INDEX($Y$27:$Y$37,MATCH($G360,$X$27:$X393,0),1))*J360*1.1</f>
        <v>0</v>
      </c>
      <c r="N360" s="20">
        <f t="shared" si="39"/>
        <v>0</v>
      </c>
      <c r="O360" s="20">
        <f t="shared" si="40"/>
        <v>0</v>
      </c>
      <c r="P360" s="20">
        <f>IF(OR($E360&lt;&gt;"CS",$H360&lt;&gt;"x"),0,INDEX($Z$4:$Z$14,MATCH($G360,$X$4:$X370,0),1))*J360*1.1</f>
        <v>0</v>
      </c>
      <c r="Q360" s="26">
        <f>IF($I360&lt;&gt;"x",0,INDEX($Z$27:$Z$37,MATCH($G360,$X$27:$X393,0),1))*J360*1.1</f>
        <v>0</v>
      </c>
      <c r="R360" s="20">
        <f t="shared" si="41"/>
        <v>0</v>
      </c>
      <c r="S360" s="86">
        <f t="shared" si="42"/>
        <v>0</v>
      </c>
    </row>
    <row r="361" spans="2:19">
      <c r="B361" s="14">
        <f t="shared" si="43"/>
        <v>358</v>
      </c>
      <c r="C361" s="37"/>
      <c r="D361" s="39"/>
      <c r="E361" s="37"/>
      <c r="F361" s="38"/>
      <c r="G361" s="37"/>
      <c r="H361" s="37"/>
      <c r="I361" s="37"/>
      <c r="J361" s="41"/>
      <c r="K361" s="26">
        <f>IF(OR($E361&lt;&gt;"CS",$H361&lt;&gt;"x"),0,INDEX($Y$4:$Y$14,MATCH($G361,$X$4:$X371,0),1))*J361*1.1</f>
        <v>0</v>
      </c>
      <c r="L361" s="26">
        <f t="shared" si="38"/>
        <v>0</v>
      </c>
      <c r="M361" s="26">
        <f>IF($I361&lt;&gt;"x",0,INDEX($Y$27:$Y$37,MATCH($G361,$X$27:$X394,0),1))*J361*1.1</f>
        <v>0</v>
      </c>
      <c r="N361" s="20">
        <f t="shared" si="39"/>
        <v>0</v>
      </c>
      <c r="O361" s="20">
        <f t="shared" si="40"/>
        <v>0</v>
      </c>
      <c r="P361" s="20">
        <f>IF(OR($E361&lt;&gt;"CS",$H361&lt;&gt;"x"),0,INDEX($Z$4:$Z$14,MATCH($G361,$X$4:$X371,0),1))*J361*1.1</f>
        <v>0</v>
      </c>
      <c r="Q361" s="26">
        <f>IF($I361&lt;&gt;"x",0,INDEX($Z$27:$Z$37,MATCH($G361,$X$27:$X394,0),1))*J361*1.1</f>
        <v>0</v>
      </c>
      <c r="R361" s="20">
        <f t="shared" si="41"/>
        <v>0</v>
      </c>
      <c r="S361" s="86">
        <f t="shared" si="42"/>
        <v>0</v>
      </c>
    </row>
    <row r="362" spans="2:19">
      <c r="B362" s="14">
        <f t="shared" si="43"/>
        <v>359</v>
      </c>
      <c r="C362" s="37"/>
      <c r="D362" s="39"/>
      <c r="E362" s="37"/>
      <c r="F362" s="38"/>
      <c r="G362" s="37"/>
      <c r="H362" s="37"/>
      <c r="I362" s="37"/>
      <c r="J362" s="41"/>
      <c r="K362" s="26">
        <f>IF(OR($E362&lt;&gt;"CS",$H362&lt;&gt;"x"),0,INDEX($Y$4:$Y$14,MATCH($G362,$X$4:$X372,0),1))*J362*1.1</f>
        <v>0</v>
      </c>
      <c r="L362" s="26">
        <f t="shared" si="38"/>
        <v>0</v>
      </c>
      <c r="M362" s="26">
        <f>IF($I362&lt;&gt;"x",0,INDEX($Y$27:$Y$37,MATCH($G362,$X$27:$X395,0),1))*J362*1.1</f>
        <v>0</v>
      </c>
      <c r="N362" s="20">
        <f t="shared" si="39"/>
        <v>0</v>
      </c>
      <c r="O362" s="20">
        <f t="shared" si="40"/>
        <v>0</v>
      </c>
      <c r="P362" s="20">
        <f>IF(OR($E362&lt;&gt;"CS",$H362&lt;&gt;"x"),0,INDEX($Z$4:$Z$14,MATCH($G362,$X$4:$X372,0),1))*J362*1.1</f>
        <v>0</v>
      </c>
      <c r="Q362" s="26">
        <f>IF($I362&lt;&gt;"x",0,INDEX($Z$27:$Z$37,MATCH($G362,$X$27:$X395,0),1))*J362*1.1</f>
        <v>0</v>
      </c>
      <c r="R362" s="20">
        <f t="shared" si="41"/>
        <v>0</v>
      </c>
      <c r="S362" s="86">
        <f t="shared" si="42"/>
        <v>0</v>
      </c>
    </row>
    <row r="363" spans="2:19">
      <c r="B363" s="14">
        <f t="shared" si="43"/>
        <v>360</v>
      </c>
      <c r="C363" s="37"/>
      <c r="D363" s="39"/>
      <c r="E363" s="37"/>
      <c r="F363" s="38"/>
      <c r="G363" s="37"/>
      <c r="H363" s="37"/>
      <c r="I363" s="37"/>
      <c r="J363" s="41"/>
      <c r="K363" s="26">
        <f>IF(OR($E363&lt;&gt;"CS",$H363&lt;&gt;"x"),0,INDEX($Y$4:$Y$14,MATCH($G363,$X$4:$X373,0),1))*J363*1.1</f>
        <v>0</v>
      </c>
      <c r="L363" s="26">
        <f t="shared" si="38"/>
        <v>0</v>
      </c>
      <c r="M363" s="26">
        <f>IF($I363&lt;&gt;"x",0,INDEX($Y$27:$Y$37,MATCH($G363,$X$27:$X396,0),1))*J363*1.1</f>
        <v>0</v>
      </c>
      <c r="N363" s="20">
        <f t="shared" si="39"/>
        <v>0</v>
      </c>
      <c r="O363" s="20">
        <f t="shared" si="40"/>
        <v>0</v>
      </c>
      <c r="P363" s="20">
        <f>IF(OR($E363&lt;&gt;"CS",$H363&lt;&gt;"x"),0,INDEX($Z$4:$Z$14,MATCH($G363,$X$4:$X373,0),1))*J363*1.1</f>
        <v>0</v>
      </c>
      <c r="Q363" s="26">
        <f>IF($I363&lt;&gt;"x",0,INDEX($Z$27:$Z$37,MATCH($G363,$X$27:$X396,0),1))*J363*1.1</f>
        <v>0</v>
      </c>
      <c r="R363" s="20">
        <f t="shared" si="41"/>
        <v>0</v>
      </c>
      <c r="S363" s="86">
        <f t="shared" si="42"/>
        <v>0</v>
      </c>
    </row>
    <row r="364" spans="2:19">
      <c r="B364" s="14">
        <f t="shared" si="43"/>
        <v>361</v>
      </c>
      <c r="C364" s="37"/>
      <c r="D364" s="39"/>
      <c r="E364" s="37"/>
      <c r="F364" s="38"/>
      <c r="G364" s="37"/>
      <c r="H364" s="37"/>
      <c r="I364" s="37"/>
      <c r="J364" s="41"/>
      <c r="K364" s="26">
        <f>IF(OR($E364&lt;&gt;"CS",$H364&lt;&gt;"x"),0,INDEX($Y$4:$Y$14,MATCH($G364,$X$4:$X374,0),1))*J364*1.1</f>
        <v>0</v>
      </c>
      <c r="L364" s="26">
        <f t="shared" si="38"/>
        <v>0</v>
      </c>
      <c r="M364" s="26">
        <f>IF($I364&lt;&gt;"x",0,INDEX($Y$27:$Y$37,MATCH($G364,$X$27:$X397,0),1))*J364*1.1</f>
        <v>0</v>
      </c>
      <c r="N364" s="20">
        <f t="shared" si="39"/>
        <v>0</v>
      </c>
      <c r="O364" s="20">
        <f t="shared" si="40"/>
        <v>0</v>
      </c>
      <c r="P364" s="20">
        <f>IF(OR($E364&lt;&gt;"CS",$H364&lt;&gt;"x"),0,INDEX($Z$4:$Z$14,MATCH($G364,$X$4:$X374,0),1))*J364*1.1</f>
        <v>0</v>
      </c>
      <c r="Q364" s="26">
        <f>IF($I364&lt;&gt;"x",0,INDEX($Z$27:$Z$37,MATCH($G364,$X$27:$X397,0),1))*J364*1.1</f>
        <v>0</v>
      </c>
      <c r="R364" s="20">
        <f t="shared" si="41"/>
        <v>0</v>
      </c>
      <c r="S364" s="86">
        <f t="shared" si="42"/>
        <v>0</v>
      </c>
    </row>
    <row r="365" spans="2:19">
      <c r="B365" s="14">
        <f t="shared" si="43"/>
        <v>362</v>
      </c>
      <c r="C365" s="37"/>
      <c r="D365" s="39"/>
      <c r="E365" s="37"/>
      <c r="F365" s="38"/>
      <c r="G365" s="37"/>
      <c r="H365" s="37"/>
      <c r="I365" s="37"/>
      <c r="J365" s="41"/>
      <c r="K365" s="26">
        <f>IF(OR($E365&lt;&gt;"CS",$H365&lt;&gt;"x"),0,INDEX($Y$4:$Y$14,MATCH($G365,$X$4:$X375,0),1))*J365*1.1</f>
        <v>0</v>
      </c>
      <c r="L365" s="26">
        <f t="shared" si="38"/>
        <v>0</v>
      </c>
      <c r="M365" s="26">
        <f>IF($I365&lt;&gt;"x",0,INDEX($Y$27:$Y$37,MATCH($G365,$X$27:$X398,0),1))*J365*1.1</f>
        <v>0</v>
      </c>
      <c r="N365" s="20">
        <f t="shared" si="39"/>
        <v>0</v>
      </c>
      <c r="O365" s="20">
        <f t="shared" si="40"/>
        <v>0</v>
      </c>
      <c r="P365" s="20">
        <f>IF(OR($E365&lt;&gt;"CS",$H365&lt;&gt;"x"),0,INDEX($Z$4:$Z$14,MATCH($G365,$X$4:$X375,0),1))*J365*1.1</f>
        <v>0</v>
      </c>
      <c r="Q365" s="26">
        <f>IF($I365&lt;&gt;"x",0,INDEX($Z$27:$Z$37,MATCH($G365,$X$27:$X398,0),1))*J365*1.1</f>
        <v>0</v>
      </c>
      <c r="R365" s="20">
        <f t="shared" si="41"/>
        <v>0</v>
      </c>
      <c r="S365" s="86">
        <f t="shared" si="42"/>
        <v>0</v>
      </c>
    </row>
    <row r="366" spans="2:19">
      <c r="B366" s="14">
        <f t="shared" si="43"/>
        <v>363</v>
      </c>
      <c r="C366" s="37"/>
      <c r="D366" s="39"/>
      <c r="E366" s="37"/>
      <c r="F366" s="38"/>
      <c r="G366" s="37"/>
      <c r="H366" s="37"/>
      <c r="I366" s="37"/>
      <c r="J366" s="41"/>
      <c r="K366" s="26">
        <f>IF(OR($E366&lt;&gt;"CS",$H366&lt;&gt;"x"),0,INDEX($Y$4:$Y$14,MATCH($G366,$X$4:$X376,0),1))*J366*1.1</f>
        <v>0</v>
      </c>
      <c r="L366" s="26">
        <f t="shared" si="38"/>
        <v>0</v>
      </c>
      <c r="M366" s="26">
        <f>IF($I366&lt;&gt;"x",0,INDEX($Y$27:$Y$37,MATCH($G366,$X$27:$X399,0),1))*J366*1.1</f>
        <v>0</v>
      </c>
      <c r="N366" s="20">
        <f t="shared" si="39"/>
        <v>0</v>
      </c>
      <c r="O366" s="20">
        <f t="shared" si="40"/>
        <v>0</v>
      </c>
      <c r="P366" s="20">
        <f>IF(OR($E366&lt;&gt;"CS",$H366&lt;&gt;"x"),0,INDEX($Z$4:$Z$14,MATCH($G366,$X$4:$X376,0),1))*J366*1.1</f>
        <v>0</v>
      </c>
      <c r="Q366" s="26">
        <f>IF($I366&lt;&gt;"x",0,INDEX($Z$27:$Z$37,MATCH($G366,$X$27:$X399,0),1))*J366*1.1</f>
        <v>0</v>
      </c>
      <c r="R366" s="20">
        <f t="shared" si="41"/>
        <v>0</v>
      </c>
      <c r="S366" s="86">
        <f t="shared" si="42"/>
        <v>0</v>
      </c>
    </row>
    <row r="367" spans="2:19">
      <c r="B367" s="14">
        <f t="shared" si="43"/>
        <v>364</v>
      </c>
      <c r="C367" s="37"/>
      <c r="D367" s="39"/>
      <c r="E367" s="37"/>
      <c r="F367" s="38"/>
      <c r="G367" s="37"/>
      <c r="H367" s="37"/>
      <c r="I367" s="37"/>
      <c r="J367" s="41"/>
      <c r="K367" s="26">
        <f>IF(OR($E367&lt;&gt;"CS",$H367&lt;&gt;"x"),0,INDEX($Y$4:$Y$14,MATCH($G367,$X$4:$X377,0),1))*J367*1.1</f>
        <v>0</v>
      </c>
      <c r="L367" s="26">
        <f t="shared" si="38"/>
        <v>0</v>
      </c>
      <c r="M367" s="26">
        <f>IF($I367&lt;&gt;"x",0,INDEX($Y$27:$Y$37,MATCH($G367,$X$27:$X400,0),1))*J367*1.1</f>
        <v>0</v>
      </c>
      <c r="N367" s="20">
        <f t="shared" si="39"/>
        <v>0</v>
      </c>
      <c r="O367" s="20">
        <f t="shared" si="40"/>
        <v>0</v>
      </c>
      <c r="P367" s="20">
        <f>IF(OR($E367&lt;&gt;"CS",$H367&lt;&gt;"x"),0,INDEX($Z$4:$Z$14,MATCH($G367,$X$4:$X377,0),1))*J367*1.1</f>
        <v>0</v>
      </c>
      <c r="Q367" s="26">
        <f>IF($I367&lt;&gt;"x",0,INDEX($Z$27:$Z$37,MATCH($G367,$X$27:$X400,0),1))*J367*1.1</f>
        <v>0</v>
      </c>
      <c r="R367" s="20">
        <f t="shared" si="41"/>
        <v>0</v>
      </c>
      <c r="S367" s="86">
        <f t="shared" si="42"/>
        <v>0</v>
      </c>
    </row>
    <row r="368" spans="2:19">
      <c r="B368" s="14">
        <f t="shared" si="43"/>
        <v>365</v>
      </c>
      <c r="C368" s="37"/>
      <c r="D368" s="39"/>
      <c r="E368" s="37"/>
      <c r="F368" s="38"/>
      <c r="G368" s="37"/>
      <c r="H368" s="37"/>
      <c r="I368" s="37"/>
      <c r="J368" s="41"/>
      <c r="K368" s="26">
        <f>IF(OR($E368&lt;&gt;"CS",$H368&lt;&gt;"x"),0,INDEX($Y$4:$Y$14,MATCH($G368,$X$4:$X378,0),1))*J368*1.1</f>
        <v>0</v>
      </c>
      <c r="L368" s="26">
        <f t="shared" si="38"/>
        <v>0</v>
      </c>
      <c r="M368" s="26">
        <f>IF($I368&lt;&gt;"x",0,INDEX($Y$27:$Y$37,MATCH($G368,$X$27:$X401,0),1))*J368*1.1</f>
        <v>0</v>
      </c>
      <c r="N368" s="20">
        <f t="shared" si="39"/>
        <v>0</v>
      </c>
      <c r="O368" s="20">
        <f t="shared" si="40"/>
        <v>0</v>
      </c>
      <c r="P368" s="20">
        <f>IF(OR($E368&lt;&gt;"CS",$H368&lt;&gt;"x"),0,INDEX($Z$4:$Z$14,MATCH($G368,$X$4:$X378,0),1))*J368*1.1</f>
        <v>0</v>
      </c>
      <c r="Q368" s="26">
        <f>IF($I368&lt;&gt;"x",0,INDEX($Z$27:$Z$37,MATCH($G368,$X$27:$X401,0),1))*J368*1.1</f>
        <v>0</v>
      </c>
      <c r="R368" s="20">
        <f t="shared" si="41"/>
        <v>0</v>
      </c>
      <c r="S368" s="86">
        <f t="shared" si="42"/>
        <v>0</v>
      </c>
    </row>
    <row r="369" spans="2:19">
      <c r="B369" s="14">
        <f t="shared" si="43"/>
        <v>366</v>
      </c>
      <c r="C369" s="37"/>
      <c r="D369" s="39"/>
      <c r="E369" s="37"/>
      <c r="F369" s="38"/>
      <c r="G369" s="37"/>
      <c r="H369" s="37"/>
      <c r="I369" s="37"/>
      <c r="J369" s="41"/>
      <c r="K369" s="26">
        <f>IF(OR($E369&lt;&gt;"CS",$H369&lt;&gt;"x"),0,INDEX($Y$4:$Y$14,MATCH($G369,$X$4:$X379,0),1))*J369*1.1</f>
        <v>0</v>
      </c>
      <c r="L369" s="26">
        <f t="shared" si="38"/>
        <v>0</v>
      </c>
      <c r="M369" s="26">
        <f>IF($I369&lt;&gt;"x",0,INDEX($Y$27:$Y$37,MATCH($G369,$X$27:$X402,0),1))*J369*1.1</f>
        <v>0</v>
      </c>
      <c r="N369" s="20">
        <f t="shared" si="39"/>
        <v>0</v>
      </c>
      <c r="O369" s="20">
        <f t="shared" si="40"/>
        <v>0</v>
      </c>
      <c r="P369" s="20">
        <f>IF(OR($E369&lt;&gt;"CS",$H369&lt;&gt;"x"),0,INDEX($Z$4:$Z$14,MATCH($G369,$X$4:$X379,0),1))*J369*1.1</f>
        <v>0</v>
      </c>
      <c r="Q369" s="26">
        <f>IF($I369&lt;&gt;"x",0,INDEX($Z$27:$Z$37,MATCH($G369,$X$27:$X402,0),1))*J369*1.1</f>
        <v>0</v>
      </c>
      <c r="R369" s="20">
        <f t="shared" si="41"/>
        <v>0</v>
      </c>
      <c r="S369" s="86">
        <f t="shared" si="42"/>
        <v>0</v>
      </c>
    </row>
    <row r="370" spans="2:19">
      <c r="B370" s="14">
        <f t="shared" si="43"/>
        <v>367</v>
      </c>
      <c r="C370" s="37"/>
      <c r="D370" s="39"/>
      <c r="E370" s="37"/>
      <c r="F370" s="38"/>
      <c r="G370" s="37"/>
      <c r="H370" s="37"/>
      <c r="I370" s="37"/>
      <c r="J370" s="41"/>
      <c r="K370" s="26">
        <f>IF(OR($E370&lt;&gt;"CS",$H370&lt;&gt;"x"),0,INDEX($Y$4:$Y$14,MATCH($G370,$X$4:$X380,0),1))*J370*1.1</f>
        <v>0</v>
      </c>
      <c r="L370" s="26">
        <f t="shared" si="38"/>
        <v>0</v>
      </c>
      <c r="M370" s="26">
        <f>IF($I370&lt;&gt;"x",0,INDEX($Y$27:$Y$37,MATCH($G370,$X$27:$X403,0),1))*J370*1.1</f>
        <v>0</v>
      </c>
      <c r="N370" s="20">
        <f t="shared" si="39"/>
        <v>0</v>
      </c>
      <c r="O370" s="20">
        <f t="shared" si="40"/>
        <v>0</v>
      </c>
      <c r="P370" s="20">
        <f>IF(OR($E370&lt;&gt;"CS",$H370&lt;&gt;"x"),0,INDEX($Z$4:$Z$14,MATCH($G370,$X$4:$X380,0),1))*J370*1.1</f>
        <v>0</v>
      </c>
      <c r="Q370" s="26">
        <f>IF($I370&lt;&gt;"x",0,INDEX($Z$27:$Z$37,MATCH($G370,$X$27:$X403,0),1))*J370*1.1</f>
        <v>0</v>
      </c>
      <c r="R370" s="20">
        <f t="shared" si="41"/>
        <v>0</v>
      </c>
      <c r="S370" s="86">
        <f t="shared" si="42"/>
        <v>0</v>
      </c>
    </row>
    <row r="371" spans="2:19">
      <c r="B371" s="14">
        <f t="shared" si="43"/>
        <v>368</v>
      </c>
      <c r="C371" s="37"/>
      <c r="D371" s="39"/>
      <c r="E371" s="37"/>
      <c r="F371" s="38"/>
      <c r="G371" s="37"/>
      <c r="H371" s="37"/>
      <c r="I371" s="37"/>
      <c r="J371" s="41"/>
      <c r="K371" s="26">
        <f>IF(OR($E371&lt;&gt;"CS",$H371&lt;&gt;"x"),0,INDEX($Y$4:$Y$14,MATCH($G371,$X$4:$X381,0),1))*J371*1.1</f>
        <v>0</v>
      </c>
      <c r="L371" s="26">
        <f t="shared" si="38"/>
        <v>0</v>
      </c>
      <c r="M371" s="26">
        <f>IF($I371&lt;&gt;"x",0,INDEX($Y$27:$Y$37,MATCH($G371,$X$27:$X404,0),1))*J371*1.1</f>
        <v>0</v>
      </c>
      <c r="N371" s="20">
        <f t="shared" si="39"/>
        <v>0</v>
      </c>
      <c r="O371" s="20">
        <f t="shared" si="40"/>
        <v>0</v>
      </c>
      <c r="P371" s="20">
        <f>IF(OR($E371&lt;&gt;"CS",$H371&lt;&gt;"x"),0,INDEX($Z$4:$Z$14,MATCH($G371,$X$4:$X381,0),1))*J371*1.1</f>
        <v>0</v>
      </c>
      <c r="Q371" s="26">
        <f>IF($I371&lt;&gt;"x",0,INDEX($Z$27:$Z$37,MATCH($G371,$X$27:$X404,0),1))*J371*1.1</f>
        <v>0</v>
      </c>
      <c r="R371" s="20">
        <f t="shared" si="41"/>
        <v>0</v>
      </c>
      <c r="S371" s="86">
        <f t="shared" si="42"/>
        <v>0</v>
      </c>
    </row>
    <row r="372" spans="2:19">
      <c r="B372" s="14">
        <f t="shared" si="43"/>
        <v>369</v>
      </c>
      <c r="C372" s="37"/>
      <c r="D372" s="39"/>
      <c r="E372" s="37"/>
      <c r="F372" s="38"/>
      <c r="G372" s="37"/>
      <c r="H372" s="37"/>
      <c r="I372" s="37"/>
      <c r="J372" s="41"/>
      <c r="K372" s="26">
        <f>IF(OR($E372&lt;&gt;"CS",$H372&lt;&gt;"x"),0,INDEX($Y$4:$Y$14,MATCH($G372,$X$4:$X382,0),1))*J372*1.1</f>
        <v>0</v>
      </c>
      <c r="L372" s="26">
        <f t="shared" si="38"/>
        <v>0</v>
      </c>
      <c r="M372" s="26">
        <f>IF($I372&lt;&gt;"x",0,INDEX($Y$27:$Y$37,MATCH($G372,$X$27:$X405,0),1))*J372*1.1</f>
        <v>0</v>
      </c>
      <c r="N372" s="20">
        <f t="shared" si="39"/>
        <v>0</v>
      </c>
      <c r="O372" s="20">
        <f t="shared" si="40"/>
        <v>0</v>
      </c>
      <c r="P372" s="20">
        <f>IF(OR($E372&lt;&gt;"CS",$H372&lt;&gt;"x"),0,INDEX($Z$4:$Z$14,MATCH($G372,$X$4:$X382,0),1))*J372*1.1</f>
        <v>0</v>
      </c>
      <c r="Q372" s="26">
        <f>IF($I372&lt;&gt;"x",0,INDEX($Z$27:$Z$37,MATCH($G372,$X$27:$X405,0),1))*J372*1.1</f>
        <v>0</v>
      </c>
      <c r="R372" s="20">
        <f t="shared" si="41"/>
        <v>0</v>
      </c>
      <c r="S372" s="86">
        <f t="shared" si="42"/>
        <v>0</v>
      </c>
    </row>
    <row r="373" spans="2:19">
      <c r="B373" s="14">
        <f t="shared" si="43"/>
        <v>370</v>
      </c>
      <c r="C373" s="37"/>
      <c r="D373" s="39"/>
      <c r="E373" s="37"/>
      <c r="F373" s="38"/>
      <c r="G373" s="37"/>
      <c r="H373" s="37"/>
      <c r="I373" s="37"/>
      <c r="J373" s="41"/>
      <c r="K373" s="26">
        <f>IF(OR($E373&lt;&gt;"CS",$H373&lt;&gt;"x"),0,INDEX($Y$4:$Y$14,MATCH($G373,$X$4:$X383,0),1))*J373*1.1</f>
        <v>0</v>
      </c>
      <c r="L373" s="26">
        <f t="shared" si="38"/>
        <v>0</v>
      </c>
      <c r="M373" s="26">
        <f>IF($I373&lt;&gt;"x",0,INDEX($Y$27:$Y$37,MATCH($G373,$X$27:$X406,0),1))*J373*1.1</f>
        <v>0</v>
      </c>
      <c r="N373" s="20">
        <f t="shared" si="39"/>
        <v>0</v>
      </c>
      <c r="O373" s="20">
        <f t="shared" si="40"/>
        <v>0</v>
      </c>
      <c r="P373" s="20">
        <f>IF(OR($E373&lt;&gt;"CS",$H373&lt;&gt;"x"),0,INDEX($Z$4:$Z$14,MATCH($G373,$X$4:$X383,0),1))*J373*1.1</f>
        <v>0</v>
      </c>
      <c r="Q373" s="26">
        <f>IF($I373&lt;&gt;"x",0,INDEX($Z$27:$Z$37,MATCH($G373,$X$27:$X406,0),1))*J373*1.1</f>
        <v>0</v>
      </c>
      <c r="R373" s="20">
        <f t="shared" si="41"/>
        <v>0</v>
      </c>
      <c r="S373" s="86">
        <f t="shared" si="42"/>
        <v>0</v>
      </c>
    </row>
    <row r="374" spans="2:19">
      <c r="B374" s="14">
        <f t="shared" si="43"/>
        <v>371</v>
      </c>
      <c r="C374" s="37"/>
      <c r="D374" s="39"/>
      <c r="E374" s="37"/>
      <c r="F374" s="38"/>
      <c r="G374" s="37"/>
      <c r="H374" s="37"/>
      <c r="I374" s="37"/>
      <c r="J374" s="41"/>
      <c r="K374" s="26">
        <f>IF(OR($E374&lt;&gt;"CS",$H374&lt;&gt;"x"),0,INDEX($Y$4:$Y$14,MATCH($G374,$X$4:$X384,0),1))*J374*1.1</f>
        <v>0</v>
      </c>
      <c r="L374" s="26">
        <f t="shared" si="38"/>
        <v>0</v>
      </c>
      <c r="M374" s="26">
        <f>IF($I374&lt;&gt;"x",0,INDEX($Y$27:$Y$37,MATCH($G374,$X$27:$X407,0),1))*J374*1.1</f>
        <v>0</v>
      </c>
      <c r="N374" s="20">
        <f t="shared" si="39"/>
        <v>0</v>
      </c>
      <c r="O374" s="20">
        <f t="shared" si="40"/>
        <v>0</v>
      </c>
      <c r="P374" s="20">
        <f>IF(OR($E374&lt;&gt;"CS",$H374&lt;&gt;"x"),0,INDEX($Z$4:$Z$14,MATCH($G374,$X$4:$X384,0),1))*J374*1.1</f>
        <v>0</v>
      </c>
      <c r="Q374" s="26">
        <f>IF($I374&lt;&gt;"x",0,INDEX($Z$27:$Z$37,MATCH($G374,$X$27:$X407,0),1))*J374*1.1</f>
        <v>0</v>
      </c>
      <c r="R374" s="20">
        <f t="shared" si="41"/>
        <v>0</v>
      </c>
      <c r="S374" s="86">
        <f t="shared" si="42"/>
        <v>0</v>
      </c>
    </row>
    <row r="375" spans="2:19">
      <c r="B375" s="14">
        <f t="shared" si="43"/>
        <v>372</v>
      </c>
      <c r="C375" s="37"/>
      <c r="D375" s="39"/>
      <c r="E375" s="37"/>
      <c r="F375" s="38"/>
      <c r="G375" s="37"/>
      <c r="H375" s="37"/>
      <c r="I375" s="37"/>
      <c r="J375" s="41"/>
      <c r="K375" s="26">
        <f>IF(OR($E375&lt;&gt;"CS",$H375&lt;&gt;"x"),0,INDEX($Y$4:$Y$14,MATCH($G375,$X$4:$X385,0),1))*J375*1.1</f>
        <v>0</v>
      </c>
      <c r="L375" s="26">
        <f t="shared" si="38"/>
        <v>0</v>
      </c>
      <c r="M375" s="26">
        <f>IF($I375&lt;&gt;"x",0,INDEX($Y$27:$Y$37,MATCH($G375,$X$27:$X408,0),1))*J375*1.1</f>
        <v>0</v>
      </c>
      <c r="N375" s="20">
        <f t="shared" si="39"/>
        <v>0</v>
      </c>
      <c r="O375" s="20">
        <f t="shared" si="40"/>
        <v>0</v>
      </c>
      <c r="P375" s="20">
        <f>IF(OR($E375&lt;&gt;"CS",$H375&lt;&gt;"x"),0,INDEX($Z$4:$Z$14,MATCH($G375,$X$4:$X385,0),1))*J375*1.1</f>
        <v>0</v>
      </c>
      <c r="Q375" s="26">
        <f>IF($I375&lt;&gt;"x",0,INDEX($Z$27:$Z$37,MATCH($G375,$X$27:$X408,0),1))*J375*1.1</f>
        <v>0</v>
      </c>
      <c r="R375" s="20">
        <f t="shared" si="41"/>
        <v>0</v>
      </c>
      <c r="S375" s="86">
        <f t="shared" si="42"/>
        <v>0</v>
      </c>
    </row>
    <row r="376" spans="2:19">
      <c r="B376" s="14">
        <f t="shared" si="43"/>
        <v>373</v>
      </c>
      <c r="C376" s="37"/>
      <c r="D376" s="39"/>
      <c r="E376" s="37"/>
      <c r="F376" s="38"/>
      <c r="G376" s="37"/>
      <c r="H376" s="37"/>
      <c r="I376" s="37"/>
      <c r="J376" s="41"/>
      <c r="K376" s="26">
        <f>IF(OR($E376&lt;&gt;"CS",$H376&lt;&gt;"x"),0,INDEX($Y$4:$Y$14,MATCH($G376,$X$4:$X386,0),1))*J376*1.1</f>
        <v>0</v>
      </c>
      <c r="L376" s="26">
        <f t="shared" si="38"/>
        <v>0</v>
      </c>
      <c r="M376" s="26">
        <f>IF($I376&lt;&gt;"x",0,INDEX($Y$27:$Y$37,MATCH($G376,$X$27:$X409,0),1))*J376*1.1</f>
        <v>0</v>
      </c>
      <c r="N376" s="20">
        <f t="shared" si="39"/>
        <v>0</v>
      </c>
      <c r="O376" s="20">
        <f t="shared" si="40"/>
        <v>0</v>
      </c>
      <c r="P376" s="20">
        <f>IF(OR($E376&lt;&gt;"CS",$H376&lt;&gt;"x"),0,INDEX($Z$4:$Z$14,MATCH($G376,$X$4:$X386,0),1))*J376*1.1</f>
        <v>0</v>
      </c>
      <c r="Q376" s="26">
        <f>IF($I376&lt;&gt;"x",0,INDEX($Z$27:$Z$37,MATCH($G376,$X$27:$X409,0),1))*J376*1.1</f>
        <v>0</v>
      </c>
      <c r="R376" s="20">
        <f t="shared" si="41"/>
        <v>0</v>
      </c>
      <c r="S376" s="86">
        <f t="shared" si="42"/>
        <v>0</v>
      </c>
    </row>
    <row r="377" spans="2:19">
      <c r="B377" s="14">
        <f t="shared" si="43"/>
        <v>374</v>
      </c>
      <c r="C377" s="37"/>
      <c r="D377" s="39"/>
      <c r="E377" s="37"/>
      <c r="F377" s="38"/>
      <c r="G377" s="37"/>
      <c r="H377" s="37"/>
      <c r="I377" s="37"/>
      <c r="J377" s="41"/>
      <c r="K377" s="26">
        <f>IF(OR($E377&lt;&gt;"CS",$H377&lt;&gt;"x"),0,INDEX($Y$4:$Y$14,MATCH($G377,$X$4:$X387,0),1))*J377*1.1</f>
        <v>0</v>
      </c>
      <c r="L377" s="26">
        <f t="shared" si="38"/>
        <v>0</v>
      </c>
      <c r="M377" s="26">
        <f>IF($I377&lt;&gt;"x",0,INDEX($Y$27:$Y$37,MATCH($G377,$X$27:$X410,0),1))*J377*1.1</f>
        <v>0</v>
      </c>
      <c r="N377" s="20">
        <f t="shared" si="39"/>
        <v>0</v>
      </c>
      <c r="O377" s="20">
        <f t="shared" si="40"/>
        <v>0</v>
      </c>
      <c r="P377" s="20">
        <f>IF(OR($E377&lt;&gt;"CS",$H377&lt;&gt;"x"),0,INDEX($Z$4:$Z$14,MATCH($G377,$X$4:$X387,0),1))*J377*1.1</f>
        <v>0</v>
      </c>
      <c r="Q377" s="26">
        <f>IF($I377&lt;&gt;"x",0,INDEX($Z$27:$Z$37,MATCH($G377,$X$27:$X410,0),1))*J377*1.1</f>
        <v>0</v>
      </c>
      <c r="R377" s="20">
        <f t="shared" si="41"/>
        <v>0</v>
      </c>
      <c r="S377" s="86">
        <f t="shared" si="42"/>
        <v>0</v>
      </c>
    </row>
    <row r="378" spans="2:19">
      <c r="B378" s="14">
        <f t="shared" si="43"/>
        <v>375</v>
      </c>
      <c r="C378" s="37"/>
      <c r="D378" s="39"/>
      <c r="E378" s="37"/>
      <c r="F378" s="38"/>
      <c r="G378" s="37"/>
      <c r="H378" s="37"/>
      <c r="I378" s="37"/>
      <c r="J378" s="41"/>
      <c r="K378" s="26">
        <f>IF(OR($E378&lt;&gt;"CS",$H378&lt;&gt;"x"),0,INDEX($Y$4:$Y$14,MATCH($G378,$X$4:$X388,0),1))*J378*1.1</f>
        <v>0</v>
      </c>
      <c r="L378" s="26">
        <f t="shared" si="38"/>
        <v>0</v>
      </c>
      <c r="M378" s="26">
        <f>IF($I378&lt;&gt;"x",0,INDEX($Y$27:$Y$37,MATCH($G378,$X$27:$X411,0),1))*J378*1.1</f>
        <v>0</v>
      </c>
      <c r="N378" s="20">
        <f t="shared" si="39"/>
        <v>0</v>
      </c>
      <c r="O378" s="20">
        <f t="shared" si="40"/>
        <v>0</v>
      </c>
      <c r="P378" s="20">
        <f>IF(OR($E378&lt;&gt;"CS",$H378&lt;&gt;"x"),0,INDEX($Z$4:$Z$14,MATCH($G378,$X$4:$X388,0),1))*J378*1.1</f>
        <v>0</v>
      </c>
      <c r="Q378" s="26">
        <f>IF($I378&lt;&gt;"x",0,INDEX($Z$27:$Z$37,MATCH($G378,$X$27:$X411,0),1))*J378*1.1</f>
        <v>0</v>
      </c>
      <c r="R378" s="20">
        <f t="shared" si="41"/>
        <v>0</v>
      </c>
      <c r="S378" s="86">
        <f t="shared" si="42"/>
        <v>0</v>
      </c>
    </row>
    <row r="379" spans="2:19">
      <c r="B379" s="14">
        <f t="shared" si="43"/>
        <v>376</v>
      </c>
      <c r="C379" s="37"/>
      <c r="D379" s="39"/>
      <c r="E379" s="37"/>
      <c r="F379" s="38"/>
      <c r="G379" s="37"/>
      <c r="H379" s="37"/>
      <c r="I379" s="37"/>
      <c r="J379" s="41"/>
      <c r="K379" s="26">
        <f>IF(OR($E379&lt;&gt;"CS",$H379&lt;&gt;"x"),0,INDEX($Y$4:$Y$14,MATCH($G379,$X$4:$X389,0),1))*J379*1.1</f>
        <v>0</v>
      </c>
      <c r="L379" s="26">
        <f t="shared" si="38"/>
        <v>0</v>
      </c>
      <c r="M379" s="26">
        <f>IF($I379&lt;&gt;"x",0,INDEX($Y$27:$Y$37,MATCH($G379,$X$27:$X412,0),1))*J379*1.1</f>
        <v>0</v>
      </c>
      <c r="N379" s="20">
        <f t="shared" si="39"/>
        <v>0</v>
      </c>
      <c r="O379" s="20">
        <f t="shared" si="40"/>
        <v>0</v>
      </c>
      <c r="P379" s="20">
        <f>IF(OR($E379&lt;&gt;"CS",$H379&lt;&gt;"x"),0,INDEX($Z$4:$Z$14,MATCH($G379,$X$4:$X389,0),1))*J379*1.1</f>
        <v>0</v>
      </c>
      <c r="Q379" s="26">
        <f>IF($I379&lt;&gt;"x",0,INDEX($Z$27:$Z$37,MATCH($G379,$X$27:$X412,0),1))*J379*1.1</f>
        <v>0</v>
      </c>
      <c r="R379" s="20">
        <f t="shared" si="41"/>
        <v>0</v>
      </c>
      <c r="S379" s="86">
        <f t="shared" si="42"/>
        <v>0</v>
      </c>
    </row>
    <row r="380" spans="2:19">
      <c r="B380" s="14">
        <f t="shared" si="43"/>
        <v>377</v>
      </c>
      <c r="C380" s="37"/>
      <c r="D380" s="39"/>
      <c r="E380" s="37"/>
      <c r="F380" s="38"/>
      <c r="G380" s="37"/>
      <c r="H380" s="37"/>
      <c r="I380" s="37"/>
      <c r="J380" s="41"/>
      <c r="K380" s="26">
        <f>IF(OR($E380&lt;&gt;"CS",$H380&lt;&gt;"x"),0,INDEX($Y$4:$Y$14,MATCH($G380,$X$4:$X390,0),1))*J380*1.1</f>
        <v>0</v>
      </c>
      <c r="L380" s="26">
        <f t="shared" si="38"/>
        <v>0</v>
      </c>
      <c r="M380" s="26">
        <f>IF($I380&lt;&gt;"x",0,INDEX($Y$27:$Y$37,MATCH($G380,$X$27:$X413,0),1))*J380*1.1</f>
        <v>0</v>
      </c>
      <c r="N380" s="20">
        <f t="shared" si="39"/>
        <v>0</v>
      </c>
      <c r="O380" s="20">
        <f t="shared" si="40"/>
        <v>0</v>
      </c>
      <c r="P380" s="20">
        <f>IF(OR($E380&lt;&gt;"CS",$H380&lt;&gt;"x"),0,INDEX($Z$4:$Z$14,MATCH($G380,$X$4:$X390,0),1))*J380*1.1</f>
        <v>0</v>
      </c>
      <c r="Q380" s="26">
        <f>IF($I380&lt;&gt;"x",0,INDEX($Z$27:$Z$37,MATCH($G380,$X$27:$X413,0),1))*J380*1.1</f>
        <v>0</v>
      </c>
      <c r="R380" s="20">
        <f t="shared" si="41"/>
        <v>0</v>
      </c>
      <c r="S380" s="86">
        <f t="shared" si="42"/>
        <v>0</v>
      </c>
    </row>
    <row r="381" spans="2:19">
      <c r="B381" s="14">
        <f t="shared" si="43"/>
        <v>378</v>
      </c>
      <c r="C381" s="37"/>
      <c r="D381" s="39"/>
      <c r="E381" s="37"/>
      <c r="F381" s="38"/>
      <c r="G381" s="37"/>
      <c r="H381" s="37"/>
      <c r="I381" s="37"/>
      <c r="J381" s="41"/>
      <c r="K381" s="26">
        <f>IF(OR($E381&lt;&gt;"CS",$H381&lt;&gt;"x"),0,INDEX($Y$4:$Y$14,MATCH($G381,$X$4:$X391,0),1))*J381*1.1</f>
        <v>0</v>
      </c>
      <c r="L381" s="26">
        <f t="shared" si="38"/>
        <v>0</v>
      </c>
      <c r="M381" s="26">
        <f>IF($I381&lt;&gt;"x",0,INDEX($Y$27:$Y$37,MATCH($G381,$X$27:$X414,0),1))*J381*1.1</f>
        <v>0</v>
      </c>
      <c r="N381" s="20">
        <f t="shared" si="39"/>
        <v>0</v>
      </c>
      <c r="O381" s="20">
        <f t="shared" si="40"/>
        <v>0</v>
      </c>
      <c r="P381" s="20">
        <f>IF(OR($E381&lt;&gt;"CS",$H381&lt;&gt;"x"),0,INDEX($Z$4:$Z$14,MATCH($G381,$X$4:$X391,0),1))*J381*1.1</f>
        <v>0</v>
      </c>
      <c r="Q381" s="26">
        <f>IF($I381&lt;&gt;"x",0,INDEX($Z$27:$Z$37,MATCH($G381,$X$27:$X414,0),1))*J381*1.1</f>
        <v>0</v>
      </c>
      <c r="R381" s="20">
        <f t="shared" si="41"/>
        <v>0</v>
      </c>
      <c r="S381" s="86">
        <f t="shared" si="42"/>
        <v>0</v>
      </c>
    </row>
    <row r="382" spans="2:19">
      <c r="B382" s="14">
        <f t="shared" si="43"/>
        <v>379</v>
      </c>
      <c r="C382" s="37"/>
      <c r="D382" s="39"/>
      <c r="E382" s="37"/>
      <c r="F382" s="38"/>
      <c r="G382" s="37"/>
      <c r="H382" s="37"/>
      <c r="I382" s="37"/>
      <c r="J382" s="41"/>
      <c r="K382" s="26">
        <f>IF(OR($E382&lt;&gt;"CS",$H382&lt;&gt;"x"),0,INDEX($Y$4:$Y$14,MATCH($G382,$X$4:$X392,0),1))*J382*1.1</f>
        <v>0</v>
      </c>
      <c r="L382" s="26">
        <f t="shared" si="38"/>
        <v>0</v>
      </c>
      <c r="M382" s="26">
        <f>IF($I382&lt;&gt;"x",0,INDEX($Y$27:$Y$37,MATCH($G382,$X$27:$X415,0),1))*J382*1.1</f>
        <v>0</v>
      </c>
      <c r="N382" s="20">
        <f t="shared" si="39"/>
        <v>0</v>
      </c>
      <c r="O382" s="20">
        <f t="shared" si="40"/>
        <v>0</v>
      </c>
      <c r="P382" s="20">
        <f>IF(OR($E382&lt;&gt;"CS",$H382&lt;&gt;"x"),0,INDEX($Z$4:$Z$14,MATCH($G382,$X$4:$X392,0),1))*J382*1.1</f>
        <v>0</v>
      </c>
      <c r="Q382" s="26">
        <f>IF($I382&lt;&gt;"x",0,INDEX($Z$27:$Z$37,MATCH($G382,$X$27:$X415,0),1))*J382*1.1</f>
        <v>0</v>
      </c>
      <c r="R382" s="20">
        <f t="shared" si="41"/>
        <v>0</v>
      </c>
      <c r="S382" s="86">
        <f t="shared" si="42"/>
        <v>0</v>
      </c>
    </row>
    <row r="383" spans="2:19">
      <c r="B383" s="14">
        <f t="shared" si="43"/>
        <v>380</v>
      </c>
      <c r="C383" s="37"/>
      <c r="D383" s="39"/>
      <c r="E383" s="37"/>
      <c r="F383" s="38"/>
      <c r="G383" s="37"/>
      <c r="H383" s="37"/>
      <c r="I383" s="37"/>
      <c r="J383" s="41"/>
      <c r="K383" s="26">
        <f>IF(OR($E383&lt;&gt;"CS",$H383&lt;&gt;"x"),0,INDEX($Y$4:$Y$14,MATCH($G383,$X$4:$X393,0),1))*J383*1.1</f>
        <v>0</v>
      </c>
      <c r="L383" s="26">
        <f t="shared" si="38"/>
        <v>0</v>
      </c>
      <c r="M383" s="26">
        <f>IF($I383&lt;&gt;"x",0,INDEX($Y$27:$Y$37,MATCH($G383,$X$27:$X416,0),1))*J383*1.1</f>
        <v>0</v>
      </c>
      <c r="N383" s="20">
        <f t="shared" si="39"/>
        <v>0</v>
      </c>
      <c r="O383" s="20">
        <f t="shared" si="40"/>
        <v>0</v>
      </c>
      <c r="P383" s="20">
        <f>IF(OR($E383&lt;&gt;"CS",$H383&lt;&gt;"x"),0,INDEX($Z$4:$Z$14,MATCH($G383,$X$4:$X393,0),1))*J383*1.1</f>
        <v>0</v>
      </c>
      <c r="Q383" s="26">
        <f>IF($I383&lt;&gt;"x",0,INDEX($Z$27:$Z$37,MATCH($G383,$X$27:$X416,0),1))*J383*1.1</f>
        <v>0</v>
      </c>
      <c r="R383" s="20">
        <f t="shared" si="41"/>
        <v>0</v>
      </c>
      <c r="S383" s="86">
        <f t="shared" si="42"/>
        <v>0</v>
      </c>
    </row>
    <row r="384" spans="2:19">
      <c r="B384" s="14">
        <f t="shared" si="43"/>
        <v>381</v>
      </c>
      <c r="C384" s="37"/>
      <c r="D384" s="39"/>
      <c r="E384" s="37"/>
      <c r="F384" s="38"/>
      <c r="G384" s="37"/>
      <c r="H384" s="37"/>
      <c r="I384" s="37"/>
      <c r="J384" s="41"/>
      <c r="K384" s="26">
        <f>IF(OR($E384&lt;&gt;"CS",$H384&lt;&gt;"x"),0,INDEX($Y$4:$Y$14,MATCH($G384,$X$4:$X394,0),1))*J384*1.1</f>
        <v>0</v>
      </c>
      <c r="L384" s="26">
        <f t="shared" si="38"/>
        <v>0</v>
      </c>
      <c r="M384" s="26">
        <f>IF($I384&lt;&gt;"x",0,INDEX($Y$27:$Y$37,MATCH($G384,$X$27:$X417,0),1))*J384*1.1</f>
        <v>0</v>
      </c>
      <c r="N384" s="20">
        <f t="shared" si="39"/>
        <v>0</v>
      </c>
      <c r="O384" s="20">
        <f t="shared" si="40"/>
        <v>0</v>
      </c>
      <c r="P384" s="20">
        <f>IF(OR($E384&lt;&gt;"CS",$H384&lt;&gt;"x"),0,INDEX($Z$4:$Z$14,MATCH($G384,$X$4:$X394,0),1))*J384*1.1</f>
        <v>0</v>
      </c>
      <c r="Q384" s="26">
        <f>IF($I384&lt;&gt;"x",0,INDEX($Z$27:$Z$37,MATCH($G384,$X$27:$X417,0),1))*J384*1.1</f>
        <v>0</v>
      </c>
      <c r="R384" s="20">
        <f t="shared" si="41"/>
        <v>0</v>
      </c>
      <c r="S384" s="86">
        <f t="shared" si="42"/>
        <v>0</v>
      </c>
    </row>
    <row r="385" spans="2:19">
      <c r="B385" s="14">
        <f t="shared" si="43"/>
        <v>382</v>
      </c>
      <c r="C385" s="37"/>
      <c r="D385" s="39"/>
      <c r="E385" s="37"/>
      <c r="F385" s="38"/>
      <c r="G385" s="37"/>
      <c r="H385" s="37"/>
      <c r="I385" s="37"/>
      <c r="J385" s="41"/>
      <c r="K385" s="26">
        <f>IF(OR($E385&lt;&gt;"CS",$H385&lt;&gt;"x"),0,INDEX($Y$4:$Y$14,MATCH($G385,$X$4:$X395,0),1))*J385*1.1</f>
        <v>0</v>
      </c>
      <c r="L385" s="26">
        <f t="shared" si="38"/>
        <v>0</v>
      </c>
      <c r="M385" s="26">
        <f>IF($I385&lt;&gt;"x",0,INDEX($Y$27:$Y$37,MATCH($G385,$X$27:$X418,0),1))*J385*1.1</f>
        <v>0</v>
      </c>
      <c r="N385" s="20">
        <f t="shared" si="39"/>
        <v>0</v>
      </c>
      <c r="O385" s="20">
        <f t="shared" si="40"/>
        <v>0</v>
      </c>
      <c r="P385" s="20">
        <f>IF(OR($E385&lt;&gt;"CS",$H385&lt;&gt;"x"),0,INDEX($Z$4:$Z$14,MATCH($G385,$X$4:$X395,0),1))*J385*1.1</f>
        <v>0</v>
      </c>
      <c r="Q385" s="26">
        <f>IF($I385&lt;&gt;"x",0,INDEX($Z$27:$Z$37,MATCH($G385,$X$27:$X418,0),1))*J385*1.1</f>
        <v>0</v>
      </c>
      <c r="R385" s="20">
        <f t="shared" si="41"/>
        <v>0</v>
      </c>
      <c r="S385" s="86">
        <f t="shared" si="42"/>
        <v>0</v>
      </c>
    </row>
    <row r="386" spans="2:19">
      <c r="B386" s="14">
        <f t="shared" si="43"/>
        <v>383</v>
      </c>
      <c r="C386" s="37"/>
      <c r="D386" s="39"/>
      <c r="E386" s="37"/>
      <c r="F386" s="38"/>
      <c r="G386" s="37"/>
      <c r="H386" s="37"/>
      <c r="I386" s="37"/>
      <c r="J386" s="41"/>
      <c r="K386" s="26">
        <f>IF(OR($E386&lt;&gt;"CS",$H386&lt;&gt;"x"),0,INDEX($Y$4:$Y$14,MATCH($G386,$X$4:$X396,0),1))*J386*1.1</f>
        <v>0</v>
      </c>
      <c r="L386" s="26">
        <f t="shared" si="38"/>
        <v>0</v>
      </c>
      <c r="M386" s="26">
        <f>IF($I386&lt;&gt;"x",0,INDEX($Y$27:$Y$37,MATCH($G386,$X$27:$X419,0),1))*J386*1.1</f>
        <v>0</v>
      </c>
      <c r="N386" s="20">
        <f t="shared" si="39"/>
        <v>0</v>
      </c>
      <c r="O386" s="20">
        <f t="shared" si="40"/>
        <v>0</v>
      </c>
      <c r="P386" s="20">
        <f>IF(OR($E386&lt;&gt;"CS",$H386&lt;&gt;"x"),0,INDEX($Z$4:$Z$14,MATCH($G386,$X$4:$X396,0),1))*J386*1.1</f>
        <v>0</v>
      </c>
      <c r="Q386" s="26">
        <f>IF($I386&lt;&gt;"x",0,INDEX($Z$27:$Z$37,MATCH($G386,$X$27:$X419,0),1))*J386*1.1</f>
        <v>0</v>
      </c>
      <c r="R386" s="20">
        <f t="shared" si="41"/>
        <v>0</v>
      </c>
      <c r="S386" s="86">
        <f t="shared" si="42"/>
        <v>0</v>
      </c>
    </row>
    <row r="387" spans="2:19">
      <c r="B387" s="14">
        <f t="shared" si="43"/>
        <v>384</v>
      </c>
      <c r="C387" s="37"/>
      <c r="D387" s="39"/>
      <c r="E387" s="37"/>
      <c r="F387" s="38"/>
      <c r="G387" s="37"/>
      <c r="H387" s="37"/>
      <c r="I387" s="37"/>
      <c r="J387" s="41"/>
      <c r="K387" s="26">
        <f>IF(OR($E387&lt;&gt;"CS",$H387&lt;&gt;"x"),0,INDEX($Y$4:$Y$14,MATCH($G387,$X$4:$X397,0),1))*J387*1.1</f>
        <v>0</v>
      </c>
      <c r="L387" s="26">
        <f t="shared" si="38"/>
        <v>0</v>
      </c>
      <c r="M387" s="26">
        <f>IF($I387&lt;&gt;"x",0,INDEX($Y$27:$Y$37,MATCH($G387,$X$27:$X420,0),1))*J387*1.1</f>
        <v>0</v>
      </c>
      <c r="N387" s="20">
        <f t="shared" si="39"/>
        <v>0</v>
      </c>
      <c r="O387" s="20">
        <f t="shared" si="40"/>
        <v>0</v>
      </c>
      <c r="P387" s="20">
        <f>IF(OR($E387&lt;&gt;"CS",$H387&lt;&gt;"x"),0,INDEX($Z$4:$Z$14,MATCH($G387,$X$4:$X397,0),1))*J387*1.1</f>
        <v>0</v>
      </c>
      <c r="Q387" s="26">
        <f>IF($I387&lt;&gt;"x",0,INDEX($Z$27:$Z$37,MATCH($G387,$X$27:$X420,0),1))*J387*1.1</f>
        <v>0</v>
      </c>
      <c r="R387" s="20">
        <f t="shared" si="41"/>
        <v>0</v>
      </c>
      <c r="S387" s="86">
        <f t="shared" si="42"/>
        <v>0</v>
      </c>
    </row>
    <row r="388" spans="2:19">
      <c r="B388" s="14">
        <f t="shared" si="43"/>
        <v>385</v>
      </c>
      <c r="C388" s="37"/>
      <c r="D388" s="39"/>
      <c r="E388" s="37"/>
      <c r="F388" s="38"/>
      <c r="G388" s="37"/>
      <c r="H388" s="37"/>
      <c r="I388" s="37"/>
      <c r="J388" s="41"/>
      <c r="K388" s="26">
        <f>IF(OR($E388&lt;&gt;"CS",$H388&lt;&gt;"x"),0,INDEX($Y$4:$Y$14,MATCH($G388,$X$4:$X398,0),1))*J388*1.1</f>
        <v>0</v>
      </c>
      <c r="L388" s="26">
        <f t="shared" ref="L388:L412" si="44">K388*$L$2</f>
        <v>0</v>
      </c>
      <c r="M388" s="26">
        <f>IF($I388&lt;&gt;"x",0,INDEX($Y$27:$Y$37,MATCH($G388,$X$27:$X421,0),1))*J388*1.1</f>
        <v>0</v>
      </c>
      <c r="N388" s="20">
        <f t="shared" ref="N388:N412" si="45">M388*$N$2</f>
        <v>0</v>
      </c>
      <c r="O388" s="20">
        <f t="shared" ref="O388:O412" si="46">SUM(K388:N388)</f>
        <v>0</v>
      </c>
      <c r="P388" s="20">
        <f>IF(OR($E388&lt;&gt;"CS",$H388&lt;&gt;"x"),0,INDEX($Z$4:$Z$14,MATCH($G388,$X$4:$X398,0),1))*J388*1.1</f>
        <v>0</v>
      </c>
      <c r="Q388" s="26">
        <f>IF($I388&lt;&gt;"x",0,INDEX($Z$27:$Z$37,MATCH($G388,$X$27:$X421,0),1))*J388*1.1</f>
        <v>0</v>
      </c>
      <c r="R388" s="20">
        <f t="shared" ref="R388:R412" si="47">SUM(P388:Q388)</f>
        <v>0</v>
      </c>
      <c r="S388" s="86">
        <f t="shared" ref="S388:S412" si="48">R388+O388</f>
        <v>0</v>
      </c>
    </row>
    <row r="389" spans="2:19">
      <c r="B389" s="14">
        <f t="shared" ref="B389:B412" si="49">1+B388</f>
        <v>386</v>
      </c>
      <c r="C389" s="37"/>
      <c r="D389" s="39"/>
      <c r="E389" s="37"/>
      <c r="F389" s="38"/>
      <c r="G389" s="37"/>
      <c r="H389" s="37"/>
      <c r="I389" s="37"/>
      <c r="J389" s="41"/>
      <c r="K389" s="26">
        <f>IF(OR($E389&lt;&gt;"CS",$H389&lt;&gt;"x"),0,INDEX($Y$4:$Y$14,MATCH($G389,$X$4:$X399,0),1))*J389*1.1</f>
        <v>0</v>
      </c>
      <c r="L389" s="26">
        <f t="shared" si="44"/>
        <v>0</v>
      </c>
      <c r="M389" s="26">
        <f>IF($I389&lt;&gt;"x",0,INDEX($Y$27:$Y$37,MATCH($G389,$X$27:$X422,0),1))*J389*1.1</f>
        <v>0</v>
      </c>
      <c r="N389" s="20">
        <f t="shared" si="45"/>
        <v>0</v>
      </c>
      <c r="O389" s="20">
        <f t="shared" si="46"/>
        <v>0</v>
      </c>
      <c r="P389" s="20">
        <f>IF(OR($E389&lt;&gt;"CS",$H389&lt;&gt;"x"),0,INDEX($Z$4:$Z$14,MATCH($G389,$X$4:$X399,0),1))*J389*1.1</f>
        <v>0</v>
      </c>
      <c r="Q389" s="26">
        <f>IF($I389&lt;&gt;"x",0,INDEX($Z$27:$Z$37,MATCH($G389,$X$27:$X422,0),1))*J389*1.1</f>
        <v>0</v>
      </c>
      <c r="R389" s="20">
        <f t="shared" si="47"/>
        <v>0</v>
      </c>
      <c r="S389" s="86">
        <f t="shared" si="48"/>
        <v>0</v>
      </c>
    </row>
    <row r="390" spans="2:19">
      <c r="B390" s="14">
        <f t="shared" si="49"/>
        <v>387</v>
      </c>
      <c r="C390" s="37"/>
      <c r="D390" s="39"/>
      <c r="E390" s="37"/>
      <c r="F390" s="38"/>
      <c r="G390" s="37"/>
      <c r="H390" s="37"/>
      <c r="I390" s="37"/>
      <c r="J390" s="41"/>
      <c r="K390" s="26">
        <f>IF(OR($E390&lt;&gt;"CS",$H390&lt;&gt;"x"),0,INDEX($Y$4:$Y$14,MATCH($G390,$X$4:$X400,0),1))*J390*1.1</f>
        <v>0</v>
      </c>
      <c r="L390" s="26">
        <f t="shared" si="44"/>
        <v>0</v>
      </c>
      <c r="M390" s="26">
        <f>IF($I390&lt;&gt;"x",0,INDEX($Y$27:$Y$37,MATCH($G390,$X$27:$X423,0),1))*J390*1.1</f>
        <v>0</v>
      </c>
      <c r="N390" s="20">
        <f t="shared" si="45"/>
        <v>0</v>
      </c>
      <c r="O390" s="20">
        <f t="shared" si="46"/>
        <v>0</v>
      </c>
      <c r="P390" s="20">
        <f>IF(OR($E390&lt;&gt;"CS",$H390&lt;&gt;"x"),0,INDEX($Z$4:$Z$14,MATCH($G390,$X$4:$X400,0),1))*J390*1.1</f>
        <v>0</v>
      </c>
      <c r="Q390" s="26">
        <f>IF($I390&lt;&gt;"x",0,INDEX($Z$27:$Z$37,MATCH($G390,$X$27:$X423,0),1))*J390*1.1</f>
        <v>0</v>
      </c>
      <c r="R390" s="20">
        <f t="shared" si="47"/>
        <v>0</v>
      </c>
      <c r="S390" s="86">
        <f t="shared" si="48"/>
        <v>0</v>
      </c>
    </row>
    <row r="391" spans="2:19">
      <c r="B391" s="14">
        <f t="shared" si="49"/>
        <v>388</v>
      </c>
      <c r="C391" s="37"/>
      <c r="D391" s="39"/>
      <c r="E391" s="37"/>
      <c r="F391" s="38"/>
      <c r="G391" s="37"/>
      <c r="H391" s="37"/>
      <c r="I391" s="37"/>
      <c r="J391" s="41"/>
      <c r="K391" s="26">
        <f>IF(OR($E391&lt;&gt;"CS",$H391&lt;&gt;"x"),0,INDEX($Y$4:$Y$14,MATCH($G391,$X$4:$X401,0),1))*J391*1.1</f>
        <v>0</v>
      </c>
      <c r="L391" s="26">
        <f t="shared" si="44"/>
        <v>0</v>
      </c>
      <c r="M391" s="26">
        <f>IF($I391&lt;&gt;"x",0,INDEX($Y$27:$Y$37,MATCH($G391,$X$27:$X424,0),1))*J391*1.1</f>
        <v>0</v>
      </c>
      <c r="N391" s="20">
        <f t="shared" si="45"/>
        <v>0</v>
      </c>
      <c r="O391" s="20">
        <f t="shared" si="46"/>
        <v>0</v>
      </c>
      <c r="P391" s="20">
        <f>IF(OR($E391&lt;&gt;"CS",$H391&lt;&gt;"x"),0,INDEX($Z$4:$Z$14,MATCH($G391,$X$4:$X401,0),1))*J391*1.1</f>
        <v>0</v>
      </c>
      <c r="Q391" s="26">
        <f>IF($I391&lt;&gt;"x",0,INDEX($Z$27:$Z$37,MATCH($G391,$X$27:$X424,0),1))*J391*1.1</f>
        <v>0</v>
      </c>
      <c r="R391" s="20">
        <f t="shared" si="47"/>
        <v>0</v>
      </c>
      <c r="S391" s="86">
        <f t="shared" si="48"/>
        <v>0</v>
      </c>
    </row>
    <row r="392" spans="2:19">
      <c r="B392" s="14">
        <f t="shared" si="49"/>
        <v>389</v>
      </c>
      <c r="C392" s="37"/>
      <c r="D392" s="39"/>
      <c r="E392" s="37"/>
      <c r="F392" s="38"/>
      <c r="G392" s="37"/>
      <c r="H392" s="37"/>
      <c r="I392" s="37"/>
      <c r="J392" s="41"/>
      <c r="K392" s="26">
        <f>IF(OR($E392&lt;&gt;"CS",$H392&lt;&gt;"x"),0,INDEX($Y$4:$Y$14,MATCH($G392,$X$4:$X402,0),1))*J392*1.1</f>
        <v>0</v>
      </c>
      <c r="L392" s="26">
        <f t="shared" si="44"/>
        <v>0</v>
      </c>
      <c r="M392" s="26">
        <f>IF($I392&lt;&gt;"x",0,INDEX($Y$27:$Y$37,MATCH($G392,$X$27:$X425,0),1))*J392*1.1</f>
        <v>0</v>
      </c>
      <c r="N392" s="20">
        <f t="shared" si="45"/>
        <v>0</v>
      </c>
      <c r="O392" s="20">
        <f t="shared" si="46"/>
        <v>0</v>
      </c>
      <c r="P392" s="20">
        <f>IF(OR($E392&lt;&gt;"CS",$H392&lt;&gt;"x"),0,INDEX($Z$4:$Z$14,MATCH($G392,$X$4:$X402,0),1))*J392*1.1</f>
        <v>0</v>
      </c>
      <c r="Q392" s="26">
        <f>IF($I392&lt;&gt;"x",0,INDEX($Z$27:$Z$37,MATCH($G392,$X$27:$X425,0),1))*J392*1.1</f>
        <v>0</v>
      </c>
      <c r="R392" s="20">
        <f t="shared" si="47"/>
        <v>0</v>
      </c>
      <c r="S392" s="86">
        <f t="shared" si="48"/>
        <v>0</v>
      </c>
    </row>
    <row r="393" spans="2:19">
      <c r="B393" s="14">
        <f t="shared" si="49"/>
        <v>390</v>
      </c>
      <c r="C393" s="37"/>
      <c r="D393" s="39"/>
      <c r="E393" s="37"/>
      <c r="F393" s="38"/>
      <c r="G393" s="37"/>
      <c r="H393" s="37"/>
      <c r="I393" s="37"/>
      <c r="J393" s="41"/>
      <c r="K393" s="26">
        <f>IF(OR($E393&lt;&gt;"CS",$H393&lt;&gt;"x"),0,INDEX($Y$4:$Y$14,MATCH($G393,$X$4:$X403,0),1))*J393*1.1</f>
        <v>0</v>
      </c>
      <c r="L393" s="26">
        <f t="shared" si="44"/>
        <v>0</v>
      </c>
      <c r="M393" s="26">
        <f>IF($I393&lt;&gt;"x",0,INDEX($Y$27:$Y$37,MATCH($G393,$X$27:$X426,0),1))*J393*1.1</f>
        <v>0</v>
      </c>
      <c r="N393" s="20">
        <f t="shared" si="45"/>
        <v>0</v>
      </c>
      <c r="O393" s="20">
        <f t="shared" si="46"/>
        <v>0</v>
      </c>
      <c r="P393" s="20">
        <f>IF(OR($E393&lt;&gt;"CS",$H393&lt;&gt;"x"),0,INDEX($Z$4:$Z$14,MATCH($G393,$X$4:$X403,0),1))*J393*1.1</f>
        <v>0</v>
      </c>
      <c r="Q393" s="26">
        <f>IF($I393&lt;&gt;"x",0,INDEX($Z$27:$Z$37,MATCH($G393,$X$27:$X426,0),1))*J393*1.1</f>
        <v>0</v>
      </c>
      <c r="R393" s="20">
        <f t="shared" si="47"/>
        <v>0</v>
      </c>
      <c r="S393" s="86">
        <f t="shared" si="48"/>
        <v>0</v>
      </c>
    </row>
    <row r="394" spans="2:19">
      <c r="B394" s="14">
        <f t="shared" si="49"/>
        <v>391</v>
      </c>
      <c r="C394" s="37"/>
      <c r="D394" s="39"/>
      <c r="E394" s="37"/>
      <c r="F394" s="38"/>
      <c r="G394" s="37"/>
      <c r="H394" s="37"/>
      <c r="I394" s="37"/>
      <c r="J394" s="41"/>
      <c r="K394" s="26">
        <f>IF(OR($E394&lt;&gt;"CS",$H394&lt;&gt;"x"),0,INDEX($Y$4:$Y$14,MATCH($G394,$X$4:$X404,0),1))*J394*1.1</f>
        <v>0</v>
      </c>
      <c r="L394" s="26">
        <f t="shared" si="44"/>
        <v>0</v>
      </c>
      <c r="M394" s="26">
        <f>IF($I394&lt;&gt;"x",0,INDEX($Y$27:$Y$37,MATCH($G394,$X$27:$X427,0),1))*J394*1.1</f>
        <v>0</v>
      </c>
      <c r="N394" s="20">
        <f t="shared" si="45"/>
        <v>0</v>
      </c>
      <c r="O394" s="20">
        <f t="shared" si="46"/>
        <v>0</v>
      </c>
      <c r="P394" s="20">
        <f>IF(OR($E394&lt;&gt;"CS",$H394&lt;&gt;"x"),0,INDEX($Z$4:$Z$14,MATCH($G394,$X$4:$X404,0),1))*J394*1.1</f>
        <v>0</v>
      </c>
      <c r="Q394" s="26">
        <f>IF($I394&lt;&gt;"x",0,INDEX($Z$27:$Z$37,MATCH($G394,$X$27:$X427,0),1))*J394*1.1</f>
        <v>0</v>
      </c>
      <c r="R394" s="20">
        <f t="shared" si="47"/>
        <v>0</v>
      </c>
      <c r="S394" s="86">
        <f t="shared" si="48"/>
        <v>0</v>
      </c>
    </row>
    <row r="395" spans="2:19">
      <c r="B395" s="14">
        <f t="shared" si="49"/>
        <v>392</v>
      </c>
      <c r="C395" s="37"/>
      <c r="D395" s="39"/>
      <c r="E395" s="37"/>
      <c r="F395" s="38"/>
      <c r="G395" s="37"/>
      <c r="H395" s="37"/>
      <c r="I395" s="37"/>
      <c r="J395" s="41"/>
      <c r="K395" s="26">
        <f>IF(OR($E395&lt;&gt;"CS",$H395&lt;&gt;"x"),0,INDEX($Y$4:$Y$14,MATCH($G395,$X$4:$X405,0),1))*J395*1.1</f>
        <v>0</v>
      </c>
      <c r="L395" s="26">
        <f t="shared" si="44"/>
        <v>0</v>
      </c>
      <c r="M395" s="26">
        <f>IF($I395&lt;&gt;"x",0,INDEX($Y$27:$Y$37,MATCH($G395,$X$27:$X428,0),1))*J395*1.1</f>
        <v>0</v>
      </c>
      <c r="N395" s="20">
        <f t="shared" si="45"/>
        <v>0</v>
      </c>
      <c r="O395" s="20">
        <f t="shared" si="46"/>
        <v>0</v>
      </c>
      <c r="P395" s="20">
        <f>IF(OR($E395&lt;&gt;"CS",$H395&lt;&gt;"x"),0,INDEX($Z$4:$Z$14,MATCH($G395,$X$4:$X405,0),1))*J395*1.1</f>
        <v>0</v>
      </c>
      <c r="Q395" s="26">
        <f>IF($I395&lt;&gt;"x",0,INDEX($Z$27:$Z$37,MATCH($G395,$X$27:$X428,0),1))*J395*1.1</f>
        <v>0</v>
      </c>
      <c r="R395" s="20">
        <f t="shared" si="47"/>
        <v>0</v>
      </c>
      <c r="S395" s="86">
        <f t="shared" si="48"/>
        <v>0</v>
      </c>
    </row>
    <row r="396" spans="2:19">
      <c r="B396" s="14">
        <f t="shared" si="49"/>
        <v>393</v>
      </c>
      <c r="C396" s="37"/>
      <c r="D396" s="39"/>
      <c r="E396" s="37"/>
      <c r="F396" s="38"/>
      <c r="G396" s="37"/>
      <c r="H396" s="37"/>
      <c r="I396" s="37"/>
      <c r="J396" s="41"/>
      <c r="K396" s="26">
        <f>IF(OR($E396&lt;&gt;"CS",$H396&lt;&gt;"x"),0,INDEX($Y$4:$Y$14,MATCH($G396,$X$4:$X406,0),1))*J396*1.1</f>
        <v>0</v>
      </c>
      <c r="L396" s="26">
        <f t="shared" si="44"/>
        <v>0</v>
      </c>
      <c r="M396" s="26">
        <f>IF($I396&lt;&gt;"x",0,INDEX($Y$27:$Y$37,MATCH($G396,$X$27:$X429,0),1))*J396*1.1</f>
        <v>0</v>
      </c>
      <c r="N396" s="20">
        <f t="shared" si="45"/>
        <v>0</v>
      </c>
      <c r="O396" s="20">
        <f t="shared" si="46"/>
        <v>0</v>
      </c>
      <c r="P396" s="20">
        <f>IF(OR($E396&lt;&gt;"CS",$H396&lt;&gt;"x"),0,INDEX($Z$4:$Z$14,MATCH($G396,$X$4:$X406,0),1))*J396*1.1</f>
        <v>0</v>
      </c>
      <c r="Q396" s="26">
        <f>IF($I396&lt;&gt;"x",0,INDEX($Z$27:$Z$37,MATCH($G396,$X$27:$X429,0),1))*J396*1.1</f>
        <v>0</v>
      </c>
      <c r="R396" s="20">
        <f t="shared" si="47"/>
        <v>0</v>
      </c>
      <c r="S396" s="86">
        <f t="shared" si="48"/>
        <v>0</v>
      </c>
    </row>
    <row r="397" spans="2:19">
      <c r="B397" s="14">
        <f t="shared" si="49"/>
        <v>394</v>
      </c>
      <c r="C397" s="37"/>
      <c r="D397" s="39"/>
      <c r="E397" s="37"/>
      <c r="F397" s="38"/>
      <c r="G397" s="37"/>
      <c r="H397" s="37"/>
      <c r="I397" s="37"/>
      <c r="J397" s="41"/>
      <c r="K397" s="26">
        <f>IF(OR($E397&lt;&gt;"CS",$H397&lt;&gt;"x"),0,INDEX($Y$4:$Y$14,MATCH($G397,$X$4:$X407,0),1))*J397*1.1</f>
        <v>0</v>
      </c>
      <c r="L397" s="26">
        <f t="shared" si="44"/>
        <v>0</v>
      </c>
      <c r="M397" s="26">
        <f>IF($I397&lt;&gt;"x",0,INDEX($Y$27:$Y$37,MATCH($G397,$X$27:$X430,0),1))*J397*1.1</f>
        <v>0</v>
      </c>
      <c r="N397" s="20">
        <f t="shared" si="45"/>
        <v>0</v>
      </c>
      <c r="O397" s="20">
        <f t="shared" si="46"/>
        <v>0</v>
      </c>
      <c r="P397" s="20">
        <f>IF(OR($E397&lt;&gt;"CS",$H397&lt;&gt;"x"),0,INDEX($Z$4:$Z$14,MATCH($G397,$X$4:$X407,0),1))*J397*1.1</f>
        <v>0</v>
      </c>
      <c r="Q397" s="26">
        <f>IF($I397&lt;&gt;"x",0,INDEX($Z$27:$Z$37,MATCH($G397,$X$27:$X430,0),1))*J397*1.1</f>
        <v>0</v>
      </c>
      <c r="R397" s="20">
        <f t="shared" si="47"/>
        <v>0</v>
      </c>
      <c r="S397" s="86">
        <f t="shared" si="48"/>
        <v>0</v>
      </c>
    </row>
    <row r="398" spans="2:19">
      <c r="B398" s="14">
        <f t="shared" si="49"/>
        <v>395</v>
      </c>
      <c r="C398" s="37"/>
      <c r="D398" s="39"/>
      <c r="E398" s="37"/>
      <c r="F398" s="38"/>
      <c r="G398" s="37"/>
      <c r="H398" s="37"/>
      <c r="I398" s="37"/>
      <c r="J398" s="41"/>
      <c r="K398" s="26">
        <f>IF(OR($E398&lt;&gt;"CS",$H398&lt;&gt;"x"),0,INDEX($Y$4:$Y$14,MATCH($G398,$X$4:$X408,0),1))*J398*1.1</f>
        <v>0</v>
      </c>
      <c r="L398" s="26">
        <f t="shared" si="44"/>
        <v>0</v>
      </c>
      <c r="M398" s="26">
        <f>IF($I398&lt;&gt;"x",0,INDEX($Y$27:$Y$37,MATCH($G398,$X$27:$X431,0),1))*J398*1.1</f>
        <v>0</v>
      </c>
      <c r="N398" s="20">
        <f t="shared" si="45"/>
        <v>0</v>
      </c>
      <c r="O398" s="20">
        <f t="shared" si="46"/>
        <v>0</v>
      </c>
      <c r="P398" s="20">
        <f>IF(OR($E398&lt;&gt;"CS",$H398&lt;&gt;"x"),0,INDEX($Z$4:$Z$14,MATCH($G398,$X$4:$X408,0),1))*J398*1.1</f>
        <v>0</v>
      </c>
      <c r="Q398" s="26">
        <f>IF($I398&lt;&gt;"x",0,INDEX($Z$27:$Z$37,MATCH($G398,$X$27:$X431,0),1))*J398*1.1</f>
        <v>0</v>
      </c>
      <c r="R398" s="20">
        <f t="shared" si="47"/>
        <v>0</v>
      </c>
      <c r="S398" s="86">
        <f t="shared" si="48"/>
        <v>0</v>
      </c>
    </row>
    <row r="399" spans="2:19">
      <c r="B399" s="14">
        <f t="shared" si="49"/>
        <v>396</v>
      </c>
      <c r="C399" s="37"/>
      <c r="D399" s="39"/>
      <c r="E399" s="37"/>
      <c r="F399" s="38"/>
      <c r="G399" s="37"/>
      <c r="H399" s="37"/>
      <c r="I399" s="37"/>
      <c r="J399" s="41"/>
      <c r="K399" s="26">
        <f>IF(OR($E399&lt;&gt;"CS",$H399&lt;&gt;"x"),0,INDEX($Y$4:$Y$14,MATCH($G399,$X$4:$X409,0),1))*J399*1.1</f>
        <v>0</v>
      </c>
      <c r="L399" s="26">
        <f t="shared" si="44"/>
        <v>0</v>
      </c>
      <c r="M399" s="26">
        <f>IF($I399&lt;&gt;"x",0,INDEX($Y$27:$Y$37,MATCH($G399,$X$27:$X432,0),1))*J399*1.1</f>
        <v>0</v>
      </c>
      <c r="N399" s="20">
        <f t="shared" si="45"/>
        <v>0</v>
      </c>
      <c r="O399" s="20">
        <f t="shared" si="46"/>
        <v>0</v>
      </c>
      <c r="P399" s="20">
        <f>IF(OR($E399&lt;&gt;"CS",$H399&lt;&gt;"x"),0,INDEX($Z$4:$Z$14,MATCH($G399,$X$4:$X409,0),1))*J399*1.1</f>
        <v>0</v>
      </c>
      <c r="Q399" s="26">
        <f>IF($I399&lt;&gt;"x",0,INDEX($Z$27:$Z$37,MATCH($G399,$X$27:$X432,0),1))*J399*1.1</f>
        <v>0</v>
      </c>
      <c r="R399" s="20">
        <f t="shared" si="47"/>
        <v>0</v>
      </c>
      <c r="S399" s="86">
        <f t="shared" si="48"/>
        <v>0</v>
      </c>
    </row>
    <row r="400" spans="2:19">
      <c r="B400" s="14">
        <f t="shared" si="49"/>
        <v>397</v>
      </c>
      <c r="C400" s="37"/>
      <c r="D400" s="39"/>
      <c r="E400" s="37"/>
      <c r="F400" s="38"/>
      <c r="G400" s="37"/>
      <c r="H400" s="37"/>
      <c r="I400" s="37"/>
      <c r="J400" s="41"/>
      <c r="K400" s="26">
        <f>IF(OR($E400&lt;&gt;"CS",$H400&lt;&gt;"x"),0,INDEX($Y$4:$Y$14,MATCH($G400,$X$4:$X410,0),1))*J400*1.1</f>
        <v>0</v>
      </c>
      <c r="L400" s="26">
        <f t="shared" si="44"/>
        <v>0</v>
      </c>
      <c r="M400" s="26">
        <f>IF($I400&lt;&gt;"x",0,INDEX($Y$27:$Y$37,MATCH($G400,$X$27:$X433,0),1))*J400*1.1</f>
        <v>0</v>
      </c>
      <c r="N400" s="20">
        <f t="shared" si="45"/>
        <v>0</v>
      </c>
      <c r="O400" s="20">
        <f t="shared" si="46"/>
        <v>0</v>
      </c>
      <c r="P400" s="20">
        <f>IF(OR($E400&lt;&gt;"CS",$H400&lt;&gt;"x"),0,INDEX($Z$4:$Z$14,MATCH($G400,$X$4:$X410,0),1))*J400*1.1</f>
        <v>0</v>
      </c>
      <c r="Q400" s="26">
        <f>IF($I400&lt;&gt;"x",0,INDEX($Z$27:$Z$37,MATCH($G400,$X$27:$X433,0),1))*J400*1.1</f>
        <v>0</v>
      </c>
      <c r="R400" s="20">
        <f t="shared" si="47"/>
        <v>0</v>
      </c>
      <c r="S400" s="86">
        <f t="shared" si="48"/>
        <v>0</v>
      </c>
    </row>
    <row r="401" spans="2:19">
      <c r="B401" s="14">
        <f t="shared" si="49"/>
        <v>398</v>
      </c>
      <c r="C401" s="37"/>
      <c r="D401" s="39"/>
      <c r="E401" s="37"/>
      <c r="F401" s="38"/>
      <c r="G401" s="37"/>
      <c r="H401" s="37"/>
      <c r="I401" s="37"/>
      <c r="J401" s="41"/>
      <c r="K401" s="26">
        <f>IF(OR($E401&lt;&gt;"CS",$H401&lt;&gt;"x"),0,INDEX($Y$4:$Y$14,MATCH($G401,$X$4:$X411,0),1))*J401*1.1</f>
        <v>0</v>
      </c>
      <c r="L401" s="26">
        <f t="shared" si="44"/>
        <v>0</v>
      </c>
      <c r="M401" s="26">
        <f>IF($I401&lt;&gt;"x",0,INDEX($Y$27:$Y$37,MATCH($G401,$X$27:$X434,0),1))*J401*1.1</f>
        <v>0</v>
      </c>
      <c r="N401" s="20">
        <f t="shared" si="45"/>
        <v>0</v>
      </c>
      <c r="O401" s="20">
        <f t="shared" si="46"/>
        <v>0</v>
      </c>
      <c r="P401" s="20">
        <f>IF(OR($E401&lt;&gt;"CS",$H401&lt;&gt;"x"),0,INDEX($Z$4:$Z$14,MATCH($G401,$X$4:$X411,0),1))*J401*1.1</f>
        <v>0</v>
      </c>
      <c r="Q401" s="26">
        <f>IF($I401&lt;&gt;"x",0,INDEX($Z$27:$Z$37,MATCH($G401,$X$27:$X434,0),1))*J401*1.1</f>
        <v>0</v>
      </c>
      <c r="R401" s="20">
        <f t="shared" si="47"/>
        <v>0</v>
      </c>
      <c r="S401" s="86">
        <f t="shared" si="48"/>
        <v>0</v>
      </c>
    </row>
    <row r="402" spans="2:19">
      <c r="B402" s="14">
        <f t="shared" si="49"/>
        <v>399</v>
      </c>
      <c r="C402" s="37"/>
      <c r="D402" s="39"/>
      <c r="E402" s="37"/>
      <c r="F402" s="38"/>
      <c r="G402" s="37"/>
      <c r="H402" s="37"/>
      <c r="I402" s="37"/>
      <c r="J402" s="41"/>
      <c r="K402" s="26">
        <f>IF(OR($E402&lt;&gt;"CS",$H402&lt;&gt;"x"),0,INDEX($Y$4:$Y$14,MATCH($G402,$X$4:$X412,0),1))*J402*1.1</f>
        <v>0</v>
      </c>
      <c r="L402" s="26">
        <f t="shared" si="44"/>
        <v>0</v>
      </c>
      <c r="M402" s="26">
        <f>IF($I402&lt;&gt;"x",0,INDEX($Y$27:$Y$37,MATCH($G402,$X$27:$X435,0),1))*J402*1.1</f>
        <v>0</v>
      </c>
      <c r="N402" s="20">
        <f t="shared" si="45"/>
        <v>0</v>
      </c>
      <c r="O402" s="20">
        <f t="shared" si="46"/>
        <v>0</v>
      </c>
      <c r="P402" s="20">
        <f>IF(OR($E402&lt;&gt;"CS",$H402&lt;&gt;"x"),0,INDEX($Z$4:$Z$14,MATCH($G402,$X$4:$X412,0),1))*J402*1.1</f>
        <v>0</v>
      </c>
      <c r="Q402" s="26">
        <f>IF($I402&lt;&gt;"x",0,INDEX($Z$27:$Z$37,MATCH($G402,$X$27:$X435,0),1))*J402*1.1</f>
        <v>0</v>
      </c>
      <c r="R402" s="20">
        <f t="shared" si="47"/>
        <v>0</v>
      </c>
      <c r="S402" s="86">
        <f t="shared" si="48"/>
        <v>0</v>
      </c>
    </row>
    <row r="403" spans="2:19">
      <c r="B403" s="14">
        <f t="shared" si="49"/>
        <v>400</v>
      </c>
      <c r="C403" s="37"/>
      <c r="D403" s="39"/>
      <c r="E403" s="37"/>
      <c r="F403" s="38"/>
      <c r="G403" s="37"/>
      <c r="H403" s="37"/>
      <c r="I403" s="37"/>
      <c r="J403" s="41"/>
      <c r="K403" s="26">
        <f>IF(OR($E403&lt;&gt;"CS",$H403&lt;&gt;"x"),0,INDEX($Y$4:$Y$14,MATCH($G403,$X$4:$X413,0),1))*J403*1.1</f>
        <v>0</v>
      </c>
      <c r="L403" s="26">
        <f t="shared" si="44"/>
        <v>0</v>
      </c>
      <c r="M403" s="26">
        <f>IF($I403&lt;&gt;"x",0,INDEX($Y$27:$Y$37,MATCH($G403,$X$27:$X436,0),1))*J403*1.1</f>
        <v>0</v>
      </c>
      <c r="N403" s="20">
        <f t="shared" si="45"/>
        <v>0</v>
      </c>
      <c r="O403" s="20">
        <f t="shared" si="46"/>
        <v>0</v>
      </c>
      <c r="P403" s="20">
        <f>IF(OR($E403&lt;&gt;"CS",$H403&lt;&gt;"x"),0,INDEX($Z$4:$Z$14,MATCH($G403,$X$4:$X413,0),1))*J403*1.1</f>
        <v>0</v>
      </c>
      <c r="Q403" s="26">
        <f>IF($I403&lt;&gt;"x",0,INDEX($Z$27:$Z$37,MATCH($G403,$X$27:$X436,0),1))*J403*1.1</f>
        <v>0</v>
      </c>
      <c r="R403" s="20">
        <f t="shared" si="47"/>
        <v>0</v>
      </c>
      <c r="S403" s="86">
        <f t="shared" si="48"/>
        <v>0</v>
      </c>
    </row>
    <row r="404" spans="2:19">
      <c r="B404" s="14">
        <f t="shared" si="49"/>
        <v>401</v>
      </c>
      <c r="C404" s="147"/>
      <c r="D404" s="148"/>
      <c r="E404" s="147"/>
      <c r="F404" s="38"/>
      <c r="G404" s="37"/>
      <c r="H404" s="37"/>
      <c r="I404" s="37"/>
      <c r="J404" s="41"/>
      <c r="K404" s="26">
        <f>IF(OR($E404&lt;&gt;"CS",$H404&lt;&gt;"x"),0,INDEX($Y$4:$Y$14,MATCH($G404,$X$4:$X414,0),1))*J404*1.1</f>
        <v>0</v>
      </c>
      <c r="L404" s="26">
        <f t="shared" si="44"/>
        <v>0</v>
      </c>
      <c r="M404" s="26">
        <f>IF($I404&lt;&gt;"x",0,INDEX($Y$27:$Y$37,MATCH($G404,$X$27:$X437,0),1))*J404*1.1</f>
        <v>0</v>
      </c>
      <c r="N404" s="20">
        <f t="shared" si="45"/>
        <v>0</v>
      </c>
      <c r="O404" s="20">
        <f t="shared" si="46"/>
        <v>0</v>
      </c>
      <c r="P404" s="20">
        <f>IF(OR($E404&lt;&gt;"CS",$H404&lt;&gt;"x"),0,INDEX($Z$4:$Z$14,MATCH($G404,$X$4:$X414,0),1))*J404*1.1</f>
        <v>0</v>
      </c>
      <c r="Q404" s="26">
        <f>IF($I404&lt;&gt;"x",0,INDEX($Z$27:$Z$37,MATCH($G404,$X$27:$X437,0),1))*J404*1.1</f>
        <v>0</v>
      </c>
      <c r="R404" s="20">
        <f t="shared" si="47"/>
        <v>0</v>
      </c>
      <c r="S404" s="86">
        <f t="shared" si="48"/>
        <v>0</v>
      </c>
    </row>
    <row r="405" spans="2:19">
      <c r="B405" s="14">
        <f t="shared" si="49"/>
        <v>402</v>
      </c>
      <c r="C405" s="147"/>
      <c r="D405" s="148"/>
      <c r="E405" s="147"/>
      <c r="F405" s="38"/>
      <c r="G405" s="37"/>
      <c r="H405" s="37"/>
      <c r="I405" s="37"/>
      <c r="J405" s="41"/>
      <c r="K405" s="26">
        <f>IF(OR($E405&lt;&gt;"CS",$H405&lt;&gt;"x"),0,INDEX($Y$4:$Y$14,MATCH($G405,$X$4:$X415,0),1))*J405*1.1</f>
        <v>0</v>
      </c>
      <c r="L405" s="26">
        <f t="shared" si="44"/>
        <v>0</v>
      </c>
      <c r="M405" s="26">
        <f>IF($I405&lt;&gt;"x",0,INDEX($Y$27:$Y$37,MATCH($G405,$X$27:$X438,0),1))*J405*1.1</f>
        <v>0</v>
      </c>
      <c r="N405" s="20">
        <f t="shared" si="45"/>
        <v>0</v>
      </c>
      <c r="O405" s="20">
        <f t="shared" si="46"/>
        <v>0</v>
      </c>
      <c r="P405" s="20">
        <f>IF(OR($E405&lt;&gt;"CS",$H405&lt;&gt;"x"),0,INDEX($Z$4:$Z$14,MATCH($G405,$X$4:$X415,0),1))*J405*1.1</f>
        <v>0</v>
      </c>
      <c r="Q405" s="26">
        <f>IF($I405&lt;&gt;"x",0,INDEX($Z$27:$Z$37,MATCH($G405,$X$27:$X438,0),1))*J405*1.1</f>
        <v>0</v>
      </c>
      <c r="R405" s="20">
        <f t="shared" si="47"/>
        <v>0</v>
      </c>
      <c r="S405" s="86">
        <f t="shared" si="48"/>
        <v>0</v>
      </c>
    </row>
    <row r="406" spans="2:19">
      <c r="B406" s="14">
        <f t="shared" si="49"/>
        <v>403</v>
      </c>
      <c r="C406" s="147"/>
      <c r="D406" s="148"/>
      <c r="E406" s="147"/>
      <c r="F406" s="38"/>
      <c r="G406" s="37"/>
      <c r="H406" s="37"/>
      <c r="I406" s="37"/>
      <c r="J406" s="41"/>
      <c r="K406" s="26">
        <f>IF(OR($E406&lt;&gt;"CS",$H406&lt;&gt;"x"),0,INDEX($Y$4:$Y$14,MATCH($G406,$X$4:$X416,0),1))*J406*1.1</f>
        <v>0</v>
      </c>
      <c r="L406" s="26">
        <f t="shared" si="44"/>
        <v>0</v>
      </c>
      <c r="M406" s="26">
        <f>IF($I406&lt;&gt;"x",0,INDEX($Y$27:$Y$37,MATCH($G406,$X$27:$X439,0),1))*J406*1.1</f>
        <v>0</v>
      </c>
      <c r="N406" s="20">
        <f t="shared" si="45"/>
        <v>0</v>
      </c>
      <c r="O406" s="20">
        <f t="shared" si="46"/>
        <v>0</v>
      </c>
      <c r="P406" s="20">
        <f>IF(OR($E406&lt;&gt;"CS",$H406&lt;&gt;"x"),0,INDEX($Z$4:$Z$14,MATCH($G406,$X$4:$X416,0),1))*J406*1.1</f>
        <v>0</v>
      </c>
      <c r="Q406" s="26">
        <f>IF($I406&lt;&gt;"x",0,INDEX($Z$27:$Z$37,MATCH($G406,$X$27:$X439,0),1))*J406*1.1</f>
        <v>0</v>
      </c>
      <c r="R406" s="20">
        <f t="shared" si="47"/>
        <v>0</v>
      </c>
      <c r="S406" s="86">
        <f t="shared" si="48"/>
        <v>0</v>
      </c>
    </row>
    <row r="407" spans="2:19">
      <c r="B407" s="14">
        <f t="shared" si="49"/>
        <v>404</v>
      </c>
      <c r="C407" s="147"/>
      <c r="D407" s="148"/>
      <c r="E407" s="147"/>
      <c r="F407" s="38"/>
      <c r="G407" s="37"/>
      <c r="H407" s="37"/>
      <c r="I407" s="37"/>
      <c r="J407" s="41"/>
      <c r="K407" s="26">
        <f>IF(OR($E407&lt;&gt;"CS",$H407&lt;&gt;"x"),0,INDEX($Y$4:$Y$14,MATCH($G407,$X$4:$X417,0),1))*J407*1.1</f>
        <v>0</v>
      </c>
      <c r="L407" s="26">
        <f t="shared" si="44"/>
        <v>0</v>
      </c>
      <c r="M407" s="26">
        <f>IF($I407&lt;&gt;"x",0,INDEX($Y$27:$Y$37,MATCH($G407,$X$27:$X440,0),1))*J407*1.1</f>
        <v>0</v>
      </c>
      <c r="N407" s="20">
        <f t="shared" si="45"/>
        <v>0</v>
      </c>
      <c r="O407" s="20">
        <f t="shared" si="46"/>
        <v>0</v>
      </c>
      <c r="P407" s="20">
        <f>IF(OR($E407&lt;&gt;"CS",$H407&lt;&gt;"x"),0,INDEX($Z$4:$Z$14,MATCH($G407,$X$4:$X417,0),1))*J407*1.1</f>
        <v>0</v>
      </c>
      <c r="Q407" s="26">
        <f>IF($I407&lt;&gt;"x",0,INDEX($Z$27:$Z$37,MATCH($G407,$X$27:$X440,0),1))*J407*1.1</f>
        <v>0</v>
      </c>
      <c r="R407" s="20">
        <f t="shared" si="47"/>
        <v>0</v>
      </c>
      <c r="S407" s="86">
        <f t="shared" si="48"/>
        <v>0</v>
      </c>
    </row>
    <row r="408" spans="2:19">
      <c r="B408" s="14">
        <f t="shared" si="49"/>
        <v>405</v>
      </c>
      <c r="C408" s="147"/>
      <c r="D408" s="148"/>
      <c r="E408" s="147"/>
      <c r="F408" s="38"/>
      <c r="G408" s="37"/>
      <c r="H408" s="37"/>
      <c r="I408" s="37"/>
      <c r="J408" s="41"/>
      <c r="K408" s="26">
        <f>IF(OR($E408&lt;&gt;"CS",$H408&lt;&gt;"x"),0,INDEX($Y$4:$Y$14,MATCH($G408,$X$4:$X418,0),1))*J408*1.1</f>
        <v>0</v>
      </c>
      <c r="L408" s="26">
        <f t="shared" si="44"/>
        <v>0</v>
      </c>
      <c r="M408" s="26">
        <f>IF($I408&lt;&gt;"x",0,INDEX($Y$27:$Y$37,MATCH($G408,$X$27:$X441,0),1))*J408*1.1</f>
        <v>0</v>
      </c>
      <c r="N408" s="20">
        <f t="shared" si="45"/>
        <v>0</v>
      </c>
      <c r="O408" s="20">
        <f t="shared" si="46"/>
        <v>0</v>
      </c>
      <c r="P408" s="20">
        <f>IF(OR($E408&lt;&gt;"CS",$H408&lt;&gt;"x"),0,INDEX($Z$4:$Z$14,MATCH($G408,$X$4:$X418,0),1))*J408*1.1</f>
        <v>0</v>
      </c>
      <c r="Q408" s="26">
        <f>IF($I408&lt;&gt;"x",0,INDEX($Z$27:$Z$37,MATCH($G408,$X$27:$X441,0),1))*J408*1.1</f>
        <v>0</v>
      </c>
      <c r="R408" s="20">
        <f t="shared" si="47"/>
        <v>0</v>
      </c>
      <c r="S408" s="86">
        <f t="shared" si="48"/>
        <v>0</v>
      </c>
    </row>
    <row r="409" spans="2:19">
      <c r="B409" s="14">
        <f t="shared" si="49"/>
        <v>406</v>
      </c>
      <c r="C409" s="147"/>
      <c r="D409" s="148"/>
      <c r="E409" s="147"/>
      <c r="F409" s="38"/>
      <c r="G409" s="37"/>
      <c r="H409" s="37"/>
      <c r="I409" s="37"/>
      <c r="J409" s="41"/>
      <c r="K409" s="26">
        <f>IF(OR($E409&lt;&gt;"CS",$H409&lt;&gt;"x"),0,INDEX($Y$4:$Y$14,MATCH($G409,$X$4:$X419,0),1))*J409*1.1</f>
        <v>0</v>
      </c>
      <c r="L409" s="26">
        <f t="shared" si="44"/>
        <v>0</v>
      </c>
      <c r="M409" s="26">
        <f>IF($I409&lt;&gt;"x",0,INDEX($Y$27:$Y$37,MATCH($G409,$X$27:$X442,0),1))*J409*1.1</f>
        <v>0</v>
      </c>
      <c r="N409" s="20">
        <f t="shared" si="45"/>
        <v>0</v>
      </c>
      <c r="O409" s="20">
        <f t="shared" si="46"/>
        <v>0</v>
      </c>
      <c r="P409" s="20">
        <f>IF(OR($E409&lt;&gt;"CS",$H409&lt;&gt;"x"),0,INDEX($Z$4:$Z$14,MATCH($G409,$X$4:$X419,0),1))*J409*1.1</f>
        <v>0</v>
      </c>
      <c r="Q409" s="26">
        <f>IF($I409&lt;&gt;"x",0,INDEX($Z$27:$Z$37,MATCH($G409,$X$27:$X442,0),1))*J409*1.1</f>
        <v>0</v>
      </c>
      <c r="R409" s="20">
        <f t="shared" si="47"/>
        <v>0</v>
      </c>
      <c r="S409" s="86">
        <f t="shared" si="48"/>
        <v>0</v>
      </c>
    </row>
    <row r="410" spans="2:19">
      <c r="B410" s="14">
        <f t="shared" si="49"/>
        <v>407</v>
      </c>
      <c r="C410" s="147"/>
      <c r="D410" s="148"/>
      <c r="E410" s="147"/>
      <c r="F410" s="38"/>
      <c r="G410" s="37"/>
      <c r="H410" s="37"/>
      <c r="I410" s="37"/>
      <c r="J410" s="41"/>
      <c r="K410" s="26">
        <f>IF(OR($E410&lt;&gt;"CS",$H410&lt;&gt;"x"),0,INDEX($Y$4:$Y$14,MATCH($G410,$X$4:$X420,0),1))*J410*1.1</f>
        <v>0</v>
      </c>
      <c r="L410" s="26">
        <f t="shared" si="44"/>
        <v>0</v>
      </c>
      <c r="M410" s="26">
        <f>IF($I410&lt;&gt;"x",0,INDEX($Y$27:$Y$37,MATCH($G410,$X$27:$X443,0),1))*J410*1.1</f>
        <v>0</v>
      </c>
      <c r="N410" s="20">
        <f t="shared" si="45"/>
        <v>0</v>
      </c>
      <c r="O410" s="20">
        <f t="shared" si="46"/>
        <v>0</v>
      </c>
      <c r="P410" s="20">
        <f>IF(OR($E410&lt;&gt;"CS",$H410&lt;&gt;"x"),0,INDEX($Z$4:$Z$14,MATCH($G410,$X$4:$X420,0),1))*J410*1.1</f>
        <v>0</v>
      </c>
      <c r="Q410" s="26">
        <f>IF($I410&lt;&gt;"x",0,INDEX($Z$27:$Z$37,MATCH($G410,$X$27:$X443,0),1))*J410*1.1</f>
        <v>0</v>
      </c>
      <c r="R410" s="20">
        <f t="shared" si="47"/>
        <v>0</v>
      </c>
      <c r="S410" s="86">
        <f t="shared" si="48"/>
        <v>0</v>
      </c>
    </row>
    <row r="411" spans="2:19">
      <c r="B411" s="14">
        <f t="shared" si="49"/>
        <v>408</v>
      </c>
      <c r="C411" s="147"/>
      <c r="D411" s="148"/>
      <c r="E411" s="147"/>
      <c r="F411" s="38"/>
      <c r="G411" s="37"/>
      <c r="H411" s="37"/>
      <c r="I411" s="37"/>
      <c r="J411" s="41"/>
      <c r="K411" s="26">
        <f>IF(OR($E411&lt;&gt;"CS",$H411&lt;&gt;"x"),0,INDEX($Y$4:$Y$14,MATCH($G411,$X$4:$X421,0),1))*J411*1.1</f>
        <v>0</v>
      </c>
      <c r="L411" s="26">
        <f t="shared" si="44"/>
        <v>0</v>
      </c>
      <c r="M411" s="26">
        <f>IF($I411&lt;&gt;"x",0,INDEX($Y$27:$Y$37,MATCH($G411,$X$27:$X444,0),1))*J411*1.1</f>
        <v>0</v>
      </c>
      <c r="N411" s="20">
        <f t="shared" si="45"/>
        <v>0</v>
      </c>
      <c r="O411" s="20">
        <f t="shared" si="46"/>
        <v>0</v>
      </c>
      <c r="P411" s="20">
        <f>IF(OR($E411&lt;&gt;"CS",$H411&lt;&gt;"x"),0,INDEX($Z$4:$Z$14,MATCH($G411,$X$4:$X421,0),1))*J411*1.1</f>
        <v>0</v>
      </c>
      <c r="Q411" s="26">
        <f>IF($I411&lt;&gt;"x",0,INDEX($Z$27:$Z$37,MATCH($G411,$X$27:$X444,0),1))*J411*1.1</f>
        <v>0</v>
      </c>
      <c r="R411" s="20">
        <f t="shared" si="47"/>
        <v>0</v>
      </c>
      <c r="S411" s="86">
        <f t="shared" si="48"/>
        <v>0</v>
      </c>
    </row>
    <row r="412" spans="2:19">
      <c r="B412" s="14">
        <f t="shared" si="49"/>
        <v>409</v>
      </c>
      <c r="C412" s="147"/>
      <c r="D412" s="148"/>
      <c r="E412" s="147"/>
      <c r="F412" s="38"/>
      <c r="G412" s="37"/>
      <c r="H412" s="37"/>
      <c r="I412" s="37"/>
      <c r="J412" s="41"/>
      <c r="K412" s="26">
        <f>IF(OR($E412&lt;&gt;"CS",$H412&lt;&gt;"x"),0,INDEX($Y$4:$Y$14,MATCH($G412,$X$4:$X422,0),1))*J412*1.1</f>
        <v>0</v>
      </c>
      <c r="L412" s="26">
        <f t="shared" si="44"/>
        <v>0</v>
      </c>
      <c r="M412" s="26">
        <f>IF($I412&lt;&gt;"x",0,INDEX($Y$27:$Y$37,MATCH($G412,$X$27:$X445,0),1))*J412*1.1</f>
        <v>0</v>
      </c>
      <c r="N412" s="20">
        <f t="shared" si="45"/>
        <v>0</v>
      </c>
      <c r="O412" s="20">
        <f t="shared" si="46"/>
        <v>0</v>
      </c>
      <c r="P412" s="20">
        <f>IF(OR($E412&lt;&gt;"CS",$H412&lt;&gt;"x"),0,INDEX($Z$4:$Z$14,MATCH($G412,$X$4:$X422,0),1))*J412*1.1</f>
        <v>0</v>
      </c>
      <c r="Q412" s="26">
        <f>IF($I412&lt;&gt;"x",0,INDEX($Z$27:$Z$37,MATCH($G412,$X$27:$X445,0),1))*J412*1.1</f>
        <v>0</v>
      </c>
      <c r="R412" s="20">
        <f t="shared" si="47"/>
        <v>0</v>
      </c>
      <c r="S412" s="86">
        <f t="shared" si="48"/>
        <v>0</v>
      </c>
    </row>
    <row r="413" spans="2:19">
      <c r="B413" s="60"/>
      <c r="C413" s="60"/>
      <c r="D413" s="60"/>
      <c r="E413" s="60"/>
      <c r="F413" s="60"/>
      <c r="G413" s="60"/>
      <c r="H413" s="60"/>
      <c r="I413" s="60"/>
      <c r="J413" s="60"/>
      <c r="K413" s="60"/>
      <c r="L413" s="60"/>
      <c r="M413" s="60"/>
      <c r="N413" s="89">
        <f t="shared" ref="N413:S413" si="50">SUM(N4:N412)</f>
        <v>0</v>
      </c>
      <c r="O413" s="89">
        <f t="shared" si="50"/>
        <v>0</v>
      </c>
      <c r="P413" s="89">
        <f t="shared" si="50"/>
        <v>0</v>
      </c>
      <c r="Q413" s="89">
        <f t="shared" si="50"/>
        <v>0</v>
      </c>
      <c r="R413" s="89">
        <f t="shared" si="50"/>
        <v>0</v>
      </c>
      <c r="S413" s="93">
        <f t="shared" si="50"/>
        <v>0</v>
      </c>
    </row>
  </sheetData>
  <dataValidations count="2">
    <dataValidation type="list" allowBlank="1" showInputMessage="1" showErrorMessage="1" sqref="J4:J412" xr:uid="{507E470D-C674-445C-A58C-0353E499D224}">
      <formula1>$AB$4:$AB$5</formula1>
    </dataValidation>
    <dataValidation type="list" allowBlank="1" showInputMessage="1" showErrorMessage="1" sqref="I202:I412" xr:uid="{3A3DA11D-A7BA-4408-858A-6A2C6E9D3423}">
      <formula1>$AA$4:$AA$6</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CF770-1773-409A-88E5-09D742437A41}">
  <sheetPr codeName="Sheet5">
    <tabColor theme="9" tint="0.59999389629810485"/>
  </sheetPr>
  <dimension ref="B1:T32"/>
  <sheetViews>
    <sheetView showGridLines="0" zoomScale="75" zoomScaleNormal="75" workbookViewId="0"/>
  </sheetViews>
  <sheetFormatPr defaultRowHeight="15"/>
  <cols>
    <col min="1" max="1" width="3.5703125" customWidth="1"/>
    <col min="2" max="9" width="15.7109375" customWidth="1"/>
    <col min="13" max="14" width="30.7109375" customWidth="1"/>
  </cols>
  <sheetData>
    <row r="1" spans="2:20" ht="21">
      <c r="B1" s="887" t="s">
        <v>578</v>
      </c>
      <c r="C1" s="887"/>
      <c r="D1" s="887"/>
      <c r="E1" s="887"/>
      <c r="F1" s="887"/>
      <c r="G1" s="887"/>
      <c r="H1" s="887"/>
      <c r="I1" s="887"/>
      <c r="K1" s="185"/>
      <c r="L1" s="185"/>
      <c r="M1" s="185"/>
      <c r="N1" s="185"/>
    </row>
    <row r="2" spans="2:20" ht="19.5" thickBot="1">
      <c r="K2" s="185"/>
      <c r="L2" s="185"/>
      <c r="M2" s="185"/>
      <c r="N2" s="185"/>
    </row>
    <row r="3" spans="2:20" ht="95.25" customHeight="1" thickTop="1" thickBot="1">
      <c r="B3" s="169" t="s">
        <v>579</v>
      </c>
      <c r="C3" s="170" t="s">
        <v>580</v>
      </c>
      <c r="D3" s="170" t="s">
        <v>581</v>
      </c>
      <c r="E3" s="170" t="s">
        <v>582</v>
      </c>
      <c r="F3" s="171" t="s">
        <v>583</v>
      </c>
      <c r="G3" s="170" t="s">
        <v>584</v>
      </c>
      <c r="H3" s="170" t="s">
        <v>585</v>
      </c>
      <c r="I3" s="172" t="s">
        <v>586</v>
      </c>
      <c r="K3" s="185"/>
      <c r="L3" s="185"/>
      <c r="M3" s="191" t="s">
        <v>587</v>
      </c>
      <c r="N3" s="192" t="s">
        <v>588</v>
      </c>
    </row>
    <row r="4" spans="2:20" ht="19.5" thickBot="1">
      <c r="B4" s="173" t="s">
        <v>589</v>
      </c>
      <c r="C4" s="174">
        <v>0.16</v>
      </c>
      <c r="D4" s="174">
        <v>6.6666666999999999E-2</v>
      </c>
      <c r="E4" s="174">
        <v>2.52</v>
      </c>
      <c r="F4" s="175">
        <v>0.9</v>
      </c>
      <c r="G4" s="174">
        <v>2.1</v>
      </c>
      <c r="H4" s="174" t="s">
        <v>590</v>
      </c>
      <c r="I4" s="176">
        <v>6.4</v>
      </c>
      <c r="K4" s="185"/>
      <c r="L4" s="185"/>
      <c r="M4" s="191">
        <v>1</v>
      </c>
      <c r="N4" s="191" t="s">
        <v>523</v>
      </c>
    </row>
    <row r="5" spans="2:20" ht="19.5" thickBot="1">
      <c r="B5" s="177" t="s">
        <v>590</v>
      </c>
      <c r="C5" s="178">
        <v>0.31</v>
      </c>
      <c r="D5" s="178">
        <v>0.12916666700000001</v>
      </c>
      <c r="E5" s="178">
        <v>2.06</v>
      </c>
      <c r="F5" s="179">
        <v>0.96</v>
      </c>
      <c r="G5" s="178">
        <v>2.1</v>
      </c>
      <c r="H5" s="178" t="s">
        <v>590</v>
      </c>
      <c r="I5" s="180">
        <v>6.4</v>
      </c>
      <c r="K5" s="185"/>
      <c r="L5" s="185"/>
      <c r="M5" s="191">
        <v>10</v>
      </c>
      <c r="N5" s="191" t="s">
        <v>591</v>
      </c>
    </row>
    <row r="6" spans="2:20" ht="19.5" thickBot="1">
      <c r="B6" s="173" t="s">
        <v>519</v>
      </c>
      <c r="C6" s="174">
        <v>0.72</v>
      </c>
      <c r="D6" s="174">
        <v>0.3</v>
      </c>
      <c r="E6" s="174">
        <v>2.48</v>
      </c>
      <c r="F6" s="175">
        <v>1.21</v>
      </c>
      <c r="G6" s="174">
        <v>2.1</v>
      </c>
      <c r="H6" s="174" t="s">
        <v>590</v>
      </c>
      <c r="I6" s="176">
        <v>6.4</v>
      </c>
      <c r="K6" s="185"/>
      <c r="L6" s="185"/>
      <c r="M6" s="191">
        <v>100</v>
      </c>
      <c r="N6" s="191" t="s">
        <v>592</v>
      </c>
    </row>
    <row r="7" spans="2:20" ht="19.5" thickBot="1">
      <c r="B7" s="177" t="s">
        <v>523</v>
      </c>
      <c r="C7" s="178">
        <v>1.4</v>
      </c>
      <c r="D7" s="178">
        <v>0.58333333300000001</v>
      </c>
      <c r="E7" s="178">
        <v>2.5</v>
      </c>
      <c r="F7" s="179">
        <v>1.48</v>
      </c>
      <c r="G7" s="178">
        <v>2.1</v>
      </c>
      <c r="H7" s="178" t="s">
        <v>590</v>
      </c>
      <c r="I7" s="180">
        <v>6.4</v>
      </c>
      <c r="K7" s="185"/>
      <c r="L7" s="185"/>
      <c r="M7" s="191">
        <v>1000</v>
      </c>
      <c r="N7" s="191" t="s">
        <v>593</v>
      </c>
    </row>
    <row r="8" spans="2:20" ht="19.5" thickBot="1">
      <c r="B8" s="173" t="s">
        <v>529</v>
      </c>
      <c r="C8" s="174">
        <v>3</v>
      </c>
      <c r="D8" s="174">
        <v>1.25</v>
      </c>
      <c r="E8" s="174">
        <v>2.58</v>
      </c>
      <c r="F8" s="175">
        <v>1.8</v>
      </c>
      <c r="G8" s="174">
        <v>2.1</v>
      </c>
      <c r="H8" s="174" t="s">
        <v>590</v>
      </c>
      <c r="I8" s="176">
        <v>6.4</v>
      </c>
      <c r="K8" s="185"/>
      <c r="L8" s="185"/>
      <c r="M8" s="193" t="s">
        <v>594</v>
      </c>
      <c r="N8" s="194" t="e">
        <f>INDEX($B$4:$B$29, MATCH(M8, $C$4:$C$29, 1))</f>
        <v>#N/A</v>
      </c>
    </row>
    <row r="9" spans="2:20" ht="19.5" thickBot="1">
      <c r="B9" s="177" t="s">
        <v>595</v>
      </c>
      <c r="C9" s="178">
        <v>5.6</v>
      </c>
      <c r="D9" s="178">
        <v>2.3333333330000001</v>
      </c>
      <c r="E9" s="178">
        <v>2.44</v>
      </c>
      <c r="F9" s="179">
        <v>2.08</v>
      </c>
      <c r="G9" s="178">
        <v>2.1</v>
      </c>
      <c r="H9" s="178" t="s">
        <v>590</v>
      </c>
      <c r="I9" s="180">
        <v>6.4</v>
      </c>
      <c r="K9" s="185"/>
      <c r="L9" s="185"/>
      <c r="M9" s="185"/>
      <c r="N9" s="185"/>
    </row>
    <row r="10" spans="2:20" ht="19.5" thickBot="1">
      <c r="B10" s="173" t="s">
        <v>596</v>
      </c>
      <c r="C10" s="174">
        <v>12</v>
      </c>
      <c r="D10" s="174">
        <v>5</v>
      </c>
      <c r="E10" s="174">
        <v>2.5299999999999998</v>
      </c>
      <c r="F10" s="175">
        <v>2.57</v>
      </c>
      <c r="G10" s="174">
        <v>2.7</v>
      </c>
      <c r="H10" s="174" t="s">
        <v>519</v>
      </c>
      <c r="I10" s="176">
        <v>10</v>
      </c>
      <c r="K10" s="185"/>
      <c r="L10" s="185"/>
      <c r="M10" s="185"/>
      <c r="N10" s="185"/>
    </row>
    <row r="11" spans="2:20" ht="19.5" thickBot="1">
      <c r="B11" s="177" t="s">
        <v>591</v>
      </c>
      <c r="C11" s="178">
        <v>18</v>
      </c>
      <c r="D11" s="178">
        <v>7.5</v>
      </c>
      <c r="E11" s="178">
        <v>2.4900000000000002</v>
      </c>
      <c r="F11" s="179">
        <v>2.84</v>
      </c>
      <c r="G11" s="178">
        <v>2.7</v>
      </c>
      <c r="H11" s="178" t="s">
        <v>519</v>
      </c>
      <c r="I11" s="180">
        <v>10</v>
      </c>
      <c r="K11" s="185"/>
      <c r="L11" s="185"/>
      <c r="M11" s="185"/>
      <c r="N11" s="185"/>
    </row>
    <row r="12" spans="2:20" ht="19.5" thickBot="1">
      <c r="B12" s="173" t="s">
        <v>597</v>
      </c>
      <c r="C12" s="174">
        <v>35</v>
      </c>
      <c r="D12" s="174">
        <v>14.58333333</v>
      </c>
      <c r="E12" s="174">
        <v>2.46</v>
      </c>
      <c r="F12" s="175">
        <v>3.35</v>
      </c>
      <c r="G12" s="174">
        <v>3</v>
      </c>
      <c r="H12" s="174" t="s">
        <v>519</v>
      </c>
      <c r="I12" s="176">
        <v>10</v>
      </c>
    </row>
    <row r="13" spans="2:20" ht="21.75" thickBot="1">
      <c r="B13" s="177" t="s">
        <v>598</v>
      </c>
      <c r="C13" s="178">
        <v>56</v>
      </c>
      <c r="D13" s="178">
        <v>23.333333329999999</v>
      </c>
      <c r="E13" s="178">
        <v>2.44</v>
      </c>
      <c r="F13" s="179">
        <v>3.75</v>
      </c>
      <c r="G13" s="178">
        <v>3.4</v>
      </c>
      <c r="H13" s="178" t="s">
        <v>519</v>
      </c>
      <c r="I13" s="180">
        <v>10</v>
      </c>
      <c r="M13" s="887" t="s">
        <v>599</v>
      </c>
      <c r="N13" s="887"/>
      <c r="O13" s="887"/>
      <c r="P13" s="887"/>
      <c r="Q13" s="887"/>
      <c r="R13" s="887"/>
      <c r="S13" s="887"/>
      <c r="T13" s="887"/>
    </row>
    <row r="14" spans="2:20" ht="19.5" thickBot="1">
      <c r="B14" s="173" t="s">
        <v>600</v>
      </c>
      <c r="C14" s="174">
        <v>102</v>
      </c>
      <c r="D14" s="174">
        <v>42.5</v>
      </c>
      <c r="E14" s="174">
        <v>2.5299999999999998</v>
      </c>
      <c r="F14" s="175">
        <v>4.43</v>
      </c>
      <c r="G14" s="174">
        <v>3.7</v>
      </c>
      <c r="H14" s="174" t="s">
        <v>519</v>
      </c>
      <c r="I14" s="176">
        <v>10</v>
      </c>
    </row>
    <row r="15" spans="2:20" ht="19.5" thickBot="1">
      <c r="B15" s="177" t="s">
        <v>592</v>
      </c>
      <c r="C15" s="178">
        <v>208</v>
      </c>
      <c r="D15" s="178">
        <v>86.666666669999998</v>
      </c>
      <c r="E15" s="178">
        <v>2.4900000000000002</v>
      </c>
      <c r="F15" s="179">
        <v>5.24</v>
      </c>
      <c r="G15" s="178">
        <v>4.3</v>
      </c>
      <c r="H15" s="178" t="s">
        <v>523</v>
      </c>
      <c r="I15" s="180">
        <v>13</v>
      </c>
    </row>
    <row r="16" spans="2:20" ht="19.5" thickBot="1">
      <c r="B16" s="173" t="s">
        <v>601</v>
      </c>
      <c r="C16" s="174">
        <v>617</v>
      </c>
      <c r="D16" s="174">
        <v>257.08333329999999</v>
      </c>
      <c r="E16" s="174">
        <v>2.5</v>
      </c>
      <c r="F16" s="175">
        <v>6.85</v>
      </c>
      <c r="G16" s="174">
        <v>5.2</v>
      </c>
      <c r="H16" s="174" t="s">
        <v>523</v>
      </c>
      <c r="I16" s="176">
        <v>13</v>
      </c>
    </row>
    <row r="17" spans="2:9" ht="19.5" thickBot="1">
      <c r="B17" s="181" t="s">
        <v>602</v>
      </c>
      <c r="C17" s="182">
        <v>1275</v>
      </c>
      <c r="D17" s="178">
        <v>531.25</v>
      </c>
      <c r="E17" s="182">
        <v>2.5</v>
      </c>
      <c r="F17" s="183">
        <v>8.18</v>
      </c>
      <c r="G17" s="182">
        <v>5.8</v>
      </c>
      <c r="H17" s="182" t="s">
        <v>527</v>
      </c>
      <c r="I17" s="184">
        <v>16</v>
      </c>
    </row>
    <row r="18" spans="2:9" ht="19.5" thickBot="1">
      <c r="B18" s="173" t="s">
        <v>593</v>
      </c>
      <c r="C18" s="174">
        <v>2320</v>
      </c>
      <c r="D18" s="174">
        <v>966.66666669999995</v>
      </c>
      <c r="E18" s="174">
        <v>2.5</v>
      </c>
      <c r="F18" s="175">
        <v>9.44</v>
      </c>
      <c r="G18" s="174">
        <v>6.1</v>
      </c>
      <c r="H18" s="174" t="s">
        <v>529</v>
      </c>
      <c r="I18" s="176">
        <v>19</v>
      </c>
    </row>
    <row r="19" spans="2:9" ht="19.5" thickBot="1">
      <c r="B19" s="181" t="s">
        <v>603</v>
      </c>
      <c r="C19" s="182">
        <v>3525</v>
      </c>
      <c r="D19" s="178">
        <v>1468.75</v>
      </c>
      <c r="E19" s="182">
        <v>2.25</v>
      </c>
      <c r="F19" s="183">
        <v>10</v>
      </c>
      <c r="G19" s="182">
        <v>7</v>
      </c>
      <c r="H19" s="182" t="s">
        <v>532</v>
      </c>
      <c r="I19" s="184">
        <v>22</v>
      </c>
    </row>
    <row r="20" spans="2:9" ht="19.5" thickBot="1">
      <c r="B20" s="173" t="s">
        <v>604</v>
      </c>
      <c r="C20" s="174">
        <v>4300</v>
      </c>
      <c r="D20" s="174">
        <v>1791.666667</v>
      </c>
      <c r="E20" s="174">
        <v>2</v>
      </c>
      <c r="F20" s="175">
        <v>10</v>
      </c>
      <c r="G20" s="174">
        <v>7.6</v>
      </c>
      <c r="H20" s="174" t="s">
        <v>595</v>
      </c>
      <c r="I20" s="176">
        <v>25</v>
      </c>
    </row>
    <row r="21" spans="2:9" ht="19.5" thickBot="1">
      <c r="B21" s="181" t="s">
        <v>605</v>
      </c>
      <c r="C21" s="182">
        <v>5700</v>
      </c>
      <c r="D21" s="178">
        <v>2375</v>
      </c>
      <c r="E21" s="182">
        <v>1.7</v>
      </c>
      <c r="F21" s="183">
        <v>10</v>
      </c>
      <c r="G21" s="182">
        <v>8.1999999999999993</v>
      </c>
      <c r="H21" s="182" t="s">
        <v>595</v>
      </c>
      <c r="I21" s="184">
        <v>25</v>
      </c>
    </row>
    <row r="22" spans="2:9" ht="19.5" thickBot="1">
      <c r="B22" s="173" t="s">
        <v>606</v>
      </c>
      <c r="C22" s="174">
        <v>7280</v>
      </c>
      <c r="D22" s="174">
        <v>3033.333333</v>
      </c>
      <c r="E22" s="174">
        <v>1.46</v>
      </c>
      <c r="F22" s="175">
        <v>10</v>
      </c>
      <c r="G22" s="174">
        <v>8.5</v>
      </c>
      <c r="H22" s="174" t="s">
        <v>596</v>
      </c>
      <c r="I22" s="176">
        <v>32</v>
      </c>
    </row>
    <row r="23" spans="2:9" ht="19.5" thickBot="1">
      <c r="B23" s="181" t="s">
        <v>607</v>
      </c>
      <c r="C23" s="182">
        <v>9070</v>
      </c>
      <c r="D23" s="178">
        <v>3779.166667</v>
      </c>
      <c r="E23" s="182">
        <v>1.28</v>
      </c>
      <c r="F23" s="183">
        <v>10</v>
      </c>
      <c r="G23" s="182">
        <v>9.1</v>
      </c>
      <c r="H23" s="182" t="s">
        <v>596</v>
      </c>
      <c r="I23" s="184">
        <v>32</v>
      </c>
    </row>
    <row r="24" spans="2:9" ht="19.5" thickBot="1">
      <c r="B24" s="173" t="s">
        <v>608</v>
      </c>
      <c r="C24" s="174">
        <v>13230</v>
      </c>
      <c r="D24" s="174">
        <v>5512.5</v>
      </c>
      <c r="E24" s="174">
        <v>1.02</v>
      </c>
      <c r="F24" s="175">
        <v>10</v>
      </c>
      <c r="G24" s="174"/>
      <c r="H24" s="174"/>
      <c r="I24" s="176"/>
    </row>
    <row r="25" spans="2:9" ht="19.5" thickBot="1">
      <c r="B25" s="181" t="s">
        <v>609</v>
      </c>
      <c r="C25" s="182">
        <v>15600</v>
      </c>
      <c r="D25" s="178">
        <v>6500</v>
      </c>
      <c r="E25" s="182">
        <v>0.93</v>
      </c>
      <c r="F25" s="183">
        <v>10</v>
      </c>
      <c r="G25" s="182"/>
      <c r="H25" s="182"/>
      <c r="I25" s="184"/>
    </row>
    <row r="26" spans="2:9" ht="19.5" thickBot="1">
      <c r="B26" s="173" t="s">
        <v>610</v>
      </c>
      <c r="C26" s="174">
        <v>18180</v>
      </c>
      <c r="D26" s="174">
        <v>7575</v>
      </c>
      <c r="E26" s="174">
        <v>0.85</v>
      </c>
      <c r="F26" s="175">
        <v>10</v>
      </c>
      <c r="G26" s="174"/>
      <c r="H26" s="174"/>
      <c r="I26" s="176"/>
    </row>
    <row r="27" spans="2:9" ht="19.5" thickBot="1">
      <c r="B27" s="181" t="s">
        <v>611</v>
      </c>
      <c r="C27" s="182">
        <v>20950</v>
      </c>
      <c r="D27" s="178">
        <v>8729.1666669999995</v>
      </c>
      <c r="E27" s="182">
        <v>0.78</v>
      </c>
      <c r="F27" s="183">
        <v>10</v>
      </c>
      <c r="G27" s="182"/>
      <c r="H27" s="182"/>
      <c r="I27" s="184"/>
    </row>
    <row r="28" spans="2:9" ht="19.5" thickBot="1">
      <c r="B28" s="173" t="s">
        <v>612</v>
      </c>
      <c r="C28" s="174">
        <v>32900</v>
      </c>
      <c r="D28" s="174">
        <v>13708.333329999999</v>
      </c>
      <c r="E28" s="174">
        <v>0.72</v>
      </c>
      <c r="F28" s="175">
        <v>10</v>
      </c>
      <c r="G28" s="174"/>
      <c r="H28" s="174"/>
      <c r="I28" s="176"/>
    </row>
    <row r="29" spans="2:9" ht="19.5" thickBot="1">
      <c r="B29" s="186"/>
      <c r="C29" s="187"/>
      <c r="D29" s="187"/>
      <c r="E29" s="187"/>
      <c r="F29" s="188"/>
      <c r="G29" s="187"/>
      <c r="H29" s="187"/>
      <c r="I29" s="189"/>
    </row>
    <row r="30" spans="2:9" ht="19.5" thickTop="1">
      <c r="B30" s="190"/>
      <c r="C30" s="190"/>
      <c r="D30" s="190"/>
      <c r="E30" s="190"/>
      <c r="F30" s="190"/>
      <c r="G30" s="190"/>
      <c r="H30" s="190"/>
      <c r="I30" s="190"/>
    </row>
    <row r="31" spans="2:9" ht="18.75">
      <c r="B31" s="888" t="s">
        <v>613</v>
      </c>
      <c r="C31" s="888"/>
      <c r="D31" s="888"/>
      <c r="E31" s="888"/>
      <c r="F31" s="888"/>
      <c r="G31" s="888"/>
      <c r="H31" s="888"/>
      <c r="I31" s="888"/>
    </row>
    <row r="32" spans="2:9" ht="18.75">
      <c r="B32" s="888" t="s">
        <v>614</v>
      </c>
      <c r="C32" s="888"/>
      <c r="D32" s="888"/>
      <c r="E32" s="888"/>
      <c r="F32" s="888"/>
      <c r="G32" s="888"/>
      <c r="H32" s="888"/>
      <c r="I32" s="888"/>
    </row>
  </sheetData>
  <mergeCells count="4">
    <mergeCell ref="B1:I1"/>
    <mergeCell ref="B31:I31"/>
    <mergeCell ref="B32:I32"/>
    <mergeCell ref="M13:T1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49460-F538-46BA-9205-0D64B8AEDC0E}">
  <sheetPr codeName="Sheet6"/>
  <dimension ref="B1:T41"/>
  <sheetViews>
    <sheetView showGridLines="0" zoomScale="75" zoomScaleNormal="75" workbookViewId="0">
      <pane xSplit="2" ySplit="3" topLeftCell="C4" activePane="bottomRight" state="frozen"/>
      <selection pane="bottomRight" activeCell="C4" sqref="C4"/>
      <selection pane="bottomLeft" activeCell="A3" sqref="A3"/>
      <selection pane="topRight" activeCell="D1" sqref="D1"/>
    </sheetView>
  </sheetViews>
  <sheetFormatPr defaultRowHeight="15"/>
  <cols>
    <col min="1" max="1" width="2.140625" customWidth="1"/>
    <col min="3" max="10" width="14.7109375" customWidth="1"/>
    <col min="11" max="11" width="14.7109375" style="6" customWidth="1"/>
    <col min="12" max="14" width="14.7109375" customWidth="1"/>
    <col min="15" max="15" width="71.140625" customWidth="1"/>
  </cols>
  <sheetData>
    <row r="1" spans="2:20" ht="18.75">
      <c r="B1" s="59">
        <f>Summary!$C$1</f>
        <v>0</v>
      </c>
      <c r="C1" s="59"/>
      <c r="D1" s="59"/>
      <c r="E1" s="60"/>
      <c r="F1" s="60"/>
      <c r="G1" s="60"/>
      <c r="H1" s="60"/>
      <c r="I1" s="60"/>
      <c r="J1" s="60"/>
      <c r="K1" s="60"/>
      <c r="L1" s="28"/>
      <c r="M1" s="61"/>
      <c r="N1" s="62"/>
      <c r="O1" s="60"/>
      <c r="P1" s="60"/>
      <c r="Q1" s="60"/>
      <c r="R1" s="60"/>
      <c r="S1" s="60"/>
      <c r="T1" s="60"/>
    </row>
    <row r="2" spans="2:20" ht="18.75">
      <c r="B2" s="10" t="s">
        <v>615</v>
      </c>
      <c r="K2" s="17"/>
    </row>
    <row r="3" spans="2:20" s="1" customFormat="1">
      <c r="B3" s="7" t="s">
        <v>212</v>
      </c>
      <c r="C3" s="7" t="s">
        <v>616</v>
      </c>
      <c r="D3" s="7" t="s">
        <v>617</v>
      </c>
      <c r="E3" s="7" t="s">
        <v>618</v>
      </c>
      <c r="F3" s="7" t="s">
        <v>619</v>
      </c>
      <c r="G3" s="7" t="s">
        <v>620</v>
      </c>
      <c r="H3" s="7" t="s">
        <v>621</v>
      </c>
      <c r="I3" s="7" t="s">
        <v>622</v>
      </c>
      <c r="J3" s="7" t="s">
        <v>623</v>
      </c>
      <c r="K3" s="7" t="s">
        <v>624</v>
      </c>
      <c r="L3" s="7" t="s">
        <v>421</v>
      </c>
      <c r="M3" s="7" t="s">
        <v>74</v>
      </c>
      <c r="N3" s="30" t="s">
        <v>568</v>
      </c>
      <c r="O3" s="7" t="s">
        <v>39</v>
      </c>
    </row>
    <row r="4" spans="2:20">
      <c r="B4" s="11">
        <v>1</v>
      </c>
      <c r="C4" s="37" t="s">
        <v>625</v>
      </c>
      <c r="D4" s="37"/>
      <c r="E4" s="37"/>
      <c r="F4" s="37"/>
      <c r="G4" s="38"/>
      <c r="H4" s="82"/>
      <c r="I4" s="83"/>
      <c r="J4" s="83"/>
      <c r="K4" s="26">
        <f>SUM(H4:J4)*0.1</f>
        <v>0</v>
      </c>
      <c r="L4" s="20">
        <f>ROUND(SUM(H4:K4),-1)</f>
        <v>0</v>
      </c>
      <c r="M4" s="80"/>
      <c r="N4" s="25">
        <f t="shared" ref="N4:N35" si="0">+L4+M4</f>
        <v>0</v>
      </c>
      <c r="O4" s="13"/>
    </row>
    <row r="5" spans="2:20">
      <c r="B5" s="14">
        <f>1+B4</f>
        <v>2</v>
      </c>
      <c r="C5" s="37" t="s">
        <v>625</v>
      </c>
      <c r="D5" s="37"/>
      <c r="E5" s="37"/>
      <c r="F5" s="37"/>
      <c r="G5" s="38"/>
      <c r="H5" s="82"/>
      <c r="I5" s="83"/>
      <c r="J5" s="83"/>
      <c r="K5" s="26">
        <f t="shared" ref="K5:K35" si="1">SUM(H5:J5)*0.1</f>
        <v>0</v>
      </c>
      <c r="L5" s="20">
        <f t="shared" ref="L5:L35" si="2">ROUND(SUM(H5:K5),-1)</f>
        <v>0</v>
      </c>
      <c r="M5" s="80"/>
      <c r="N5" s="25">
        <f t="shared" si="0"/>
        <v>0</v>
      </c>
      <c r="O5" s="15"/>
    </row>
    <row r="6" spans="2:20">
      <c r="B6" s="14">
        <f t="shared" ref="B6:B36" si="3">1+B5</f>
        <v>3</v>
      </c>
      <c r="C6" s="37" t="s">
        <v>625</v>
      </c>
      <c r="D6" s="37"/>
      <c r="E6" s="37"/>
      <c r="F6" s="37"/>
      <c r="G6" s="38"/>
      <c r="H6" s="82"/>
      <c r="I6" s="83"/>
      <c r="J6" s="83"/>
      <c r="K6" s="26">
        <f t="shared" si="1"/>
        <v>0</v>
      </c>
      <c r="L6" s="20">
        <f t="shared" si="2"/>
        <v>0</v>
      </c>
      <c r="M6" s="80"/>
      <c r="N6" s="25">
        <f t="shared" si="0"/>
        <v>0</v>
      </c>
      <c r="O6" s="15"/>
    </row>
    <row r="7" spans="2:20">
      <c r="B7" s="14">
        <f t="shared" si="3"/>
        <v>4</v>
      </c>
      <c r="C7" s="37" t="s">
        <v>625</v>
      </c>
      <c r="D7" s="37"/>
      <c r="E7" s="37"/>
      <c r="F7" s="37"/>
      <c r="G7" s="38"/>
      <c r="H7" s="82"/>
      <c r="I7" s="83"/>
      <c r="J7" s="83"/>
      <c r="K7" s="26">
        <f t="shared" si="1"/>
        <v>0</v>
      </c>
      <c r="L7" s="20">
        <f t="shared" si="2"/>
        <v>0</v>
      </c>
      <c r="M7" s="80"/>
      <c r="N7" s="25">
        <f t="shared" si="0"/>
        <v>0</v>
      </c>
      <c r="O7" s="15"/>
    </row>
    <row r="8" spans="2:20">
      <c r="B8" s="14">
        <f t="shared" si="3"/>
        <v>5</v>
      </c>
      <c r="C8" s="37" t="s">
        <v>625</v>
      </c>
      <c r="D8" s="37"/>
      <c r="E8" s="37"/>
      <c r="F8" s="37"/>
      <c r="G8" s="38"/>
      <c r="H8" s="82"/>
      <c r="I8" s="83"/>
      <c r="J8" s="83"/>
      <c r="K8" s="26">
        <f t="shared" si="1"/>
        <v>0</v>
      </c>
      <c r="L8" s="20">
        <f t="shared" si="2"/>
        <v>0</v>
      </c>
      <c r="M8" s="80"/>
      <c r="N8" s="25">
        <f t="shared" si="0"/>
        <v>0</v>
      </c>
      <c r="O8" s="15"/>
    </row>
    <row r="9" spans="2:20">
      <c r="B9" s="14">
        <f t="shared" si="3"/>
        <v>6</v>
      </c>
      <c r="C9" s="37" t="s">
        <v>625</v>
      </c>
      <c r="D9" s="37"/>
      <c r="E9" s="37"/>
      <c r="F9" s="37"/>
      <c r="G9" s="38"/>
      <c r="H9" s="82"/>
      <c r="I9" s="83"/>
      <c r="J9" s="83"/>
      <c r="K9" s="26">
        <f t="shared" si="1"/>
        <v>0</v>
      </c>
      <c r="L9" s="20">
        <f t="shared" si="2"/>
        <v>0</v>
      </c>
      <c r="M9" s="80"/>
      <c r="N9" s="25">
        <f t="shared" si="0"/>
        <v>0</v>
      </c>
      <c r="O9" s="15"/>
    </row>
    <row r="10" spans="2:20">
      <c r="B10" s="14">
        <f t="shared" si="3"/>
        <v>7</v>
      </c>
      <c r="C10" s="37" t="s">
        <v>625</v>
      </c>
      <c r="D10" s="37"/>
      <c r="E10" s="37"/>
      <c r="F10" s="37"/>
      <c r="G10" s="38"/>
      <c r="H10" s="82"/>
      <c r="I10" s="83"/>
      <c r="J10" s="83"/>
      <c r="K10" s="26">
        <f t="shared" si="1"/>
        <v>0</v>
      </c>
      <c r="L10" s="20">
        <f t="shared" si="2"/>
        <v>0</v>
      </c>
      <c r="M10" s="80"/>
      <c r="N10" s="25">
        <f t="shared" si="0"/>
        <v>0</v>
      </c>
      <c r="O10" s="15"/>
    </row>
    <row r="11" spans="2:20">
      <c r="B11" s="14">
        <f t="shared" si="3"/>
        <v>8</v>
      </c>
      <c r="C11" s="37" t="s">
        <v>625</v>
      </c>
      <c r="D11" s="37"/>
      <c r="E11" s="37"/>
      <c r="F11" s="37"/>
      <c r="G11" s="38"/>
      <c r="H11" s="82"/>
      <c r="I11" s="83"/>
      <c r="J11" s="83"/>
      <c r="K11" s="26">
        <f t="shared" si="1"/>
        <v>0</v>
      </c>
      <c r="L11" s="20">
        <f t="shared" si="2"/>
        <v>0</v>
      </c>
      <c r="M11" s="80"/>
      <c r="N11" s="25">
        <f t="shared" si="0"/>
        <v>0</v>
      </c>
      <c r="O11" s="15"/>
    </row>
    <row r="12" spans="2:20">
      <c r="B12" s="14">
        <f t="shared" si="3"/>
        <v>9</v>
      </c>
      <c r="C12" s="37" t="s">
        <v>625</v>
      </c>
      <c r="D12" s="37"/>
      <c r="E12" s="37"/>
      <c r="F12" s="37"/>
      <c r="G12" s="38"/>
      <c r="H12" s="82"/>
      <c r="I12" s="83"/>
      <c r="J12" s="83"/>
      <c r="K12" s="26">
        <f t="shared" si="1"/>
        <v>0</v>
      </c>
      <c r="L12" s="20">
        <f t="shared" si="2"/>
        <v>0</v>
      </c>
      <c r="M12" s="80"/>
      <c r="N12" s="25">
        <f t="shared" si="0"/>
        <v>0</v>
      </c>
      <c r="O12" s="15"/>
    </row>
    <row r="13" spans="2:20">
      <c r="B13" s="14">
        <f t="shared" si="3"/>
        <v>10</v>
      </c>
      <c r="C13" s="37" t="s">
        <v>625</v>
      </c>
      <c r="D13" s="37"/>
      <c r="E13" s="37"/>
      <c r="F13" s="37"/>
      <c r="G13" s="38"/>
      <c r="H13" s="82"/>
      <c r="I13" s="83"/>
      <c r="J13" s="83"/>
      <c r="K13" s="26">
        <f t="shared" si="1"/>
        <v>0</v>
      </c>
      <c r="L13" s="20">
        <f t="shared" si="2"/>
        <v>0</v>
      </c>
      <c r="M13" s="80"/>
      <c r="N13" s="25">
        <f t="shared" si="0"/>
        <v>0</v>
      </c>
      <c r="O13" s="15"/>
    </row>
    <row r="14" spans="2:20">
      <c r="B14" s="14">
        <f t="shared" si="3"/>
        <v>11</v>
      </c>
      <c r="C14" s="37" t="s">
        <v>625</v>
      </c>
      <c r="D14" s="37"/>
      <c r="E14" s="37"/>
      <c r="F14" s="37"/>
      <c r="G14" s="38"/>
      <c r="H14" s="82"/>
      <c r="I14" s="83"/>
      <c r="J14" s="83"/>
      <c r="K14" s="26">
        <f t="shared" si="1"/>
        <v>0</v>
      </c>
      <c r="L14" s="20">
        <f t="shared" si="2"/>
        <v>0</v>
      </c>
      <c r="M14" s="80"/>
      <c r="N14" s="25">
        <f t="shared" si="0"/>
        <v>0</v>
      </c>
      <c r="O14" s="15"/>
    </row>
    <row r="15" spans="2:20">
      <c r="B15" s="14">
        <f t="shared" si="3"/>
        <v>12</v>
      </c>
      <c r="C15" s="37" t="s">
        <v>625</v>
      </c>
      <c r="D15" s="37"/>
      <c r="E15" s="37"/>
      <c r="F15" s="37"/>
      <c r="G15" s="38"/>
      <c r="H15" s="82"/>
      <c r="I15" s="83"/>
      <c r="J15" s="83"/>
      <c r="K15" s="26">
        <f t="shared" si="1"/>
        <v>0</v>
      </c>
      <c r="L15" s="20">
        <f t="shared" si="2"/>
        <v>0</v>
      </c>
      <c r="M15" s="80"/>
      <c r="N15" s="25">
        <f t="shared" si="0"/>
        <v>0</v>
      </c>
      <c r="O15" s="15"/>
    </row>
    <row r="16" spans="2:20">
      <c r="B16" s="14">
        <f t="shared" si="3"/>
        <v>13</v>
      </c>
      <c r="C16" s="37" t="s">
        <v>625</v>
      </c>
      <c r="D16" s="37"/>
      <c r="E16" s="37"/>
      <c r="F16" s="37"/>
      <c r="G16" s="38"/>
      <c r="H16" s="82"/>
      <c r="I16" s="83"/>
      <c r="J16" s="83"/>
      <c r="K16" s="26">
        <f t="shared" si="1"/>
        <v>0</v>
      </c>
      <c r="L16" s="20">
        <f t="shared" si="2"/>
        <v>0</v>
      </c>
      <c r="M16" s="80"/>
      <c r="N16" s="25">
        <f t="shared" si="0"/>
        <v>0</v>
      </c>
      <c r="O16" s="15"/>
    </row>
    <row r="17" spans="2:15">
      <c r="B17" s="14">
        <f t="shared" si="3"/>
        <v>14</v>
      </c>
      <c r="C17" s="37" t="s">
        <v>625</v>
      </c>
      <c r="D17" s="37"/>
      <c r="E17" s="37"/>
      <c r="F17" s="37"/>
      <c r="G17" s="38"/>
      <c r="H17" s="82"/>
      <c r="I17" s="83"/>
      <c r="J17" s="83"/>
      <c r="K17" s="26">
        <f t="shared" si="1"/>
        <v>0</v>
      </c>
      <c r="L17" s="20">
        <f t="shared" si="2"/>
        <v>0</v>
      </c>
      <c r="M17" s="80"/>
      <c r="N17" s="25">
        <f t="shared" si="0"/>
        <v>0</v>
      </c>
      <c r="O17" s="15"/>
    </row>
    <row r="18" spans="2:15">
      <c r="B18" s="14">
        <f t="shared" si="3"/>
        <v>15</v>
      </c>
      <c r="C18" s="37" t="s">
        <v>625</v>
      </c>
      <c r="D18" s="37"/>
      <c r="E18" s="37"/>
      <c r="F18" s="37"/>
      <c r="G18" s="38"/>
      <c r="H18" s="82"/>
      <c r="I18" s="83"/>
      <c r="J18" s="83"/>
      <c r="K18" s="26">
        <f t="shared" si="1"/>
        <v>0</v>
      </c>
      <c r="L18" s="20">
        <f t="shared" si="2"/>
        <v>0</v>
      </c>
      <c r="M18" s="80"/>
      <c r="N18" s="25">
        <f t="shared" si="0"/>
        <v>0</v>
      </c>
      <c r="O18" s="15"/>
    </row>
    <row r="19" spans="2:15">
      <c r="B19" s="14">
        <f t="shared" si="3"/>
        <v>16</v>
      </c>
      <c r="C19" s="37" t="s">
        <v>625</v>
      </c>
      <c r="D19" s="37"/>
      <c r="E19" s="37"/>
      <c r="F19" s="37"/>
      <c r="G19" s="38"/>
      <c r="H19" s="82"/>
      <c r="I19" s="83"/>
      <c r="J19" s="83"/>
      <c r="K19" s="26">
        <f t="shared" si="1"/>
        <v>0</v>
      </c>
      <c r="L19" s="20">
        <f t="shared" si="2"/>
        <v>0</v>
      </c>
      <c r="M19" s="80"/>
      <c r="N19" s="25">
        <f t="shared" si="0"/>
        <v>0</v>
      </c>
      <c r="O19" s="15"/>
    </row>
    <row r="20" spans="2:15">
      <c r="B20" s="14">
        <f t="shared" si="3"/>
        <v>17</v>
      </c>
      <c r="C20" s="37" t="s">
        <v>625</v>
      </c>
      <c r="D20" s="37"/>
      <c r="E20" s="37"/>
      <c r="F20" s="37"/>
      <c r="G20" s="38"/>
      <c r="H20" s="82"/>
      <c r="I20" s="83"/>
      <c r="J20" s="83"/>
      <c r="K20" s="26">
        <f t="shared" si="1"/>
        <v>0</v>
      </c>
      <c r="L20" s="20">
        <f t="shared" si="2"/>
        <v>0</v>
      </c>
      <c r="M20" s="80"/>
      <c r="N20" s="25">
        <f t="shared" si="0"/>
        <v>0</v>
      </c>
      <c r="O20" s="15"/>
    </row>
    <row r="21" spans="2:15">
      <c r="B21" s="14">
        <f t="shared" si="3"/>
        <v>18</v>
      </c>
      <c r="C21" s="37" t="s">
        <v>625</v>
      </c>
      <c r="D21" s="37"/>
      <c r="E21" s="37"/>
      <c r="F21" s="37"/>
      <c r="G21" s="38"/>
      <c r="H21" s="82"/>
      <c r="I21" s="83"/>
      <c r="J21" s="83"/>
      <c r="K21" s="26">
        <f t="shared" si="1"/>
        <v>0</v>
      </c>
      <c r="L21" s="20">
        <f t="shared" si="2"/>
        <v>0</v>
      </c>
      <c r="M21" s="80"/>
      <c r="N21" s="25">
        <f t="shared" si="0"/>
        <v>0</v>
      </c>
      <c r="O21" s="15"/>
    </row>
    <row r="22" spans="2:15">
      <c r="B22" s="14">
        <f t="shared" si="3"/>
        <v>19</v>
      </c>
      <c r="C22" s="37" t="s">
        <v>625</v>
      </c>
      <c r="D22" s="37"/>
      <c r="E22" s="37"/>
      <c r="F22" s="37"/>
      <c r="G22" s="38"/>
      <c r="H22" s="82"/>
      <c r="I22" s="83"/>
      <c r="J22" s="83"/>
      <c r="K22" s="26">
        <f t="shared" si="1"/>
        <v>0</v>
      </c>
      <c r="L22" s="20">
        <f t="shared" si="2"/>
        <v>0</v>
      </c>
      <c r="M22" s="80"/>
      <c r="N22" s="25">
        <f t="shared" si="0"/>
        <v>0</v>
      </c>
      <c r="O22" s="15"/>
    </row>
    <row r="23" spans="2:15">
      <c r="B23" s="14">
        <f t="shared" si="3"/>
        <v>20</v>
      </c>
      <c r="C23" s="37" t="s">
        <v>625</v>
      </c>
      <c r="D23" s="37"/>
      <c r="E23" s="37"/>
      <c r="F23" s="37"/>
      <c r="G23" s="38"/>
      <c r="H23" s="82"/>
      <c r="I23" s="83"/>
      <c r="J23" s="83"/>
      <c r="K23" s="26">
        <f t="shared" si="1"/>
        <v>0</v>
      </c>
      <c r="L23" s="20">
        <f t="shared" si="2"/>
        <v>0</v>
      </c>
      <c r="M23" s="80"/>
      <c r="N23" s="25">
        <f t="shared" si="0"/>
        <v>0</v>
      </c>
      <c r="O23" s="15"/>
    </row>
    <row r="24" spans="2:15">
      <c r="B24" s="14">
        <f t="shared" si="3"/>
        <v>21</v>
      </c>
      <c r="C24" s="37" t="s">
        <v>625</v>
      </c>
      <c r="D24" s="37"/>
      <c r="E24" s="37"/>
      <c r="F24" s="37"/>
      <c r="G24" s="38"/>
      <c r="H24" s="82"/>
      <c r="I24" s="83"/>
      <c r="J24" s="83"/>
      <c r="K24" s="26">
        <f t="shared" si="1"/>
        <v>0</v>
      </c>
      <c r="L24" s="20">
        <f t="shared" si="2"/>
        <v>0</v>
      </c>
      <c r="M24" s="80"/>
      <c r="N24" s="25">
        <f t="shared" si="0"/>
        <v>0</v>
      </c>
      <c r="O24" s="15"/>
    </row>
    <row r="25" spans="2:15">
      <c r="B25" s="14">
        <f t="shared" si="3"/>
        <v>22</v>
      </c>
      <c r="C25" s="37" t="s">
        <v>625</v>
      </c>
      <c r="D25" s="37"/>
      <c r="E25" s="37"/>
      <c r="F25" s="37"/>
      <c r="G25" s="38"/>
      <c r="H25" s="82"/>
      <c r="I25" s="83"/>
      <c r="J25" s="83"/>
      <c r="K25" s="26">
        <f t="shared" si="1"/>
        <v>0</v>
      </c>
      <c r="L25" s="20">
        <f t="shared" si="2"/>
        <v>0</v>
      </c>
      <c r="M25" s="80"/>
      <c r="N25" s="25">
        <f t="shared" si="0"/>
        <v>0</v>
      </c>
      <c r="O25" s="15"/>
    </row>
    <row r="26" spans="2:15">
      <c r="B26" s="14">
        <f t="shared" si="3"/>
        <v>23</v>
      </c>
      <c r="C26" s="37" t="s">
        <v>625</v>
      </c>
      <c r="D26" s="37"/>
      <c r="E26" s="37"/>
      <c r="F26" s="37"/>
      <c r="G26" s="38"/>
      <c r="H26" s="82"/>
      <c r="I26" s="83"/>
      <c r="J26" s="83"/>
      <c r="K26" s="26">
        <f t="shared" si="1"/>
        <v>0</v>
      </c>
      <c r="L26" s="20">
        <f t="shared" si="2"/>
        <v>0</v>
      </c>
      <c r="M26" s="80"/>
      <c r="N26" s="25">
        <f t="shared" si="0"/>
        <v>0</v>
      </c>
      <c r="O26" s="15"/>
    </row>
    <row r="27" spans="2:15">
      <c r="B27" s="14">
        <f t="shared" si="3"/>
        <v>24</v>
      </c>
      <c r="C27" s="37" t="s">
        <v>625</v>
      </c>
      <c r="D27" s="37"/>
      <c r="E27" s="37"/>
      <c r="F27" s="37"/>
      <c r="G27" s="37"/>
      <c r="H27" s="82"/>
      <c r="I27" s="83"/>
      <c r="J27" s="83"/>
      <c r="K27" s="26">
        <f t="shared" si="1"/>
        <v>0</v>
      </c>
      <c r="L27" s="20">
        <f t="shared" si="2"/>
        <v>0</v>
      </c>
      <c r="M27" s="80"/>
      <c r="N27" s="25">
        <f t="shared" si="0"/>
        <v>0</v>
      </c>
      <c r="O27" s="15"/>
    </row>
    <row r="28" spans="2:15">
      <c r="B28" s="14">
        <f t="shared" si="3"/>
        <v>25</v>
      </c>
      <c r="C28" s="37" t="s">
        <v>625</v>
      </c>
      <c r="D28" s="37"/>
      <c r="E28" s="37"/>
      <c r="F28" s="37"/>
      <c r="G28" s="37"/>
      <c r="H28" s="82"/>
      <c r="I28" s="83"/>
      <c r="J28" s="83"/>
      <c r="K28" s="26">
        <f t="shared" si="1"/>
        <v>0</v>
      </c>
      <c r="L28" s="20">
        <f t="shared" si="2"/>
        <v>0</v>
      </c>
      <c r="M28" s="80"/>
      <c r="N28" s="25">
        <f t="shared" si="0"/>
        <v>0</v>
      </c>
      <c r="O28" s="15"/>
    </row>
    <row r="29" spans="2:15">
      <c r="B29" s="14">
        <f t="shared" si="3"/>
        <v>26</v>
      </c>
      <c r="C29" s="37" t="s">
        <v>625</v>
      </c>
      <c r="D29" s="37"/>
      <c r="E29" s="37"/>
      <c r="F29" s="37"/>
      <c r="G29" s="37"/>
      <c r="H29" s="82"/>
      <c r="I29" s="83"/>
      <c r="J29" s="83"/>
      <c r="K29" s="26">
        <f t="shared" si="1"/>
        <v>0</v>
      </c>
      <c r="L29" s="20">
        <f t="shared" si="2"/>
        <v>0</v>
      </c>
      <c r="M29" s="80"/>
      <c r="N29" s="25">
        <f t="shared" si="0"/>
        <v>0</v>
      </c>
      <c r="O29" s="15"/>
    </row>
    <row r="30" spans="2:15">
      <c r="B30" s="14">
        <f t="shared" si="3"/>
        <v>27</v>
      </c>
      <c r="C30" s="37" t="s">
        <v>625</v>
      </c>
      <c r="D30" s="37"/>
      <c r="E30" s="37"/>
      <c r="F30" s="37"/>
      <c r="G30" s="37"/>
      <c r="H30" s="82"/>
      <c r="I30" s="83"/>
      <c r="J30" s="83"/>
      <c r="K30" s="26">
        <f t="shared" si="1"/>
        <v>0</v>
      </c>
      <c r="L30" s="20">
        <f t="shared" si="2"/>
        <v>0</v>
      </c>
      <c r="M30" s="80"/>
      <c r="N30" s="25">
        <f t="shared" si="0"/>
        <v>0</v>
      </c>
      <c r="O30" s="15"/>
    </row>
    <row r="31" spans="2:15">
      <c r="B31" s="14">
        <f t="shared" si="3"/>
        <v>28</v>
      </c>
      <c r="C31" s="37" t="s">
        <v>625</v>
      </c>
      <c r="D31" s="37"/>
      <c r="E31" s="37"/>
      <c r="F31" s="37"/>
      <c r="G31" s="37"/>
      <c r="H31" s="82"/>
      <c r="I31" s="83"/>
      <c r="J31" s="83"/>
      <c r="K31" s="26">
        <f t="shared" si="1"/>
        <v>0</v>
      </c>
      <c r="L31" s="20">
        <f t="shared" si="2"/>
        <v>0</v>
      </c>
      <c r="M31" s="80"/>
      <c r="N31" s="25">
        <f t="shared" si="0"/>
        <v>0</v>
      </c>
      <c r="O31" s="15"/>
    </row>
    <row r="32" spans="2:15">
      <c r="B32" s="14">
        <f t="shared" si="3"/>
        <v>29</v>
      </c>
      <c r="C32" s="37" t="s">
        <v>625</v>
      </c>
      <c r="D32" s="37"/>
      <c r="E32" s="37"/>
      <c r="F32" s="37"/>
      <c r="G32" s="37"/>
      <c r="H32" s="82"/>
      <c r="I32" s="83"/>
      <c r="J32" s="83"/>
      <c r="K32" s="26">
        <f t="shared" si="1"/>
        <v>0</v>
      </c>
      <c r="L32" s="20">
        <f t="shared" si="2"/>
        <v>0</v>
      </c>
      <c r="M32" s="80"/>
      <c r="N32" s="25">
        <f t="shared" si="0"/>
        <v>0</v>
      </c>
      <c r="O32" s="15"/>
    </row>
    <row r="33" spans="2:15">
      <c r="B33" s="14">
        <f t="shared" si="3"/>
        <v>30</v>
      </c>
      <c r="C33" s="37" t="s">
        <v>625</v>
      </c>
      <c r="D33" s="37"/>
      <c r="E33" s="37"/>
      <c r="F33" s="37"/>
      <c r="G33" s="37"/>
      <c r="H33" s="82"/>
      <c r="I33" s="83"/>
      <c r="J33" s="83"/>
      <c r="K33" s="26">
        <f t="shared" si="1"/>
        <v>0</v>
      </c>
      <c r="L33" s="20">
        <f t="shared" si="2"/>
        <v>0</v>
      </c>
      <c r="M33" s="80"/>
      <c r="N33" s="25">
        <f t="shared" si="0"/>
        <v>0</v>
      </c>
      <c r="O33" s="15"/>
    </row>
    <row r="34" spans="2:15">
      <c r="B34" s="14">
        <f t="shared" si="3"/>
        <v>31</v>
      </c>
      <c r="C34" s="37" t="s">
        <v>625</v>
      </c>
      <c r="D34" s="37"/>
      <c r="E34" s="37"/>
      <c r="F34" s="37"/>
      <c r="G34" s="37"/>
      <c r="H34" s="82"/>
      <c r="I34" s="83"/>
      <c r="J34" s="83"/>
      <c r="K34" s="26">
        <f t="shared" si="1"/>
        <v>0</v>
      </c>
      <c r="L34" s="20">
        <f t="shared" si="2"/>
        <v>0</v>
      </c>
      <c r="M34" s="80"/>
      <c r="N34" s="25">
        <f t="shared" si="0"/>
        <v>0</v>
      </c>
      <c r="O34" s="15"/>
    </row>
    <row r="35" spans="2:15">
      <c r="B35" s="14">
        <f t="shared" si="3"/>
        <v>32</v>
      </c>
      <c r="C35" s="37" t="s">
        <v>625</v>
      </c>
      <c r="D35" s="37"/>
      <c r="E35" s="37"/>
      <c r="F35" s="37"/>
      <c r="G35" s="37"/>
      <c r="H35" s="82"/>
      <c r="I35" s="83"/>
      <c r="J35" s="83"/>
      <c r="K35" s="26">
        <f t="shared" si="1"/>
        <v>0</v>
      </c>
      <c r="L35" s="20">
        <f t="shared" si="2"/>
        <v>0</v>
      </c>
      <c r="M35" s="80"/>
      <c r="N35" s="25">
        <f t="shared" si="0"/>
        <v>0</v>
      </c>
      <c r="O35" s="15"/>
    </row>
    <row r="36" spans="2:15">
      <c r="B36" s="44">
        <f t="shared" si="3"/>
        <v>33</v>
      </c>
      <c r="C36" s="45"/>
      <c r="D36" s="45"/>
      <c r="E36" s="45"/>
      <c r="F36" s="45"/>
      <c r="G36" s="45"/>
      <c r="H36" s="84"/>
      <c r="I36" s="84"/>
      <c r="J36" s="84"/>
      <c r="K36" s="48"/>
      <c r="L36" s="49"/>
      <c r="M36" s="46"/>
      <c r="N36" s="50"/>
      <c r="O36" s="51"/>
    </row>
    <row r="37" spans="2:15">
      <c r="B37" s="60" t="s">
        <v>135</v>
      </c>
      <c r="C37" s="29"/>
      <c r="D37" s="29"/>
      <c r="E37" s="90">
        <f>SUM(E4:E36)</f>
        <v>0</v>
      </c>
      <c r="F37" s="29"/>
      <c r="G37" s="29"/>
      <c r="H37" s="29">
        <f>SUM(H4:H36)</f>
        <v>0</v>
      </c>
      <c r="I37" s="29">
        <f>SUM(I4:I36)</f>
        <v>0</v>
      </c>
      <c r="J37" s="29">
        <f>SUM(J4:J36)</f>
        <v>0</v>
      </c>
      <c r="K37" s="29">
        <f>SUM(K4:K36)</f>
        <v>0</v>
      </c>
      <c r="L37" s="29">
        <f>SUM(L4:L36)</f>
        <v>0</v>
      </c>
      <c r="M37" s="76">
        <f>+ROUND(SUM(M4:M36),-1)</f>
        <v>0</v>
      </c>
      <c r="N37" s="76">
        <f>+ROUND(SUM(N4:N36),-1)</f>
        <v>0</v>
      </c>
      <c r="O37" s="91"/>
    </row>
    <row r="38" spans="2:15">
      <c r="M38" s="19"/>
      <c r="N38" s="19"/>
    </row>
    <row r="39" spans="2:15">
      <c r="M39" s="19"/>
    </row>
    <row r="40" spans="2:15">
      <c r="M40" s="19"/>
    </row>
    <row r="41" spans="2:15">
      <c r="M41" s="19"/>
    </row>
  </sheetData>
  <autoFilter ref="B3:N3" xr:uid="{852D8A39-95E5-4EBB-A81D-FC4AA9785C88}"/>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40BF4-9BE2-412E-9E31-1E60FA449C15}">
  <sheetPr codeName="Sheet7"/>
  <dimension ref="B1:Q28"/>
  <sheetViews>
    <sheetView showGridLines="0" zoomScale="75" zoomScaleNormal="75" workbookViewId="0">
      <pane xSplit="2" ySplit="3" topLeftCell="C4" activePane="bottomRight" state="frozen"/>
      <selection pane="bottomRight" activeCell="E1" sqref="E1"/>
      <selection pane="bottomLeft" activeCell="A3" sqref="A3"/>
      <selection pane="topRight" activeCell="D1" sqref="D1"/>
    </sheetView>
  </sheetViews>
  <sheetFormatPr defaultRowHeight="15"/>
  <cols>
    <col min="1" max="1" width="2.140625" customWidth="1"/>
    <col min="3" max="7" width="14.7109375" customWidth="1"/>
    <col min="8" max="8" width="14.7109375" style="6" customWidth="1"/>
    <col min="9" max="9" width="14.7109375" customWidth="1"/>
    <col min="10" max="10" width="64.7109375" customWidth="1"/>
    <col min="11" max="11" width="14.7109375" customWidth="1"/>
    <col min="12" max="12" width="71.140625" customWidth="1"/>
  </cols>
  <sheetData>
    <row r="1" spans="2:17" ht="18.75">
      <c r="B1" s="59">
        <f>Summary!$C$1</f>
        <v>0</v>
      </c>
      <c r="C1" s="59"/>
      <c r="D1" s="60"/>
      <c r="E1" s="60"/>
      <c r="F1" s="60"/>
      <c r="G1" s="60"/>
      <c r="H1" s="60"/>
      <c r="I1" s="28"/>
      <c r="J1" s="61"/>
      <c r="K1" s="62"/>
      <c r="L1" s="60"/>
      <c r="M1" s="60"/>
      <c r="N1" s="60"/>
      <c r="O1" s="60"/>
      <c r="P1" s="60"/>
      <c r="Q1" s="60"/>
    </row>
    <row r="2" spans="2:17" ht="18.75">
      <c r="B2" s="10" t="s">
        <v>626</v>
      </c>
      <c r="E2" s="1" t="s">
        <v>627</v>
      </c>
      <c r="F2" s="106">
        <v>0.2</v>
      </c>
      <c r="H2" s="17"/>
    </row>
    <row r="3" spans="2:17" s="1" customFormat="1">
      <c r="B3" s="7" t="s">
        <v>212</v>
      </c>
      <c r="C3" s="7" t="s">
        <v>616</v>
      </c>
      <c r="D3" s="7" t="s">
        <v>628</v>
      </c>
      <c r="E3" s="7" t="s">
        <v>621</v>
      </c>
      <c r="F3" s="7" t="s">
        <v>624</v>
      </c>
      <c r="G3" s="7" t="s">
        <v>421</v>
      </c>
      <c r="H3" s="7" t="s">
        <v>74</v>
      </c>
      <c r="I3" s="85" t="s">
        <v>568</v>
      </c>
      <c r="J3" s="7" t="s">
        <v>39</v>
      </c>
    </row>
    <row r="4" spans="2:17">
      <c r="B4" s="11">
        <v>1</v>
      </c>
      <c r="C4" s="52" t="s">
        <v>625</v>
      </c>
      <c r="D4" s="52"/>
      <c r="E4" s="53"/>
      <c r="F4" s="26">
        <f>E4*$F$2</f>
        <v>0</v>
      </c>
      <c r="G4" s="20">
        <f>F4+E4</f>
        <v>0</v>
      </c>
      <c r="H4" s="43"/>
      <c r="I4" s="86">
        <f t="shared" ref="I4:I23" si="0">+G4+H4</f>
        <v>0</v>
      </c>
      <c r="J4" s="13"/>
    </row>
    <row r="5" spans="2:17">
      <c r="B5" s="14">
        <f>1+B4</f>
        <v>2</v>
      </c>
      <c r="C5" s="52" t="s">
        <v>625</v>
      </c>
      <c r="D5" s="52"/>
      <c r="E5" s="53"/>
      <c r="F5" s="26">
        <f>E5*$F$2</f>
        <v>0</v>
      </c>
      <c r="G5" s="20">
        <f>F5+E5</f>
        <v>0</v>
      </c>
      <c r="H5" s="43"/>
      <c r="I5" s="86">
        <f t="shared" si="0"/>
        <v>0</v>
      </c>
      <c r="J5" s="15"/>
    </row>
    <row r="6" spans="2:17">
      <c r="B6" s="14">
        <f t="shared" ref="B6:B23" si="1">1+B5</f>
        <v>3</v>
      </c>
      <c r="C6" s="52" t="s">
        <v>625</v>
      </c>
      <c r="D6" s="52"/>
      <c r="E6" s="53"/>
      <c r="F6" s="26">
        <f t="shared" ref="F6:F23" si="2">E6*$F$2</f>
        <v>0</v>
      </c>
      <c r="G6" s="20">
        <f t="shared" ref="G6:G23" si="3">F6+E6</f>
        <v>0</v>
      </c>
      <c r="H6" s="43"/>
      <c r="I6" s="86">
        <f t="shared" si="0"/>
        <v>0</v>
      </c>
      <c r="J6" s="15"/>
    </row>
    <row r="7" spans="2:17">
      <c r="B7" s="14">
        <f t="shared" si="1"/>
        <v>4</v>
      </c>
      <c r="C7" s="52" t="s">
        <v>625</v>
      </c>
      <c r="D7" s="52"/>
      <c r="E7" s="53"/>
      <c r="F7" s="26">
        <f t="shared" si="2"/>
        <v>0</v>
      </c>
      <c r="G7" s="20">
        <f t="shared" si="3"/>
        <v>0</v>
      </c>
      <c r="H7" s="43"/>
      <c r="I7" s="86">
        <f t="shared" si="0"/>
        <v>0</v>
      </c>
      <c r="J7" s="15"/>
    </row>
    <row r="8" spans="2:17">
      <c r="B8" s="14">
        <f t="shared" si="1"/>
        <v>5</v>
      </c>
      <c r="C8" s="52" t="s">
        <v>625</v>
      </c>
      <c r="D8" s="52"/>
      <c r="E8" s="53"/>
      <c r="F8" s="26">
        <f t="shared" si="2"/>
        <v>0</v>
      </c>
      <c r="G8" s="20">
        <f t="shared" si="3"/>
        <v>0</v>
      </c>
      <c r="H8" s="43"/>
      <c r="I8" s="86">
        <f t="shared" si="0"/>
        <v>0</v>
      </c>
      <c r="J8" s="15"/>
    </row>
    <row r="9" spans="2:17">
      <c r="B9" s="14">
        <f t="shared" si="1"/>
        <v>6</v>
      </c>
      <c r="C9" s="52" t="s">
        <v>625</v>
      </c>
      <c r="D9" s="52"/>
      <c r="E9" s="53"/>
      <c r="F9" s="26">
        <f t="shared" si="2"/>
        <v>0</v>
      </c>
      <c r="G9" s="20">
        <f t="shared" si="3"/>
        <v>0</v>
      </c>
      <c r="H9" s="43"/>
      <c r="I9" s="86">
        <f t="shared" si="0"/>
        <v>0</v>
      </c>
      <c r="J9" s="15"/>
    </row>
    <row r="10" spans="2:17">
      <c r="B10" s="14">
        <f t="shared" si="1"/>
        <v>7</v>
      </c>
      <c r="C10" s="52" t="s">
        <v>625</v>
      </c>
      <c r="D10" s="52"/>
      <c r="E10" s="53"/>
      <c r="F10" s="26">
        <f t="shared" si="2"/>
        <v>0</v>
      </c>
      <c r="G10" s="20">
        <f t="shared" si="3"/>
        <v>0</v>
      </c>
      <c r="H10" s="43"/>
      <c r="I10" s="86">
        <f t="shared" si="0"/>
        <v>0</v>
      </c>
      <c r="J10" s="15"/>
    </row>
    <row r="11" spans="2:17">
      <c r="B11" s="14">
        <f t="shared" si="1"/>
        <v>8</v>
      </c>
      <c r="C11" s="52" t="s">
        <v>625</v>
      </c>
      <c r="D11" s="52"/>
      <c r="E11" s="53"/>
      <c r="F11" s="26">
        <f t="shared" si="2"/>
        <v>0</v>
      </c>
      <c r="G11" s="20">
        <f t="shared" si="3"/>
        <v>0</v>
      </c>
      <c r="H11" s="43"/>
      <c r="I11" s="86">
        <f t="shared" si="0"/>
        <v>0</v>
      </c>
      <c r="J11" s="15"/>
    </row>
    <row r="12" spans="2:17">
      <c r="B12" s="14">
        <f t="shared" si="1"/>
        <v>9</v>
      </c>
      <c r="C12" s="52" t="s">
        <v>625</v>
      </c>
      <c r="D12" s="52"/>
      <c r="E12" s="53"/>
      <c r="F12" s="26">
        <f t="shared" si="2"/>
        <v>0</v>
      </c>
      <c r="G12" s="20">
        <f t="shared" si="3"/>
        <v>0</v>
      </c>
      <c r="H12" s="43"/>
      <c r="I12" s="86">
        <f t="shared" si="0"/>
        <v>0</v>
      </c>
      <c r="J12" s="15"/>
    </row>
    <row r="13" spans="2:17">
      <c r="B13" s="14">
        <f t="shared" si="1"/>
        <v>10</v>
      </c>
      <c r="C13" s="52" t="s">
        <v>625</v>
      </c>
      <c r="D13" s="52"/>
      <c r="E13" s="53"/>
      <c r="F13" s="26">
        <f t="shared" si="2"/>
        <v>0</v>
      </c>
      <c r="G13" s="20">
        <f t="shared" si="3"/>
        <v>0</v>
      </c>
      <c r="H13" s="43"/>
      <c r="I13" s="86">
        <f t="shared" si="0"/>
        <v>0</v>
      </c>
      <c r="J13" s="15"/>
    </row>
    <row r="14" spans="2:17">
      <c r="B14" s="14">
        <f t="shared" si="1"/>
        <v>11</v>
      </c>
      <c r="C14" s="52" t="s">
        <v>625</v>
      </c>
      <c r="D14" s="52"/>
      <c r="E14" s="53"/>
      <c r="F14" s="26">
        <f t="shared" si="2"/>
        <v>0</v>
      </c>
      <c r="G14" s="20">
        <f t="shared" si="3"/>
        <v>0</v>
      </c>
      <c r="H14" s="43"/>
      <c r="I14" s="86">
        <f t="shared" si="0"/>
        <v>0</v>
      </c>
      <c r="J14" s="15"/>
    </row>
    <row r="15" spans="2:17">
      <c r="B15" s="14">
        <f t="shared" si="1"/>
        <v>12</v>
      </c>
      <c r="C15" s="52" t="s">
        <v>625</v>
      </c>
      <c r="D15" s="52"/>
      <c r="E15" s="53"/>
      <c r="F15" s="26">
        <f t="shared" si="2"/>
        <v>0</v>
      </c>
      <c r="G15" s="20">
        <f t="shared" si="3"/>
        <v>0</v>
      </c>
      <c r="H15" s="43"/>
      <c r="I15" s="86">
        <f t="shared" si="0"/>
        <v>0</v>
      </c>
      <c r="J15" s="15"/>
    </row>
    <row r="16" spans="2:17">
      <c r="B16" s="14">
        <f t="shared" si="1"/>
        <v>13</v>
      </c>
      <c r="C16" s="52" t="s">
        <v>625</v>
      </c>
      <c r="D16" s="52"/>
      <c r="E16" s="53"/>
      <c r="F16" s="26">
        <f t="shared" si="2"/>
        <v>0</v>
      </c>
      <c r="G16" s="20">
        <f t="shared" si="3"/>
        <v>0</v>
      </c>
      <c r="H16" s="43"/>
      <c r="I16" s="86">
        <f t="shared" si="0"/>
        <v>0</v>
      </c>
      <c r="J16" s="15"/>
    </row>
    <row r="17" spans="2:10">
      <c r="B17" s="14">
        <f t="shared" si="1"/>
        <v>14</v>
      </c>
      <c r="C17" s="52" t="s">
        <v>625</v>
      </c>
      <c r="D17" s="52"/>
      <c r="E17" s="53"/>
      <c r="F17" s="26">
        <f t="shared" si="2"/>
        <v>0</v>
      </c>
      <c r="G17" s="20">
        <f t="shared" si="3"/>
        <v>0</v>
      </c>
      <c r="H17" s="43"/>
      <c r="I17" s="86">
        <f t="shared" si="0"/>
        <v>0</v>
      </c>
      <c r="J17" s="15"/>
    </row>
    <row r="18" spans="2:10">
      <c r="B18" s="14">
        <f t="shared" si="1"/>
        <v>15</v>
      </c>
      <c r="C18" s="52" t="s">
        <v>625</v>
      </c>
      <c r="D18" s="52"/>
      <c r="E18" s="53"/>
      <c r="F18" s="26">
        <f t="shared" si="2"/>
        <v>0</v>
      </c>
      <c r="G18" s="20">
        <f t="shared" si="3"/>
        <v>0</v>
      </c>
      <c r="H18" s="43"/>
      <c r="I18" s="86">
        <f t="shared" si="0"/>
        <v>0</v>
      </c>
      <c r="J18" s="15"/>
    </row>
    <row r="19" spans="2:10">
      <c r="B19" s="14">
        <f t="shared" si="1"/>
        <v>16</v>
      </c>
      <c r="C19" s="52" t="s">
        <v>625</v>
      </c>
      <c r="D19" s="52"/>
      <c r="E19" s="53"/>
      <c r="F19" s="26">
        <f t="shared" si="2"/>
        <v>0</v>
      </c>
      <c r="G19" s="20">
        <f t="shared" si="3"/>
        <v>0</v>
      </c>
      <c r="H19" s="43"/>
      <c r="I19" s="86">
        <f t="shared" si="0"/>
        <v>0</v>
      </c>
      <c r="J19" s="15"/>
    </row>
    <row r="20" spans="2:10">
      <c r="B20" s="14">
        <f t="shared" si="1"/>
        <v>17</v>
      </c>
      <c r="C20" s="52" t="s">
        <v>625</v>
      </c>
      <c r="D20" s="52"/>
      <c r="E20" s="53"/>
      <c r="F20" s="26">
        <f t="shared" si="2"/>
        <v>0</v>
      </c>
      <c r="G20" s="20">
        <f t="shared" si="3"/>
        <v>0</v>
      </c>
      <c r="H20" s="43"/>
      <c r="I20" s="86">
        <f t="shared" si="0"/>
        <v>0</v>
      </c>
      <c r="J20" s="15"/>
    </row>
    <row r="21" spans="2:10">
      <c r="B21" s="14">
        <f t="shared" si="1"/>
        <v>18</v>
      </c>
      <c r="C21" s="52" t="s">
        <v>625</v>
      </c>
      <c r="D21" s="52"/>
      <c r="E21" s="53"/>
      <c r="F21" s="26">
        <f t="shared" si="2"/>
        <v>0</v>
      </c>
      <c r="G21" s="20">
        <f t="shared" si="3"/>
        <v>0</v>
      </c>
      <c r="H21" s="43"/>
      <c r="I21" s="86">
        <f t="shared" si="0"/>
        <v>0</v>
      </c>
      <c r="J21" s="15"/>
    </row>
    <row r="22" spans="2:10">
      <c r="B22" s="14">
        <f t="shared" si="1"/>
        <v>19</v>
      </c>
      <c r="C22" s="52" t="s">
        <v>625</v>
      </c>
      <c r="D22" s="52"/>
      <c r="E22" s="53"/>
      <c r="F22" s="26">
        <f t="shared" si="2"/>
        <v>0</v>
      </c>
      <c r="G22" s="20">
        <f t="shared" si="3"/>
        <v>0</v>
      </c>
      <c r="H22" s="43"/>
      <c r="I22" s="86">
        <f t="shared" si="0"/>
        <v>0</v>
      </c>
      <c r="J22" s="15"/>
    </row>
    <row r="23" spans="2:10">
      <c r="B23" s="44">
        <f t="shared" si="1"/>
        <v>20</v>
      </c>
      <c r="C23" s="55" t="s">
        <v>625</v>
      </c>
      <c r="D23" s="55"/>
      <c r="E23" s="56"/>
      <c r="F23" s="47">
        <f t="shared" si="2"/>
        <v>0</v>
      </c>
      <c r="G23" s="49">
        <f t="shared" si="3"/>
        <v>0</v>
      </c>
      <c r="H23" s="46"/>
      <c r="I23" s="87">
        <f t="shared" si="0"/>
        <v>0</v>
      </c>
      <c r="J23" s="51"/>
    </row>
    <row r="24" spans="2:10">
      <c r="B24" s="101" t="s">
        <v>225</v>
      </c>
      <c r="C24" s="64"/>
      <c r="D24" s="101">
        <f>SUM(D4:D23)</f>
        <v>0</v>
      </c>
      <c r="E24" s="103">
        <f>SUM(E4:E23)</f>
        <v>0</v>
      </c>
      <c r="F24" s="103">
        <f>SUM(F4:F23)</f>
        <v>0</v>
      </c>
      <c r="G24" s="103">
        <f>SUM(G4:G23)</f>
        <v>0</v>
      </c>
      <c r="H24" s="104">
        <f>+ROUND(SUM(H4:H23),-1)</f>
        <v>0</v>
      </c>
      <c r="I24" s="105">
        <f>+ROUND(SUM(I4:I23),-1)</f>
        <v>0</v>
      </c>
      <c r="J24" s="102"/>
    </row>
    <row r="25" spans="2:10">
      <c r="F25" s="6"/>
      <c r="H25" s="19"/>
      <c r="I25" s="19"/>
    </row>
    <row r="26" spans="2:10">
      <c r="F26" s="6"/>
      <c r="H26" s="19"/>
    </row>
    <row r="27" spans="2:10">
      <c r="F27" s="6"/>
      <c r="H27" s="19"/>
    </row>
    <row r="28" spans="2:10">
      <c r="J28" s="19"/>
    </row>
  </sheetData>
  <autoFilter ref="B3:K3" xr:uid="{852D8A39-95E5-4EBB-A81D-FC4AA9785C88}"/>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80187-02A1-4313-9D49-D7D6A40F17A9}">
  <sheetPr codeName="Sheet8"/>
  <dimension ref="B1:AT762"/>
  <sheetViews>
    <sheetView showGridLines="0" topLeftCell="Q1" zoomScale="75" zoomScaleNormal="75" workbookViewId="0">
      <pane ySplit="3" topLeftCell="A4" activePane="bottomLeft" state="frozen"/>
      <selection pane="bottomLeft" activeCell="AJ15" sqref="AJ15"/>
    </sheetView>
  </sheetViews>
  <sheetFormatPr defaultRowHeight="15" outlineLevelRow="1"/>
  <cols>
    <col min="1" max="1" width="2.140625" customWidth="1"/>
    <col min="3" max="3" width="14.7109375" customWidth="1"/>
    <col min="4" max="4" width="18.7109375" bestFit="1" customWidth="1"/>
    <col min="5" max="6" width="14.7109375" customWidth="1"/>
    <col min="7" max="9" width="14.7109375" style="5" customWidth="1"/>
    <col min="10" max="25" width="14.7109375" customWidth="1"/>
    <col min="26" max="26" width="71.140625" customWidth="1"/>
    <col min="28" max="28" width="23.28515625" bestFit="1" customWidth="1"/>
    <col min="29" max="29" width="9.5703125" customWidth="1"/>
    <col min="31" max="31" width="18.7109375" bestFit="1" customWidth="1"/>
    <col min="32" max="32" width="19.7109375" bestFit="1" customWidth="1"/>
    <col min="33" max="34" width="13.7109375" bestFit="1" customWidth="1"/>
    <col min="36" max="36" width="11.5703125" bestFit="1" customWidth="1"/>
    <col min="38" max="38" width="12.7109375" customWidth="1"/>
    <col min="39" max="40" width="14.42578125" bestFit="1" customWidth="1"/>
    <col min="41" max="41" width="12.28515625" bestFit="1" customWidth="1"/>
    <col min="42" max="42" width="12.28515625" customWidth="1"/>
    <col min="43" max="43" width="20.7109375" bestFit="1" customWidth="1"/>
    <col min="44" max="44" width="20.7109375" customWidth="1"/>
    <col min="45" max="45" width="20.28515625" bestFit="1" customWidth="1"/>
  </cols>
  <sheetData>
    <row r="1" spans="2:46" ht="18.75">
      <c r="B1" s="59">
        <f>Summary!$C$1</f>
        <v>0</v>
      </c>
      <c r="C1" s="60"/>
      <c r="D1" s="60"/>
      <c r="E1" s="60"/>
      <c r="F1" s="60"/>
      <c r="G1" s="28"/>
      <c r="H1" s="61"/>
      <c r="I1" s="62"/>
      <c r="J1" s="60"/>
      <c r="K1" s="60"/>
      <c r="L1" s="60"/>
      <c r="M1" s="60"/>
      <c r="N1" s="60"/>
      <c r="O1" s="60"/>
      <c r="P1" s="60"/>
      <c r="Q1" s="60"/>
      <c r="R1" s="60"/>
      <c r="S1" s="19"/>
      <c r="U1" s="722" t="s">
        <v>629</v>
      </c>
      <c r="V1" s="722" t="s">
        <v>630</v>
      </c>
    </row>
    <row r="2" spans="2:46" ht="18.75">
      <c r="B2" s="10" t="s">
        <v>631</v>
      </c>
      <c r="D2" s="98" t="s">
        <v>551</v>
      </c>
      <c r="E2" s="99">
        <v>4</v>
      </c>
      <c r="K2" s="2"/>
      <c r="L2" s="2"/>
      <c r="N2" s="3"/>
      <c r="O2" s="2"/>
      <c r="P2" s="2"/>
      <c r="Q2" s="2"/>
      <c r="U2" s="63">
        <v>0.2</v>
      </c>
      <c r="V2" s="63">
        <v>0.25</v>
      </c>
      <c r="Y2" s="19"/>
      <c r="AS2" s="1" t="s">
        <v>632</v>
      </c>
      <c r="AT2" s="1"/>
    </row>
    <row r="3" spans="2:46" s="1" customFormat="1">
      <c r="B3" s="7" t="s">
        <v>212</v>
      </c>
      <c r="C3" s="7" t="s">
        <v>617</v>
      </c>
      <c r="D3" s="7" t="s">
        <v>633</v>
      </c>
      <c r="E3" s="7" t="s">
        <v>634</v>
      </c>
      <c r="F3" s="7" t="s">
        <v>635</v>
      </c>
      <c r="G3" s="7" t="s">
        <v>636</v>
      </c>
      <c r="H3" s="7" t="s">
        <v>637</v>
      </c>
      <c r="I3" s="7" t="s">
        <v>638</v>
      </c>
      <c r="J3" s="7" t="s">
        <v>559</v>
      </c>
      <c r="K3" s="8" t="s">
        <v>639</v>
      </c>
      <c r="L3" s="8" t="s">
        <v>640</v>
      </c>
      <c r="M3" s="7" t="s">
        <v>641</v>
      </c>
      <c r="N3" s="7" t="s">
        <v>642</v>
      </c>
      <c r="O3" s="8" t="s">
        <v>643</v>
      </c>
      <c r="P3" s="8" t="s">
        <v>644</v>
      </c>
      <c r="Q3" s="8" t="s">
        <v>645</v>
      </c>
      <c r="R3" s="9" t="s">
        <v>646</v>
      </c>
      <c r="S3" s="9" t="s">
        <v>647</v>
      </c>
      <c r="T3" s="9" t="s">
        <v>648</v>
      </c>
      <c r="U3" s="9" t="s">
        <v>649</v>
      </c>
      <c r="V3" s="9" t="s">
        <v>649</v>
      </c>
      <c r="W3" s="7" t="s">
        <v>650</v>
      </c>
      <c r="X3" s="7" t="s">
        <v>74</v>
      </c>
      <c r="Y3" s="92" t="s">
        <v>568</v>
      </c>
      <c r="Z3" s="7" t="s">
        <v>39</v>
      </c>
      <c r="AA3"/>
      <c r="AB3" s="35" t="s">
        <v>651</v>
      </c>
      <c r="AC3" s="35"/>
      <c r="AD3" s="35"/>
      <c r="AE3" s="35" t="s">
        <v>652</v>
      </c>
      <c r="AF3" s="35" t="s">
        <v>653</v>
      </c>
      <c r="AG3" s="35" t="s">
        <v>654</v>
      </c>
      <c r="AH3" s="35" t="s">
        <v>655</v>
      </c>
      <c r="AI3" s="35" t="s">
        <v>656</v>
      </c>
      <c r="AJ3" s="35" t="s">
        <v>657</v>
      </c>
      <c r="AL3" t="s">
        <v>658</v>
      </c>
      <c r="AM3"/>
      <c r="AN3"/>
      <c r="AO3" s="1" t="s">
        <v>659</v>
      </c>
      <c r="AP3" s="721">
        <v>0.5</v>
      </c>
      <c r="AS3">
        <v>28</v>
      </c>
      <c r="AT3" t="s">
        <v>660</v>
      </c>
    </row>
    <row r="4" spans="2:46" outlineLevel="1">
      <c r="B4" s="11">
        <v>1</v>
      </c>
      <c r="C4" s="37"/>
      <c r="D4" s="38"/>
      <c r="E4" s="37"/>
      <c r="F4" s="37"/>
      <c r="G4" s="37"/>
      <c r="H4" s="37"/>
      <c r="I4" s="37"/>
      <c r="J4" s="41" t="str">
        <f t="shared" ref="J4:J67" si="0">IF(D4="","",+$E$2*D4)</f>
        <v/>
      </c>
      <c r="K4" s="12" t="str">
        <f>IF($D4="","",IF(ISERROR(FIND("*",$E4)),"","x"))</f>
        <v/>
      </c>
      <c r="L4" s="12" t="str">
        <f>IF($D4="","",IF(ISERROR(FIND("*",$E4)),"x",""))</f>
        <v/>
      </c>
      <c r="M4" s="12" t="str">
        <f t="shared" ref="M4:M67" si="1">IF(E4="","",IF($L4="x",E4/12*3.14,(LEFT($E4,FIND("*",$E4)-1)+0)*12/144*2+(RIGHT($E4,LEN($E4)-FIND("*",$E4)))*12/144*2))</f>
        <v/>
      </c>
      <c r="N4" s="12" t="str">
        <f t="shared" ref="N4:N67" si="2">IF(E4="","",M4*IF(I4="y",MAX(0,J4-$AC$13),J4))</f>
        <v/>
      </c>
      <c r="O4" s="12" t="str">
        <f t="shared" ref="O4:O67" si="3">IF(E4="","",$AC$5*N4)</f>
        <v/>
      </c>
      <c r="P4" s="12" t="str">
        <f t="shared" ref="P4:P67" si="4">IF(D4="","",IFERROR(IF(ISERROR(FIND("*",$E4)),0,ROUND((O4*$AC$6),-1)),""))</f>
        <v/>
      </c>
      <c r="Q4" s="12" t="str">
        <f>IF(D4="","",IFERROR(IF(ISERROR(FIND("*",$E4)),INDEX($AP$5:$AP$16,MATCH($E4,$AL$5:$AL$16,0),1)*$J4,0),""))</f>
        <v/>
      </c>
      <c r="R4" s="26" t="str">
        <f t="shared" ref="R4:R67" si="5">IF(E4="","",IF(F4="x",N4*$AC$7,0))</f>
        <v/>
      </c>
      <c r="S4" s="26" t="str">
        <f>IF(E4="","",IF(I4="x",$AC$13*INDEX($AN$19:$AN$30,MATCH($E4,$AL$19:$AL$30,0),1)*1.25,0))</f>
        <v/>
      </c>
      <c r="T4" s="26" t="str">
        <f>IF(E4="","",IF(H4="x",IF(G4="x",0,25),0))</f>
        <v/>
      </c>
      <c r="U4" s="26" t="str">
        <f>IF(D4="","",SUM(P4,R4,S4,T4)*$U$2)</f>
        <v/>
      </c>
      <c r="V4" s="26" t="str">
        <f>IF(D4="","",SUM($Q4)*$V$2)</f>
        <v/>
      </c>
      <c r="W4" s="20" t="str">
        <f>IF($D4="","",SUM(P4:U4))</f>
        <v/>
      </c>
      <c r="X4" s="20" t="str">
        <f>IF(J4="","",ROUNDUP(J4*$AC$9+IF(R4=0,0,$AC$8*J4)+IF(G4="x",$AC$12,0)+IF(H4="x",0.5*25,0),-1))</f>
        <v/>
      </c>
      <c r="Y4" s="86" t="str">
        <f>IFERROR(+W4+X4,"")</f>
        <v/>
      </c>
      <c r="Z4" s="18"/>
      <c r="AB4" t="s">
        <v>661</v>
      </c>
      <c r="AC4">
        <v>0.56699999999999995</v>
      </c>
      <c r="AD4" t="s">
        <v>662</v>
      </c>
      <c r="AE4" t="s">
        <v>663</v>
      </c>
      <c r="AF4" t="s">
        <v>29</v>
      </c>
      <c r="AG4" t="s">
        <v>448</v>
      </c>
      <c r="AH4" t="s">
        <v>448</v>
      </c>
      <c r="AI4" t="s">
        <v>448</v>
      </c>
      <c r="AJ4" t="s">
        <v>448</v>
      </c>
      <c r="AL4" s="101" t="s">
        <v>664</v>
      </c>
      <c r="AM4" s="101" t="s">
        <v>665</v>
      </c>
      <c r="AN4" s="101" t="s">
        <v>666</v>
      </c>
      <c r="AO4" s="101" t="s">
        <v>667</v>
      </c>
      <c r="AP4" s="101"/>
      <c r="AQ4" s="101" t="s">
        <v>668</v>
      </c>
      <c r="AR4" s="101" t="s">
        <v>669</v>
      </c>
      <c r="AS4" s="101" t="s">
        <v>670</v>
      </c>
      <c r="AT4" s="64"/>
    </row>
    <row r="5" spans="2:46" outlineLevel="1">
      <c r="B5" s="14">
        <f>1+B4</f>
        <v>2</v>
      </c>
      <c r="C5" s="37"/>
      <c r="D5" s="40"/>
      <c r="E5" s="39"/>
      <c r="F5" s="37"/>
      <c r="G5" s="37"/>
      <c r="H5" s="37"/>
      <c r="I5" s="37"/>
      <c r="J5" s="41" t="str">
        <f t="shared" si="0"/>
        <v/>
      </c>
      <c r="K5" s="12" t="str">
        <f t="shared" ref="K5:K68" si="6">IF($D5="","",IF(ISERROR(FIND("*",$E5)),"","x"))</f>
        <v/>
      </c>
      <c r="L5" s="12" t="str">
        <f t="shared" ref="L5:L68" si="7">IF($D5="","",IF(ISERROR(FIND("*",$E5)),"x",""))</f>
        <v/>
      </c>
      <c r="M5" s="12" t="str">
        <f t="shared" si="1"/>
        <v/>
      </c>
      <c r="N5" s="12" t="str">
        <f t="shared" si="2"/>
        <v/>
      </c>
      <c r="O5" s="12" t="str">
        <f t="shared" si="3"/>
        <v/>
      </c>
      <c r="P5" s="12" t="str">
        <f t="shared" si="4"/>
        <v/>
      </c>
      <c r="Q5" s="12" t="str">
        <f t="shared" ref="Q5:Q68" si="8">IF(D5="","",IFERROR(IF(ISERROR(FIND("*",$E5)),INDEX($AP$5:$AP$16,MATCH($E5,$AL$5:$AL$16,0),1)*$J5,0),""))</f>
        <v/>
      </c>
      <c r="R5" s="26" t="str">
        <f t="shared" si="5"/>
        <v/>
      </c>
      <c r="S5" s="26" t="str">
        <f>IF(E5="","",IF(I5="x",$AC$13*INDEX($AN$19:$AN$30,MATCH($E5,$AL$19:$AL$30,0),1)*1.25,0))</f>
        <v/>
      </c>
      <c r="T5" s="26" t="str">
        <f t="shared" ref="T5:T68" si="9">IF(E5="","",IF(H5="x",IF(G5="x",0,25),0))</f>
        <v/>
      </c>
      <c r="U5" s="26" t="str">
        <f t="shared" ref="U5:U68" si="10">IF(D5="","",SUM(P5,R5,S5,T5)*$U$2)</f>
        <v/>
      </c>
      <c r="V5" s="26" t="str">
        <f t="shared" ref="V5:V68" si="11">IF(D5="","",SUM($Q5)*$V$2)</f>
        <v/>
      </c>
      <c r="W5" s="20" t="str">
        <f t="shared" ref="W5:W68" si="12">IF($D5="","",SUM(P5:U5))</f>
        <v/>
      </c>
      <c r="X5" s="20" t="str">
        <f t="shared" ref="X5:X68" si="13">IF(J5="","",ROUNDUP(J5*$AC$9+IF(R5=0,0,$AC$8*J5)+IF(G5="x",$AC$12,0)+IF(H5="x",0.5*25,0),-1))</f>
        <v/>
      </c>
      <c r="Y5" s="86" t="str">
        <f t="shared" ref="Y5:Y15" si="14">IFERROR(+W5+X5,"")</f>
        <v/>
      </c>
      <c r="Z5" s="31"/>
      <c r="AB5" t="s">
        <v>661</v>
      </c>
      <c r="AC5">
        <f>2.204*AC4</f>
        <v>1.249668</v>
      </c>
      <c r="AD5" t="s">
        <v>671</v>
      </c>
      <c r="AE5" t="s">
        <v>672</v>
      </c>
      <c r="AL5" s="1">
        <v>3</v>
      </c>
      <c r="AM5" s="19"/>
      <c r="AN5" s="19">
        <v>9.58</v>
      </c>
      <c r="AO5" s="19">
        <f>AM5/3+AN5/5</f>
        <v>1.9159999999999999</v>
      </c>
      <c r="AP5" s="19">
        <f>AO5*(1+$AP$3)</f>
        <v>2.8739999999999997</v>
      </c>
      <c r="AQ5" s="17">
        <f>3.14*AL5/12</f>
        <v>0.78500000000000003</v>
      </c>
      <c r="AR5" s="292">
        <f>AO5/AQ5</f>
        <v>2.440764331210191</v>
      </c>
      <c r="AS5" s="292">
        <f>3.14*3/12*1.2*$AS$3/40</f>
        <v>0.65939999999999999</v>
      </c>
    </row>
    <row r="6" spans="2:46" outlineLevel="1">
      <c r="B6" s="14">
        <f t="shared" ref="B6:B193" si="15">1+B5</f>
        <v>3</v>
      </c>
      <c r="C6" s="37"/>
      <c r="D6" s="40"/>
      <c r="E6" s="39"/>
      <c r="F6" s="37"/>
      <c r="G6" s="37"/>
      <c r="H6" s="37"/>
      <c r="I6" s="37"/>
      <c r="J6" s="41" t="str">
        <f t="shared" si="0"/>
        <v/>
      </c>
      <c r="K6" s="12" t="str">
        <f t="shared" si="6"/>
        <v/>
      </c>
      <c r="L6" s="12" t="str">
        <f t="shared" si="7"/>
        <v/>
      </c>
      <c r="M6" s="12" t="str">
        <f t="shared" si="1"/>
        <v/>
      </c>
      <c r="N6" s="12" t="str">
        <f t="shared" si="2"/>
        <v/>
      </c>
      <c r="O6" s="12" t="str">
        <f t="shared" si="3"/>
        <v/>
      </c>
      <c r="P6" s="12" t="str">
        <f t="shared" si="4"/>
        <v/>
      </c>
      <c r="Q6" s="12" t="str">
        <f t="shared" si="8"/>
        <v/>
      </c>
      <c r="R6" s="26" t="str">
        <f t="shared" si="5"/>
        <v/>
      </c>
      <c r="S6" s="26" t="str">
        <f t="shared" ref="S6:S69" si="16">IF(E6="","",IF(I6="x",$AC$13*INDEX($AN$19:$AN$30,MATCH($E6,$AL$19:$AL$30,0),1)*1.25,0))</f>
        <v/>
      </c>
      <c r="T6" s="26" t="str">
        <f t="shared" si="9"/>
        <v/>
      </c>
      <c r="U6" s="26" t="str">
        <f t="shared" si="10"/>
        <v/>
      </c>
      <c r="V6" s="26" t="str">
        <f t="shared" si="11"/>
        <v/>
      </c>
      <c r="W6" s="20" t="str">
        <f t="shared" si="12"/>
        <v/>
      </c>
      <c r="X6" s="20" t="str">
        <f t="shared" si="13"/>
        <v/>
      </c>
      <c r="Y6" s="86" t="str">
        <f t="shared" si="14"/>
        <v/>
      </c>
      <c r="Z6" s="31"/>
      <c r="AB6" t="s">
        <v>673</v>
      </c>
      <c r="AC6" s="22">
        <v>4</v>
      </c>
      <c r="AD6" t="s">
        <v>674</v>
      </c>
      <c r="AE6" t="s">
        <v>675</v>
      </c>
      <c r="AL6" s="1">
        <v>4</v>
      </c>
      <c r="AM6" s="19"/>
      <c r="AN6" s="19">
        <v>11.88</v>
      </c>
      <c r="AO6" s="19">
        <f t="shared" ref="AO6:AO16" si="17">AM6/3+AN6/5</f>
        <v>2.3760000000000003</v>
      </c>
      <c r="AP6" s="19">
        <f t="shared" ref="AP6:AP16" si="18">AO6*(1+$AP$3)</f>
        <v>3.5640000000000005</v>
      </c>
      <c r="AQ6" s="17">
        <f t="shared" ref="AQ6:AQ16" si="19">3.14*AL6/12</f>
        <v>1.0466666666666666</v>
      </c>
      <c r="AR6" s="292">
        <f t="shared" ref="AR6:AR16" si="20">AO6/AQ6</f>
        <v>2.2700636942675163</v>
      </c>
      <c r="AS6" s="292">
        <f>3.14*3/12*1.2*$AS$3/40</f>
        <v>0.65939999999999999</v>
      </c>
    </row>
    <row r="7" spans="2:46" outlineLevel="1">
      <c r="B7" s="14">
        <f t="shared" si="15"/>
        <v>4</v>
      </c>
      <c r="C7" s="37"/>
      <c r="D7" s="40"/>
      <c r="E7" s="39"/>
      <c r="F7" s="37"/>
      <c r="G7" s="39"/>
      <c r="H7" s="37"/>
      <c r="I7" s="37"/>
      <c r="J7" s="41" t="str">
        <f t="shared" si="0"/>
        <v/>
      </c>
      <c r="K7" s="12" t="str">
        <f t="shared" si="6"/>
        <v/>
      </c>
      <c r="L7" s="12" t="str">
        <f t="shared" si="7"/>
        <v/>
      </c>
      <c r="M7" s="12" t="str">
        <f t="shared" si="1"/>
        <v/>
      </c>
      <c r="N7" s="12" t="str">
        <f t="shared" si="2"/>
        <v/>
      </c>
      <c r="O7" s="12" t="str">
        <f t="shared" si="3"/>
        <v/>
      </c>
      <c r="P7" s="12" t="str">
        <f t="shared" si="4"/>
        <v/>
      </c>
      <c r="Q7" s="12" t="str">
        <f t="shared" si="8"/>
        <v/>
      </c>
      <c r="R7" s="26" t="str">
        <f t="shared" si="5"/>
        <v/>
      </c>
      <c r="S7" s="26" t="str">
        <f t="shared" si="16"/>
        <v/>
      </c>
      <c r="T7" s="26" t="str">
        <f t="shared" si="9"/>
        <v/>
      </c>
      <c r="U7" s="26" t="str">
        <f t="shared" si="10"/>
        <v/>
      </c>
      <c r="V7" s="26" t="str">
        <f t="shared" si="11"/>
        <v/>
      </c>
      <c r="W7" s="20" t="str">
        <f t="shared" si="12"/>
        <v/>
      </c>
      <c r="X7" s="20" t="str">
        <f t="shared" si="13"/>
        <v/>
      </c>
      <c r="Y7" s="86" t="str">
        <f t="shared" si="14"/>
        <v/>
      </c>
      <c r="Z7" s="31"/>
      <c r="AB7" t="s">
        <v>676</v>
      </c>
      <c r="AC7" s="22">
        <v>1.25</v>
      </c>
      <c r="AD7" t="s">
        <v>677</v>
      </c>
      <c r="AL7" s="1">
        <v>5</v>
      </c>
      <c r="AM7" s="19"/>
      <c r="AN7" s="19">
        <v>12.06</v>
      </c>
      <c r="AO7" s="19">
        <f t="shared" si="17"/>
        <v>2.4119999999999999</v>
      </c>
      <c r="AP7" s="19">
        <f t="shared" si="18"/>
        <v>3.6179999999999999</v>
      </c>
      <c r="AQ7" s="17">
        <f t="shared" si="19"/>
        <v>1.3083333333333333</v>
      </c>
      <c r="AR7" s="292">
        <f t="shared" si="20"/>
        <v>1.8435668789808917</v>
      </c>
      <c r="AS7" s="292">
        <f t="shared" ref="AS7:AS16" si="21">3.14*3/12*1.2*$AS$3/40</f>
        <v>0.65939999999999999</v>
      </c>
    </row>
    <row r="8" spans="2:46" outlineLevel="1">
      <c r="B8" s="14">
        <f t="shared" si="15"/>
        <v>5</v>
      </c>
      <c r="C8" s="37"/>
      <c r="D8" s="40"/>
      <c r="E8" s="39"/>
      <c r="F8" s="37"/>
      <c r="G8" s="39"/>
      <c r="H8" s="37"/>
      <c r="I8" s="37"/>
      <c r="J8" s="41" t="str">
        <f t="shared" si="0"/>
        <v/>
      </c>
      <c r="K8" s="12" t="str">
        <f t="shared" si="6"/>
        <v/>
      </c>
      <c r="L8" s="12" t="str">
        <f t="shared" si="7"/>
        <v/>
      </c>
      <c r="M8" s="12" t="str">
        <f t="shared" si="1"/>
        <v/>
      </c>
      <c r="N8" s="12" t="str">
        <f t="shared" si="2"/>
        <v/>
      </c>
      <c r="O8" s="12" t="str">
        <f t="shared" si="3"/>
        <v/>
      </c>
      <c r="P8" s="12" t="str">
        <f t="shared" si="4"/>
        <v/>
      </c>
      <c r="Q8" s="12" t="str">
        <f t="shared" si="8"/>
        <v/>
      </c>
      <c r="R8" s="26" t="str">
        <f t="shared" si="5"/>
        <v/>
      </c>
      <c r="S8" s="26" t="str">
        <f t="shared" si="16"/>
        <v/>
      </c>
      <c r="T8" s="26" t="str">
        <f t="shared" si="9"/>
        <v/>
      </c>
      <c r="U8" s="26" t="str">
        <f t="shared" si="10"/>
        <v/>
      </c>
      <c r="V8" s="26" t="str">
        <f t="shared" si="11"/>
        <v/>
      </c>
      <c r="W8" s="20" t="str">
        <f t="shared" si="12"/>
        <v/>
      </c>
      <c r="X8" s="20" t="str">
        <f t="shared" si="13"/>
        <v/>
      </c>
      <c r="Y8" s="86" t="str">
        <f t="shared" si="14"/>
        <v/>
      </c>
      <c r="Z8" s="32"/>
      <c r="AB8" t="s">
        <v>678</v>
      </c>
      <c r="AC8" s="23">
        <v>4</v>
      </c>
      <c r="AD8" t="s">
        <v>679</v>
      </c>
      <c r="AE8">
        <v>1.5</v>
      </c>
      <c r="AL8" s="1">
        <v>6</v>
      </c>
      <c r="AM8" s="19"/>
      <c r="AN8" s="19">
        <v>12.3</v>
      </c>
      <c r="AO8" s="19">
        <f t="shared" si="17"/>
        <v>2.46</v>
      </c>
      <c r="AP8" s="19">
        <f t="shared" si="18"/>
        <v>3.69</v>
      </c>
      <c r="AQ8" s="17">
        <f t="shared" si="19"/>
        <v>1.57</v>
      </c>
      <c r="AR8" s="292">
        <f t="shared" si="20"/>
        <v>1.5668789808917196</v>
      </c>
      <c r="AS8" s="292">
        <f t="shared" si="21"/>
        <v>0.65939999999999999</v>
      </c>
    </row>
    <row r="9" spans="2:46" outlineLevel="1">
      <c r="B9" s="14">
        <f t="shared" si="15"/>
        <v>6</v>
      </c>
      <c r="C9" s="37"/>
      <c r="D9" s="40"/>
      <c r="E9" s="39"/>
      <c r="F9" s="37"/>
      <c r="G9" s="39"/>
      <c r="H9" s="37"/>
      <c r="I9" s="37"/>
      <c r="J9" s="41" t="str">
        <f t="shared" si="0"/>
        <v/>
      </c>
      <c r="K9" s="12" t="str">
        <f t="shared" si="6"/>
        <v/>
      </c>
      <c r="L9" s="12" t="str">
        <f t="shared" si="7"/>
        <v/>
      </c>
      <c r="M9" s="12" t="str">
        <f t="shared" si="1"/>
        <v/>
      </c>
      <c r="N9" s="12" t="str">
        <f t="shared" si="2"/>
        <v/>
      </c>
      <c r="O9" s="12" t="str">
        <f t="shared" si="3"/>
        <v/>
      </c>
      <c r="P9" s="12" t="str">
        <f t="shared" si="4"/>
        <v/>
      </c>
      <c r="Q9" s="12" t="str">
        <f t="shared" si="8"/>
        <v/>
      </c>
      <c r="R9" s="26" t="str">
        <f t="shared" si="5"/>
        <v/>
      </c>
      <c r="S9" s="26" t="str">
        <f t="shared" si="16"/>
        <v/>
      </c>
      <c r="T9" s="26" t="str">
        <f t="shared" si="9"/>
        <v/>
      </c>
      <c r="U9" s="26" t="str">
        <f t="shared" si="10"/>
        <v/>
      </c>
      <c r="V9" s="26" t="str">
        <f t="shared" si="11"/>
        <v/>
      </c>
      <c r="W9" s="20" t="str">
        <f t="shared" si="12"/>
        <v/>
      </c>
      <c r="X9" s="20" t="str">
        <f t="shared" si="13"/>
        <v/>
      </c>
      <c r="Y9" s="86" t="str">
        <f t="shared" si="14"/>
        <v/>
      </c>
      <c r="Z9" s="32"/>
      <c r="AB9" t="s">
        <v>680</v>
      </c>
      <c r="AC9" s="23">
        <v>23</v>
      </c>
      <c r="AD9" t="s">
        <v>679</v>
      </c>
      <c r="AE9">
        <v>5</v>
      </c>
      <c r="AL9" s="1">
        <v>7</v>
      </c>
      <c r="AM9" s="19"/>
      <c r="AN9" s="19">
        <v>17.760000000000002</v>
      </c>
      <c r="AO9" s="19">
        <f t="shared" si="17"/>
        <v>3.5520000000000005</v>
      </c>
      <c r="AP9" s="19">
        <f t="shared" si="18"/>
        <v>5.3280000000000012</v>
      </c>
      <c r="AQ9" s="17">
        <f t="shared" si="19"/>
        <v>1.8316666666666668</v>
      </c>
      <c r="AR9" s="292">
        <f t="shared" si="20"/>
        <v>1.9392174704276617</v>
      </c>
      <c r="AS9" s="292">
        <f t="shared" si="21"/>
        <v>0.65939999999999999</v>
      </c>
    </row>
    <row r="10" spans="2:46" outlineLevel="1">
      <c r="B10" s="14">
        <f t="shared" si="15"/>
        <v>7</v>
      </c>
      <c r="C10" s="37"/>
      <c r="D10" s="40"/>
      <c r="E10" s="39"/>
      <c r="F10" s="37"/>
      <c r="G10" s="39"/>
      <c r="H10" s="37"/>
      <c r="I10" s="37"/>
      <c r="J10" s="41" t="str">
        <f t="shared" si="0"/>
        <v/>
      </c>
      <c r="K10" s="12" t="str">
        <f t="shared" si="6"/>
        <v/>
      </c>
      <c r="L10" s="12" t="str">
        <f t="shared" si="7"/>
        <v/>
      </c>
      <c r="M10" s="12" t="str">
        <f t="shared" si="1"/>
        <v/>
      </c>
      <c r="N10" s="12" t="str">
        <f t="shared" si="2"/>
        <v/>
      </c>
      <c r="O10" s="12" t="str">
        <f t="shared" si="3"/>
        <v/>
      </c>
      <c r="P10" s="12" t="str">
        <f t="shared" si="4"/>
        <v/>
      </c>
      <c r="Q10" s="12" t="str">
        <f t="shared" si="8"/>
        <v/>
      </c>
      <c r="R10" s="26" t="str">
        <f t="shared" si="5"/>
        <v/>
      </c>
      <c r="S10" s="26" t="str">
        <f t="shared" si="16"/>
        <v/>
      </c>
      <c r="T10" s="26" t="str">
        <f t="shared" si="9"/>
        <v/>
      </c>
      <c r="U10" s="26" t="str">
        <f t="shared" si="10"/>
        <v/>
      </c>
      <c r="V10" s="26" t="str">
        <f t="shared" si="11"/>
        <v/>
      </c>
      <c r="W10" s="20" t="str">
        <f t="shared" si="12"/>
        <v/>
      </c>
      <c r="X10" s="20" t="str">
        <f t="shared" si="13"/>
        <v/>
      </c>
      <c r="Y10" s="86" t="str">
        <f t="shared" si="14"/>
        <v/>
      </c>
      <c r="Z10" s="33"/>
      <c r="AB10" t="s">
        <v>681</v>
      </c>
      <c r="AC10" s="23">
        <v>40</v>
      </c>
      <c r="AD10" s="24" t="s">
        <v>682</v>
      </c>
      <c r="AL10" s="1">
        <v>8</v>
      </c>
      <c r="AM10" s="19"/>
      <c r="AN10" s="19">
        <v>20.2</v>
      </c>
      <c r="AO10" s="19">
        <f t="shared" si="17"/>
        <v>4.04</v>
      </c>
      <c r="AP10" s="19">
        <f t="shared" si="18"/>
        <v>6.0600000000000005</v>
      </c>
      <c r="AQ10" s="17">
        <f t="shared" si="19"/>
        <v>2.0933333333333333</v>
      </c>
      <c r="AR10" s="292">
        <f t="shared" si="20"/>
        <v>1.9299363057324841</v>
      </c>
      <c r="AS10" s="292">
        <f t="shared" si="21"/>
        <v>0.65939999999999999</v>
      </c>
    </row>
    <row r="11" spans="2:46" outlineLevel="1">
      <c r="B11" s="14">
        <f t="shared" si="15"/>
        <v>8</v>
      </c>
      <c r="C11" s="37"/>
      <c r="D11" s="40"/>
      <c r="E11" s="39"/>
      <c r="F11" s="37"/>
      <c r="G11" s="39"/>
      <c r="H11" s="37"/>
      <c r="I11" s="37"/>
      <c r="J11" s="41" t="str">
        <f t="shared" si="0"/>
        <v/>
      </c>
      <c r="K11" s="12" t="str">
        <f t="shared" si="6"/>
        <v/>
      </c>
      <c r="L11" s="12" t="str">
        <f t="shared" si="7"/>
        <v/>
      </c>
      <c r="M11" s="12" t="str">
        <f t="shared" si="1"/>
        <v/>
      </c>
      <c r="N11" s="12" t="str">
        <f t="shared" si="2"/>
        <v/>
      </c>
      <c r="O11" s="12" t="str">
        <f t="shared" si="3"/>
        <v/>
      </c>
      <c r="P11" s="12" t="str">
        <f t="shared" si="4"/>
        <v/>
      </c>
      <c r="Q11" s="12" t="str">
        <f t="shared" si="8"/>
        <v/>
      </c>
      <c r="R11" s="26" t="str">
        <f t="shared" si="5"/>
        <v/>
      </c>
      <c r="S11" s="26" t="str">
        <f t="shared" si="16"/>
        <v/>
      </c>
      <c r="T11" s="26" t="str">
        <f t="shared" si="9"/>
        <v/>
      </c>
      <c r="U11" s="26" t="str">
        <f t="shared" si="10"/>
        <v/>
      </c>
      <c r="V11" s="26" t="str">
        <f t="shared" si="11"/>
        <v/>
      </c>
      <c r="W11" s="20" t="str">
        <f t="shared" si="12"/>
        <v/>
      </c>
      <c r="X11" s="20" t="str">
        <f t="shared" si="13"/>
        <v/>
      </c>
      <c r="Y11" s="86" t="str">
        <f t="shared" si="14"/>
        <v/>
      </c>
      <c r="Z11" s="31"/>
      <c r="AB11" t="s">
        <v>683</v>
      </c>
      <c r="AC11" s="23">
        <v>80</v>
      </c>
      <c r="AD11" s="24" t="s">
        <v>682</v>
      </c>
      <c r="AL11" s="1">
        <v>9</v>
      </c>
      <c r="AM11" s="19"/>
      <c r="AN11" s="19">
        <v>26.8</v>
      </c>
      <c r="AO11" s="19">
        <f t="shared" si="17"/>
        <v>5.36</v>
      </c>
      <c r="AP11" s="19">
        <f t="shared" si="18"/>
        <v>8.0400000000000009</v>
      </c>
      <c r="AQ11" s="17">
        <f t="shared" si="19"/>
        <v>2.355</v>
      </c>
      <c r="AR11" s="292">
        <f t="shared" si="20"/>
        <v>2.2760084925690021</v>
      </c>
      <c r="AS11" s="292">
        <f t="shared" si="21"/>
        <v>0.65939999999999999</v>
      </c>
    </row>
    <row r="12" spans="2:46" outlineLevel="1">
      <c r="B12" s="14">
        <f t="shared" si="15"/>
        <v>9</v>
      </c>
      <c r="C12" s="37"/>
      <c r="D12" s="40"/>
      <c r="E12" s="39"/>
      <c r="F12" s="37"/>
      <c r="G12" s="39"/>
      <c r="H12" s="37"/>
      <c r="I12" s="37"/>
      <c r="J12" s="41" t="str">
        <f t="shared" si="0"/>
        <v/>
      </c>
      <c r="K12" s="12" t="str">
        <f t="shared" si="6"/>
        <v/>
      </c>
      <c r="L12" s="12" t="str">
        <f t="shared" si="7"/>
        <v/>
      </c>
      <c r="M12" s="12" t="str">
        <f t="shared" si="1"/>
        <v/>
      </c>
      <c r="N12" s="12" t="str">
        <f t="shared" si="2"/>
        <v/>
      </c>
      <c r="O12" s="12" t="str">
        <f t="shared" si="3"/>
        <v/>
      </c>
      <c r="P12" s="12" t="str">
        <f t="shared" si="4"/>
        <v/>
      </c>
      <c r="Q12" s="12" t="str">
        <f t="shared" si="8"/>
        <v/>
      </c>
      <c r="R12" s="26" t="str">
        <f t="shared" si="5"/>
        <v/>
      </c>
      <c r="S12" s="26" t="str">
        <f t="shared" si="16"/>
        <v/>
      </c>
      <c r="T12" s="26" t="str">
        <f t="shared" si="9"/>
        <v/>
      </c>
      <c r="U12" s="26" t="str">
        <f t="shared" si="10"/>
        <v/>
      </c>
      <c r="V12" s="26" t="str">
        <f t="shared" si="11"/>
        <v/>
      </c>
      <c r="W12" s="20" t="str">
        <f t="shared" si="12"/>
        <v/>
      </c>
      <c r="X12" s="20" t="str">
        <f t="shared" si="13"/>
        <v/>
      </c>
      <c r="Y12" s="86" t="str">
        <f t="shared" si="14"/>
        <v/>
      </c>
      <c r="Z12" s="34"/>
      <c r="AB12" t="s">
        <v>684</v>
      </c>
      <c r="AC12" s="23">
        <v>20</v>
      </c>
      <c r="AD12" s="24" t="s">
        <v>682</v>
      </c>
      <c r="AL12" s="1">
        <v>10</v>
      </c>
      <c r="AM12" s="19"/>
      <c r="AN12" s="19">
        <v>28.78</v>
      </c>
      <c r="AO12" s="19">
        <f t="shared" si="17"/>
        <v>5.7560000000000002</v>
      </c>
      <c r="AP12" s="19">
        <f t="shared" si="18"/>
        <v>8.6340000000000003</v>
      </c>
      <c r="AQ12" s="17">
        <f t="shared" si="19"/>
        <v>2.6166666666666667</v>
      </c>
      <c r="AR12" s="292">
        <f t="shared" si="20"/>
        <v>2.1997452229299364</v>
      </c>
      <c r="AS12" s="292">
        <f t="shared" si="21"/>
        <v>0.65939999999999999</v>
      </c>
    </row>
    <row r="13" spans="2:46" outlineLevel="1">
      <c r="B13" s="14">
        <f t="shared" si="15"/>
        <v>10</v>
      </c>
      <c r="C13" s="37"/>
      <c r="D13" s="40"/>
      <c r="E13" s="39"/>
      <c r="F13" s="37"/>
      <c r="G13" s="39"/>
      <c r="H13" s="37"/>
      <c r="I13" s="37"/>
      <c r="J13" s="41" t="str">
        <f t="shared" si="0"/>
        <v/>
      </c>
      <c r="K13" s="12" t="str">
        <f t="shared" si="6"/>
        <v/>
      </c>
      <c r="L13" s="12" t="str">
        <f t="shared" si="7"/>
        <v/>
      </c>
      <c r="M13" s="12" t="str">
        <f t="shared" si="1"/>
        <v/>
      </c>
      <c r="N13" s="12" t="str">
        <f t="shared" si="2"/>
        <v/>
      </c>
      <c r="O13" s="12" t="str">
        <f t="shared" si="3"/>
        <v/>
      </c>
      <c r="P13" s="12" t="str">
        <f t="shared" si="4"/>
        <v/>
      </c>
      <c r="Q13" s="12" t="str">
        <f t="shared" si="8"/>
        <v/>
      </c>
      <c r="R13" s="26" t="str">
        <f t="shared" si="5"/>
        <v/>
      </c>
      <c r="S13" s="26" t="str">
        <f t="shared" si="16"/>
        <v/>
      </c>
      <c r="T13" s="26" t="str">
        <f t="shared" si="9"/>
        <v/>
      </c>
      <c r="U13" s="26" t="str">
        <f t="shared" si="10"/>
        <v/>
      </c>
      <c r="V13" s="26" t="str">
        <f t="shared" si="11"/>
        <v/>
      </c>
      <c r="W13" s="20" t="str">
        <f t="shared" si="12"/>
        <v/>
      </c>
      <c r="X13" s="20" t="str">
        <f t="shared" si="13"/>
        <v/>
      </c>
      <c r="Y13" s="86" t="str">
        <f t="shared" si="14"/>
        <v/>
      </c>
      <c r="Z13" s="31"/>
      <c r="AB13" t="s">
        <v>685</v>
      </c>
      <c r="AC13" s="74">
        <v>5</v>
      </c>
      <c r="AD13" t="s">
        <v>686</v>
      </c>
      <c r="AL13" s="1">
        <v>12</v>
      </c>
      <c r="AM13" s="19"/>
      <c r="AN13" s="19">
        <v>35.56</v>
      </c>
      <c r="AO13" s="19">
        <f t="shared" si="17"/>
        <v>7.1120000000000001</v>
      </c>
      <c r="AP13" s="19">
        <f t="shared" si="18"/>
        <v>10.667999999999999</v>
      </c>
      <c r="AQ13" s="17">
        <f t="shared" si="19"/>
        <v>3.14</v>
      </c>
      <c r="AR13" s="292">
        <f t="shared" si="20"/>
        <v>2.264968152866242</v>
      </c>
      <c r="AS13" s="292">
        <f t="shared" si="21"/>
        <v>0.65939999999999999</v>
      </c>
    </row>
    <row r="14" spans="2:46" outlineLevel="1">
      <c r="B14" s="14">
        <f t="shared" si="15"/>
        <v>11</v>
      </c>
      <c r="C14" s="37"/>
      <c r="D14" s="40"/>
      <c r="E14" s="39"/>
      <c r="F14" s="37"/>
      <c r="G14" s="39"/>
      <c r="H14" s="37"/>
      <c r="I14" s="37"/>
      <c r="J14" s="41" t="str">
        <f t="shared" si="0"/>
        <v/>
      </c>
      <c r="K14" s="12" t="str">
        <f t="shared" si="6"/>
        <v/>
      </c>
      <c r="L14" s="12" t="str">
        <f t="shared" si="7"/>
        <v/>
      </c>
      <c r="M14" s="12" t="str">
        <f t="shared" si="1"/>
        <v/>
      </c>
      <c r="N14" s="12" t="str">
        <f t="shared" si="2"/>
        <v/>
      </c>
      <c r="O14" s="12" t="str">
        <f t="shared" si="3"/>
        <v/>
      </c>
      <c r="P14" s="12" t="str">
        <f t="shared" si="4"/>
        <v/>
      </c>
      <c r="Q14" s="12" t="str">
        <f t="shared" si="8"/>
        <v/>
      </c>
      <c r="R14" s="26" t="str">
        <f t="shared" si="5"/>
        <v/>
      </c>
      <c r="S14" s="26" t="str">
        <f t="shared" si="16"/>
        <v/>
      </c>
      <c r="T14" s="26" t="str">
        <f t="shared" si="9"/>
        <v/>
      </c>
      <c r="U14" s="26" t="str">
        <f t="shared" si="10"/>
        <v/>
      </c>
      <c r="V14" s="26" t="str">
        <f t="shared" si="11"/>
        <v/>
      </c>
      <c r="W14" s="20" t="str">
        <f t="shared" si="12"/>
        <v/>
      </c>
      <c r="X14" s="20" t="str">
        <f t="shared" si="13"/>
        <v/>
      </c>
      <c r="Y14" s="86" t="str">
        <f t="shared" si="14"/>
        <v/>
      </c>
      <c r="Z14" s="33"/>
      <c r="AB14" t="s">
        <v>687</v>
      </c>
      <c r="AC14" s="36">
        <v>0.4</v>
      </c>
      <c r="AL14" s="1">
        <v>14</v>
      </c>
      <c r="AM14" s="19"/>
      <c r="AN14" s="19">
        <v>46.78</v>
      </c>
      <c r="AO14" s="19">
        <f t="shared" si="17"/>
        <v>9.3559999999999999</v>
      </c>
      <c r="AP14" s="19">
        <f t="shared" si="18"/>
        <v>14.033999999999999</v>
      </c>
      <c r="AQ14" s="17">
        <f t="shared" si="19"/>
        <v>3.6633333333333336</v>
      </c>
      <c r="AR14" s="292">
        <f t="shared" si="20"/>
        <v>2.5539581437670607</v>
      </c>
      <c r="AS14" s="292">
        <f t="shared" si="21"/>
        <v>0.65939999999999999</v>
      </c>
    </row>
    <row r="15" spans="2:46" outlineLevel="1">
      <c r="B15" s="14">
        <f t="shared" si="15"/>
        <v>12</v>
      </c>
      <c r="C15" s="37"/>
      <c r="D15" s="40"/>
      <c r="E15" s="39"/>
      <c r="F15" s="37"/>
      <c r="G15" s="39"/>
      <c r="H15" s="37"/>
      <c r="I15" s="37"/>
      <c r="J15" s="41" t="str">
        <f t="shared" si="0"/>
        <v/>
      </c>
      <c r="K15" s="12" t="str">
        <f t="shared" si="6"/>
        <v/>
      </c>
      <c r="L15" s="12" t="str">
        <f t="shared" si="7"/>
        <v/>
      </c>
      <c r="M15" s="12" t="str">
        <f t="shared" si="1"/>
        <v/>
      </c>
      <c r="N15" s="12" t="str">
        <f t="shared" si="2"/>
        <v/>
      </c>
      <c r="O15" s="12" t="str">
        <f t="shared" si="3"/>
        <v/>
      </c>
      <c r="P15" s="12" t="str">
        <f t="shared" si="4"/>
        <v/>
      </c>
      <c r="Q15" s="12" t="str">
        <f t="shared" si="8"/>
        <v/>
      </c>
      <c r="R15" s="26" t="str">
        <f t="shared" si="5"/>
        <v/>
      </c>
      <c r="S15" s="26" t="str">
        <f t="shared" si="16"/>
        <v/>
      </c>
      <c r="T15" s="26" t="str">
        <f t="shared" si="9"/>
        <v/>
      </c>
      <c r="U15" s="26" t="str">
        <f t="shared" si="10"/>
        <v/>
      </c>
      <c r="V15" s="26" t="str">
        <f t="shared" si="11"/>
        <v/>
      </c>
      <c r="W15" s="20" t="str">
        <f t="shared" si="12"/>
        <v/>
      </c>
      <c r="X15" s="20" t="str">
        <f t="shared" si="13"/>
        <v/>
      </c>
      <c r="Y15" s="86" t="str">
        <f t="shared" si="14"/>
        <v/>
      </c>
      <c r="Z15" s="31"/>
      <c r="AL15" s="1">
        <v>16</v>
      </c>
      <c r="AM15" s="19">
        <v>34.06</v>
      </c>
      <c r="AN15" s="19"/>
      <c r="AO15" s="19">
        <f t="shared" si="17"/>
        <v>11.353333333333333</v>
      </c>
      <c r="AP15" s="19">
        <f t="shared" si="18"/>
        <v>17.03</v>
      </c>
      <c r="AQ15" s="17">
        <f t="shared" si="19"/>
        <v>4.1866666666666665</v>
      </c>
      <c r="AR15" s="292">
        <f t="shared" si="20"/>
        <v>2.7117834394904459</v>
      </c>
      <c r="AS15" s="292">
        <f t="shared" si="21"/>
        <v>0.65939999999999999</v>
      </c>
    </row>
    <row r="16" spans="2:46" outlineLevel="1">
      <c r="B16" s="14">
        <f t="shared" si="15"/>
        <v>13</v>
      </c>
      <c r="C16" s="37"/>
      <c r="D16" s="40"/>
      <c r="E16" s="39"/>
      <c r="F16" s="37"/>
      <c r="G16" s="39"/>
      <c r="H16" s="37"/>
      <c r="I16" s="37"/>
      <c r="J16" s="41" t="str">
        <f t="shared" si="0"/>
        <v/>
      </c>
      <c r="K16" s="12" t="str">
        <f t="shared" si="6"/>
        <v/>
      </c>
      <c r="L16" s="12" t="str">
        <f t="shared" si="7"/>
        <v/>
      </c>
      <c r="M16" s="12" t="str">
        <f t="shared" si="1"/>
        <v/>
      </c>
      <c r="N16" s="12" t="str">
        <f t="shared" si="2"/>
        <v/>
      </c>
      <c r="O16" s="12" t="str">
        <f t="shared" si="3"/>
        <v/>
      </c>
      <c r="P16" s="12" t="str">
        <f t="shared" si="4"/>
        <v/>
      </c>
      <c r="Q16" s="12" t="str">
        <f t="shared" si="8"/>
        <v/>
      </c>
      <c r="R16" s="26" t="str">
        <f t="shared" si="5"/>
        <v/>
      </c>
      <c r="S16" s="26" t="str">
        <f t="shared" si="16"/>
        <v/>
      </c>
      <c r="T16" s="26" t="str">
        <f t="shared" si="9"/>
        <v/>
      </c>
      <c r="U16" s="26" t="str">
        <f t="shared" si="10"/>
        <v/>
      </c>
      <c r="V16" s="26" t="str">
        <f t="shared" si="11"/>
        <v/>
      </c>
      <c r="W16" s="20" t="str">
        <f t="shared" si="12"/>
        <v/>
      </c>
      <c r="X16" s="20" t="str">
        <f t="shared" si="13"/>
        <v/>
      </c>
      <c r="Y16" s="86" t="str">
        <f t="shared" ref="Y16:Y79" si="22">IFERROR(+W16+X16,"")</f>
        <v/>
      </c>
      <c r="Z16" s="31"/>
      <c r="AL16" s="101">
        <v>18</v>
      </c>
      <c r="AM16" s="719">
        <v>44.42</v>
      </c>
      <c r="AN16" s="719"/>
      <c r="AO16" s="719">
        <f t="shared" si="17"/>
        <v>14.806666666666667</v>
      </c>
      <c r="AP16" s="719">
        <f t="shared" si="18"/>
        <v>22.21</v>
      </c>
      <c r="AQ16" s="600">
        <f t="shared" si="19"/>
        <v>4.71</v>
      </c>
      <c r="AR16" s="720">
        <f t="shared" si="20"/>
        <v>3.1436659589525831</v>
      </c>
      <c r="AS16" s="720">
        <f t="shared" si="21"/>
        <v>0.65939999999999999</v>
      </c>
      <c r="AT16" s="64"/>
    </row>
    <row r="17" spans="2:44" outlineLevel="1">
      <c r="B17" s="14">
        <f t="shared" si="15"/>
        <v>14</v>
      </c>
      <c r="C17" s="37"/>
      <c r="D17" s="40"/>
      <c r="E17" s="39"/>
      <c r="F17" s="37"/>
      <c r="G17" s="39"/>
      <c r="H17" s="37"/>
      <c r="I17" s="37"/>
      <c r="J17" s="41" t="str">
        <f t="shared" si="0"/>
        <v/>
      </c>
      <c r="K17" s="12" t="str">
        <f t="shared" si="6"/>
        <v/>
      </c>
      <c r="L17" s="12" t="str">
        <f t="shared" si="7"/>
        <v/>
      </c>
      <c r="M17" s="12" t="str">
        <f t="shared" si="1"/>
        <v/>
      </c>
      <c r="N17" s="12" t="str">
        <f t="shared" si="2"/>
        <v/>
      </c>
      <c r="O17" s="12" t="str">
        <f t="shared" si="3"/>
        <v/>
      </c>
      <c r="P17" s="12" t="str">
        <f t="shared" si="4"/>
        <v/>
      </c>
      <c r="Q17" s="12" t="str">
        <f t="shared" si="8"/>
        <v/>
      </c>
      <c r="R17" s="26" t="str">
        <f t="shared" si="5"/>
        <v/>
      </c>
      <c r="S17" s="26" t="str">
        <f t="shared" si="16"/>
        <v/>
      </c>
      <c r="T17" s="26" t="str">
        <f t="shared" si="9"/>
        <v/>
      </c>
      <c r="U17" s="26" t="str">
        <f t="shared" si="10"/>
        <v/>
      </c>
      <c r="V17" s="26" t="str">
        <f t="shared" si="11"/>
        <v/>
      </c>
      <c r="W17" s="20" t="str">
        <f t="shared" si="12"/>
        <v/>
      </c>
      <c r="X17" s="20" t="str">
        <f t="shared" si="13"/>
        <v/>
      </c>
      <c r="Y17" s="86" t="str">
        <f t="shared" si="22"/>
        <v/>
      </c>
      <c r="Z17" s="31"/>
      <c r="AL17" s="1"/>
      <c r="AM17" s="292"/>
      <c r="AN17" s="19"/>
      <c r="AO17" s="19"/>
      <c r="AP17" s="19"/>
      <c r="AQ17" s="17"/>
      <c r="AR17" s="292"/>
    </row>
    <row r="18" spans="2:44" outlineLevel="1">
      <c r="B18" s="14">
        <f t="shared" si="15"/>
        <v>15</v>
      </c>
      <c r="C18" s="37"/>
      <c r="D18" s="40"/>
      <c r="E18" s="39"/>
      <c r="F18" s="37"/>
      <c r="G18" s="39"/>
      <c r="H18" s="37"/>
      <c r="I18" s="37"/>
      <c r="J18" s="41" t="str">
        <f t="shared" si="0"/>
        <v/>
      </c>
      <c r="K18" s="12" t="str">
        <f t="shared" si="6"/>
        <v/>
      </c>
      <c r="L18" s="12" t="str">
        <f t="shared" si="7"/>
        <v/>
      </c>
      <c r="M18" s="12" t="str">
        <f t="shared" si="1"/>
        <v/>
      </c>
      <c r="N18" s="12" t="str">
        <f t="shared" si="2"/>
        <v/>
      </c>
      <c r="O18" s="12" t="str">
        <f t="shared" si="3"/>
        <v/>
      </c>
      <c r="P18" s="12" t="str">
        <f t="shared" si="4"/>
        <v/>
      </c>
      <c r="Q18" s="12" t="str">
        <f t="shared" si="8"/>
        <v/>
      </c>
      <c r="R18" s="26" t="str">
        <f t="shared" si="5"/>
        <v/>
      </c>
      <c r="S18" s="26" t="str">
        <f t="shared" si="16"/>
        <v/>
      </c>
      <c r="T18" s="26" t="str">
        <f t="shared" si="9"/>
        <v/>
      </c>
      <c r="U18" s="26" t="str">
        <f t="shared" si="10"/>
        <v/>
      </c>
      <c r="V18" s="26" t="str">
        <f t="shared" si="11"/>
        <v/>
      </c>
      <c r="W18" s="20" t="str">
        <f t="shared" si="12"/>
        <v/>
      </c>
      <c r="X18" s="20" t="str">
        <f t="shared" si="13"/>
        <v/>
      </c>
      <c r="Y18" s="86" t="str">
        <f t="shared" si="22"/>
        <v/>
      </c>
      <c r="Z18" s="31"/>
      <c r="AL18" s="64" t="s">
        <v>688</v>
      </c>
      <c r="AM18" s="101" t="s">
        <v>689</v>
      </c>
      <c r="AN18" s="101" t="s">
        <v>679</v>
      </c>
    </row>
    <row r="19" spans="2:44" outlineLevel="1">
      <c r="B19" s="14">
        <f t="shared" si="15"/>
        <v>16</v>
      </c>
      <c r="C19" s="37"/>
      <c r="D19" s="40"/>
      <c r="E19" s="39"/>
      <c r="F19" s="37"/>
      <c r="G19" s="39"/>
      <c r="H19" s="37"/>
      <c r="I19" s="37"/>
      <c r="J19" s="41" t="str">
        <f t="shared" si="0"/>
        <v/>
      </c>
      <c r="K19" s="12" t="str">
        <f t="shared" si="6"/>
        <v/>
      </c>
      <c r="L19" s="12" t="str">
        <f t="shared" si="7"/>
        <v/>
      </c>
      <c r="M19" s="12" t="str">
        <f t="shared" si="1"/>
        <v/>
      </c>
      <c r="N19" s="12" t="str">
        <f t="shared" si="2"/>
        <v/>
      </c>
      <c r="O19" s="12" t="str">
        <f t="shared" si="3"/>
        <v/>
      </c>
      <c r="P19" s="12" t="str">
        <f t="shared" si="4"/>
        <v/>
      </c>
      <c r="Q19" s="12" t="str">
        <f t="shared" si="8"/>
        <v/>
      </c>
      <c r="R19" s="26" t="str">
        <f t="shared" si="5"/>
        <v/>
      </c>
      <c r="S19" s="26" t="str">
        <f t="shared" si="16"/>
        <v/>
      </c>
      <c r="T19" s="26" t="str">
        <f t="shared" si="9"/>
        <v/>
      </c>
      <c r="U19" s="26" t="str">
        <f t="shared" si="10"/>
        <v/>
      </c>
      <c r="V19" s="26" t="str">
        <f t="shared" si="11"/>
        <v/>
      </c>
      <c r="W19" s="20" t="str">
        <f t="shared" si="12"/>
        <v/>
      </c>
      <c r="X19" s="20" t="str">
        <f t="shared" si="13"/>
        <v/>
      </c>
      <c r="Y19" s="86" t="str">
        <f t="shared" si="22"/>
        <v/>
      </c>
      <c r="Z19" s="31"/>
      <c r="AL19" s="4">
        <v>4</v>
      </c>
      <c r="AM19" s="27">
        <v>48</v>
      </c>
      <c r="AN19" s="19">
        <f>AM19/25</f>
        <v>1.92</v>
      </c>
    </row>
    <row r="20" spans="2:44" outlineLevel="1">
      <c r="B20" s="14">
        <f t="shared" si="15"/>
        <v>17</v>
      </c>
      <c r="C20" s="37"/>
      <c r="D20" s="40"/>
      <c r="E20" s="39"/>
      <c r="F20" s="37"/>
      <c r="G20" s="39"/>
      <c r="H20" s="37"/>
      <c r="I20" s="37"/>
      <c r="J20" s="41" t="str">
        <f t="shared" si="0"/>
        <v/>
      </c>
      <c r="K20" s="12" t="str">
        <f t="shared" si="6"/>
        <v/>
      </c>
      <c r="L20" s="12" t="str">
        <f t="shared" si="7"/>
        <v/>
      </c>
      <c r="M20" s="12" t="str">
        <f t="shared" si="1"/>
        <v/>
      </c>
      <c r="N20" s="12" t="str">
        <f t="shared" si="2"/>
        <v/>
      </c>
      <c r="O20" s="12" t="str">
        <f t="shared" si="3"/>
        <v/>
      </c>
      <c r="P20" s="12" t="str">
        <f t="shared" si="4"/>
        <v/>
      </c>
      <c r="Q20" s="12" t="str">
        <f t="shared" si="8"/>
        <v/>
      </c>
      <c r="R20" s="26" t="str">
        <f t="shared" si="5"/>
        <v/>
      </c>
      <c r="S20" s="26" t="str">
        <f t="shared" si="16"/>
        <v/>
      </c>
      <c r="T20" s="26" t="str">
        <f t="shared" si="9"/>
        <v/>
      </c>
      <c r="U20" s="26" t="str">
        <f t="shared" si="10"/>
        <v/>
      </c>
      <c r="V20" s="26" t="str">
        <f t="shared" si="11"/>
        <v/>
      </c>
      <c r="W20" s="20" t="str">
        <f t="shared" si="12"/>
        <v/>
      </c>
      <c r="X20" s="20" t="str">
        <f t="shared" si="13"/>
        <v/>
      </c>
      <c r="Y20" s="86" t="str">
        <f t="shared" si="22"/>
        <v/>
      </c>
      <c r="Z20" s="31"/>
      <c r="AL20" s="4">
        <v>5</v>
      </c>
      <c r="AM20" s="27">
        <v>52</v>
      </c>
      <c r="AN20" s="19">
        <f t="shared" ref="AN20:AN30" si="23">AM20/25</f>
        <v>2.08</v>
      </c>
    </row>
    <row r="21" spans="2:44" outlineLevel="1">
      <c r="B21" s="14">
        <f t="shared" si="15"/>
        <v>18</v>
      </c>
      <c r="C21" s="37"/>
      <c r="D21" s="40"/>
      <c r="E21" s="39"/>
      <c r="F21" s="37"/>
      <c r="G21" s="39"/>
      <c r="H21" s="37"/>
      <c r="I21" s="37"/>
      <c r="J21" s="41" t="str">
        <f t="shared" si="0"/>
        <v/>
      </c>
      <c r="K21" s="12" t="str">
        <f t="shared" si="6"/>
        <v/>
      </c>
      <c r="L21" s="12" t="str">
        <f t="shared" si="7"/>
        <v/>
      </c>
      <c r="M21" s="12" t="str">
        <f t="shared" si="1"/>
        <v/>
      </c>
      <c r="N21" s="12" t="str">
        <f t="shared" si="2"/>
        <v/>
      </c>
      <c r="O21" s="12" t="str">
        <f t="shared" si="3"/>
        <v/>
      </c>
      <c r="P21" s="12" t="str">
        <f t="shared" si="4"/>
        <v/>
      </c>
      <c r="Q21" s="12" t="str">
        <f t="shared" si="8"/>
        <v/>
      </c>
      <c r="R21" s="26" t="str">
        <f t="shared" si="5"/>
        <v/>
      </c>
      <c r="S21" s="26" t="str">
        <f t="shared" si="16"/>
        <v/>
      </c>
      <c r="T21" s="26" t="str">
        <f t="shared" si="9"/>
        <v/>
      </c>
      <c r="U21" s="26" t="str">
        <f t="shared" si="10"/>
        <v/>
      </c>
      <c r="V21" s="26" t="str">
        <f t="shared" si="11"/>
        <v/>
      </c>
      <c r="W21" s="20" t="str">
        <f t="shared" si="12"/>
        <v/>
      </c>
      <c r="X21" s="20" t="str">
        <f t="shared" si="13"/>
        <v/>
      </c>
      <c r="Y21" s="86" t="str">
        <f t="shared" si="22"/>
        <v/>
      </c>
      <c r="Z21" s="31"/>
      <c r="AL21" s="4">
        <v>6</v>
      </c>
      <c r="AM21" s="27">
        <v>56</v>
      </c>
      <c r="AN21" s="19">
        <f t="shared" si="23"/>
        <v>2.2400000000000002</v>
      </c>
    </row>
    <row r="22" spans="2:44" outlineLevel="1">
      <c r="B22" s="14">
        <f t="shared" si="15"/>
        <v>19</v>
      </c>
      <c r="C22" s="37"/>
      <c r="D22" s="40"/>
      <c r="E22" s="39"/>
      <c r="F22" s="37"/>
      <c r="G22" s="39"/>
      <c r="H22" s="37"/>
      <c r="I22" s="37"/>
      <c r="J22" s="41" t="str">
        <f t="shared" si="0"/>
        <v/>
      </c>
      <c r="K22" s="12" t="str">
        <f t="shared" si="6"/>
        <v/>
      </c>
      <c r="L22" s="12" t="str">
        <f t="shared" si="7"/>
        <v/>
      </c>
      <c r="M22" s="12" t="str">
        <f t="shared" si="1"/>
        <v/>
      </c>
      <c r="N22" s="12" t="str">
        <f t="shared" si="2"/>
        <v/>
      </c>
      <c r="O22" s="12" t="str">
        <f t="shared" si="3"/>
        <v/>
      </c>
      <c r="P22" s="12" t="str">
        <f t="shared" si="4"/>
        <v/>
      </c>
      <c r="Q22" s="12" t="str">
        <f t="shared" si="8"/>
        <v/>
      </c>
      <c r="R22" s="26" t="str">
        <f t="shared" si="5"/>
        <v/>
      </c>
      <c r="S22" s="26" t="str">
        <f t="shared" si="16"/>
        <v/>
      </c>
      <c r="T22" s="26" t="str">
        <f t="shared" si="9"/>
        <v/>
      </c>
      <c r="U22" s="26" t="str">
        <f t="shared" si="10"/>
        <v/>
      </c>
      <c r="V22" s="26" t="str">
        <f t="shared" si="11"/>
        <v/>
      </c>
      <c r="W22" s="20" t="str">
        <f t="shared" si="12"/>
        <v/>
      </c>
      <c r="X22" s="20" t="str">
        <f t="shared" si="13"/>
        <v/>
      </c>
      <c r="Y22" s="86" t="str">
        <f t="shared" si="22"/>
        <v/>
      </c>
      <c r="Z22" s="31"/>
      <c r="AL22" s="4">
        <v>7</v>
      </c>
      <c r="AM22" s="27">
        <v>61</v>
      </c>
      <c r="AN22" s="19">
        <f t="shared" si="23"/>
        <v>2.44</v>
      </c>
    </row>
    <row r="23" spans="2:44" outlineLevel="1">
      <c r="B23" s="14">
        <f t="shared" si="15"/>
        <v>20</v>
      </c>
      <c r="C23" s="37"/>
      <c r="D23" s="40"/>
      <c r="E23" s="39"/>
      <c r="F23" s="37"/>
      <c r="G23" s="39"/>
      <c r="H23" s="37"/>
      <c r="I23" s="37"/>
      <c r="J23" s="41" t="str">
        <f t="shared" si="0"/>
        <v/>
      </c>
      <c r="K23" s="12" t="str">
        <f t="shared" si="6"/>
        <v/>
      </c>
      <c r="L23" s="12" t="str">
        <f t="shared" si="7"/>
        <v/>
      </c>
      <c r="M23" s="12" t="str">
        <f t="shared" si="1"/>
        <v/>
      </c>
      <c r="N23" s="12" t="str">
        <f t="shared" si="2"/>
        <v/>
      </c>
      <c r="O23" s="12" t="str">
        <f t="shared" si="3"/>
        <v/>
      </c>
      <c r="P23" s="12" t="str">
        <f t="shared" si="4"/>
        <v/>
      </c>
      <c r="Q23" s="12" t="str">
        <f t="shared" si="8"/>
        <v/>
      </c>
      <c r="R23" s="26" t="str">
        <f t="shared" si="5"/>
        <v/>
      </c>
      <c r="S23" s="26" t="str">
        <f t="shared" si="16"/>
        <v/>
      </c>
      <c r="T23" s="26" t="str">
        <f t="shared" si="9"/>
        <v/>
      </c>
      <c r="U23" s="26" t="str">
        <f t="shared" si="10"/>
        <v/>
      </c>
      <c r="V23" s="26" t="str">
        <f t="shared" si="11"/>
        <v/>
      </c>
      <c r="W23" s="20" t="str">
        <f t="shared" si="12"/>
        <v/>
      </c>
      <c r="X23" s="20" t="str">
        <f t="shared" si="13"/>
        <v/>
      </c>
      <c r="Y23" s="86" t="str">
        <f t="shared" si="22"/>
        <v/>
      </c>
      <c r="Z23" s="31"/>
      <c r="AL23" s="4">
        <v>8</v>
      </c>
      <c r="AM23" s="27">
        <v>66</v>
      </c>
      <c r="AN23" s="19">
        <f t="shared" si="23"/>
        <v>2.64</v>
      </c>
    </row>
    <row r="24" spans="2:44" outlineLevel="1">
      <c r="B24" s="14">
        <f t="shared" si="15"/>
        <v>21</v>
      </c>
      <c r="C24" s="37"/>
      <c r="D24" s="40"/>
      <c r="E24" s="39"/>
      <c r="F24" s="37"/>
      <c r="G24" s="39"/>
      <c r="H24" s="37"/>
      <c r="I24" s="37"/>
      <c r="J24" s="41" t="str">
        <f t="shared" si="0"/>
        <v/>
      </c>
      <c r="K24" s="12" t="str">
        <f t="shared" si="6"/>
        <v/>
      </c>
      <c r="L24" s="12" t="str">
        <f t="shared" si="7"/>
        <v/>
      </c>
      <c r="M24" s="12" t="str">
        <f t="shared" si="1"/>
        <v/>
      </c>
      <c r="N24" s="12" t="str">
        <f t="shared" si="2"/>
        <v/>
      </c>
      <c r="O24" s="12" t="str">
        <f t="shared" si="3"/>
        <v/>
      </c>
      <c r="P24" s="12" t="str">
        <f t="shared" si="4"/>
        <v/>
      </c>
      <c r="Q24" s="12" t="str">
        <f t="shared" si="8"/>
        <v/>
      </c>
      <c r="R24" s="26" t="str">
        <f t="shared" si="5"/>
        <v/>
      </c>
      <c r="S24" s="26" t="str">
        <f t="shared" si="16"/>
        <v/>
      </c>
      <c r="T24" s="26" t="str">
        <f t="shared" si="9"/>
        <v/>
      </c>
      <c r="U24" s="26" t="str">
        <f t="shared" si="10"/>
        <v/>
      </c>
      <c r="V24" s="26" t="str">
        <f t="shared" si="11"/>
        <v/>
      </c>
      <c r="W24" s="20" t="str">
        <f t="shared" si="12"/>
        <v/>
      </c>
      <c r="X24" s="20" t="str">
        <f t="shared" si="13"/>
        <v/>
      </c>
      <c r="Y24" s="86" t="str">
        <f t="shared" si="22"/>
        <v/>
      </c>
      <c r="Z24" s="31"/>
      <c r="AL24" s="4">
        <v>9</v>
      </c>
      <c r="AM24" s="27">
        <v>73</v>
      </c>
      <c r="AN24" s="19">
        <f t="shared" si="23"/>
        <v>2.92</v>
      </c>
    </row>
    <row r="25" spans="2:44" outlineLevel="1">
      <c r="B25" s="14">
        <f t="shared" si="15"/>
        <v>22</v>
      </c>
      <c r="C25" s="37"/>
      <c r="D25" s="40"/>
      <c r="E25" s="39"/>
      <c r="F25" s="37"/>
      <c r="G25" s="39"/>
      <c r="H25" s="37"/>
      <c r="I25" s="37"/>
      <c r="J25" s="41" t="str">
        <f t="shared" si="0"/>
        <v/>
      </c>
      <c r="K25" s="12" t="str">
        <f t="shared" si="6"/>
        <v/>
      </c>
      <c r="L25" s="12" t="str">
        <f t="shared" si="7"/>
        <v/>
      </c>
      <c r="M25" s="12" t="str">
        <f t="shared" si="1"/>
        <v/>
      </c>
      <c r="N25" s="12" t="str">
        <f t="shared" si="2"/>
        <v/>
      </c>
      <c r="O25" s="12" t="str">
        <f t="shared" si="3"/>
        <v/>
      </c>
      <c r="P25" s="12" t="str">
        <f t="shared" si="4"/>
        <v/>
      </c>
      <c r="Q25" s="12" t="str">
        <f t="shared" si="8"/>
        <v/>
      </c>
      <c r="R25" s="26" t="str">
        <f t="shared" si="5"/>
        <v/>
      </c>
      <c r="S25" s="26" t="str">
        <f t="shared" si="16"/>
        <v/>
      </c>
      <c r="T25" s="26" t="str">
        <f t="shared" si="9"/>
        <v/>
      </c>
      <c r="U25" s="26" t="str">
        <f t="shared" si="10"/>
        <v/>
      </c>
      <c r="V25" s="26" t="str">
        <f t="shared" si="11"/>
        <v/>
      </c>
      <c r="W25" s="20" t="str">
        <f t="shared" si="12"/>
        <v/>
      </c>
      <c r="X25" s="20" t="str">
        <f t="shared" si="13"/>
        <v/>
      </c>
      <c r="Y25" s="86" t="str">
        <f t="shared" si="22"/>
        <v/>
      </c>
      <c r="Z25" s="31"/>
      <c r="AL25" s="4">
        <v>10</v>
      </c>
      <c r="AM25" s="27">
        <v>80</v>
      </c>
      <c r="AN25" s="19">
        <f t="shared" si="23"/>
        <v>3.2</v>
      </c>
    </row>
    <row r="26" spans="2:44" outlineLevel="1">
      <c r="B26" s="14">
        <f t="shared" si="15"/>
        <v>23</v>
      </c>
      <c r="C26" s="37"/>
      <c r="D26" s="40"/>
      <c r="E26" s="39"/>
      <c r="F26" s="37"/>
      <c r="G26" s="39"/>
      <c r="H26" s="37"/>
      <c r="I26" s="37"/>
      <c r="J26" s="41" t="str">
        <f t="shared" si="0"/>
        <v/>
      </c>
      <c r="K26" s="12" t="str">
        <f t="shared" si="6"/>
        <v/>
      </c>
      <c r="L26" s="12" t="str">
        <f t="shared" si="7"/>
        <v/>
      </c>
      <c r="M26" s="12" t="str">
        <f t="shared" si="1"/>
        <v/>
      </c>
      <c r="N26" s="12" t="str">
        <f t="shared" si="2"/>
        <v/>
      </c>
      <c r="O26" s="12" t="str">
        <f t="shared" si="3"/>
        <v/>
      </c>
      <c r="P26" s="12" t="str">
        <f t="shared" si="4"/>
        <v/>
      </c>
      <c r="Q26" s="12" t="str">
        <f t="shared" si="8"/>
        <v/>
      </c>
      <c r="R26" s="26" t="str">
        <f t="shared" si="5"/>
        <v/>
      </c>
      <c r="S26" s="26" t="str">
        <f t="shared" si="16"/>
        <v/>
      </c>
      <c r="T26" s="26" t="str">
        <f t="shared" si="9"/>
        <v/>
      </c>
      <c r="U26" s="26" t="str">
        <f t="shared" si="10"/>
        <v/>
      </c>
      <c r="V26" s="26" t="str">
        <f t="shared" si="11"/>
        <v/>
      </c>
      <c r="W26" s="20" t="str">
        <f t="shared" si="12"/>
        <v/>
      </c>
      <c r="X26" s="20" t="str">
        <f t="shared" si="13"/>
        <v/>
      </c>
      <c r="Y26" s="86" t="str">
        <f t="shared" si="22"/>
        <v/>
      </c>
      <c r="Z26" s="31"/>
      <c r="AL26" s="4">
        <v>12</v>
      </c>
      <c r="AM26" s="27">
        <v>98</v>
      </c>
      <c r="AN26" s="19">
        <f t="shared" si="23"/>
        <v>3.92</v>
      </c>
    </row>
    <row r="27" spans="2:44" outlineLevel="1">
      <c r="B27" s="14">
        <f t="shared" si="15"/>
        <v>24</v>
      </c>
      <c r="C27" s="37"/>
      <c r="D27" s="40"/>
      <c r="E27" s="39"/>
      <c r="F27" s="37"/>
      <c r="G27" s="39"/>
      <c r="H27" s="37"/>
      <c r="I27" s="37"/>
      <c r="J27" s="41" t="str">
        <f t="shared" si="0"/>
        <v/>
      </c>
      <c r="K27" s="12" t="str">
        <f t="shared" si="6"/>
        <v/>
      </c>
      <c r="L27" s="12" t="str">
        <f t="shared" si="7"/>
        <v/>
      </c>
      <c r="M27" s="12" t="str">
        <f t="shared" si="1"/>
        <v/>
      </c>
      <c r="N27" s="12" t="str">
        <f t="shared" si="2"/>
        <v/>
      </c>
      <c r="O27" s="12" t="str">
        <f t="shared" si="3"/>
        <v/>
      </c>
      <c r="P27" s="12" t="str">
        <f t="shared" si="4"/>
        <v/>
      </c>
      <c r="Q27" s="12" t="str">
        <f t="shared" si="8"/>
        <v/>
      </c>
      <c r="R27" s="26" t="str">
        <f t="shared" si="5"/>
        <v/>
      </c>
      <c r="S27" s="26" t="str">
        <f t="shared" si="16"/>
        <v/>
      </c>
      <c r="T27" s="26" t="str">
        <f t="shared" si="9"/>
        <v/>
      </c>
      <c r="U27" s="26" t="str">
        <f t="shared" si="10"/>
        <v/>
      </c>
      <c r="V27" s="26" t="str">
        <f t="shared" si="11"/>
        <v/>
      </c>
      <c r="W27" s="20" t="str">
        <f t="shared" si="12"/>
        <v/>
      </c>
      <c r="X27" s="20" t="str">
        <f t="shared" si="13"/>
        <v/>
      </c>
      <c r="Y27" s="86" t="str">
        <f t="shared" si="22"/>
        <v/>
      </c>
      <c r="Z27" s="31"/>
      <c r="AL27" s="4">
        <v>14</v>
      </c>
      <c r="AM27" s="27">
        <v>116</v>
      </c>
      <c r="AN27" s="19">
        <f t="shared" si="23"/>
        <v>4.6399999999999997</v>
      </c>
    </row>
    <row r="28" spans="2:44" outlineLevel="1">
      <c r="B28" s="14">
        <f t="shared" si="15"/>
        <v>25</v>
      </c>
      <c r="C28" s="37"/>
      <c r="D28" s="40"/>
      <c r="E28" s="39"/>
      <c r="F28" s="37"/>
      <c r="G28" s="39"/>
      <c r="H28" s="37"/>
      <c r="I28" s="37"/>
      <c r="J28" s="41" t="str">
        <f t="shared" si="0"/>
        <v/>
      </c>
      <c r="K28" s="12" t="str">
        <f t="shared" si="6"/>
        <v/>
      </c>
      <c r="L28" s="12" t="str">
        <f t="shared" si="7"/>
        <v/>
      </c>
      <c r="M28" s="12" t="str">
        <f t="shared" si="1"/>
        <v/>
      </c>
      <c r="N28" s="12" t="str">
        <f t="shared" si="2"/>
        <v/>
      </c>
      <c r="O28" s="12" t="str">
        <f t="shared" si="3"/>
        <v/>
      </c>
      <c r="P28" s="12" t="str">
        <f t="shared" si="4"/>
        <v/>
      </c>
      <c r="Q28" s="12" t="str">
        <f t="shared" si="8"/>
        <v/>
      </c>
      <c r="R28" s="26" t="str">
        <f t="shared" si="5"/>
        <v/>
      </c>
      <c r="S28" s="26" t="str">
        <f t="shared" si="16"/>
        <v/>
      </c>
      <c r="T28" s="26" t="str">
        <f t="shared" si="9"/>
        <v/>
      </c>
      <c r="U28" s="26" t="str">
        <f t="shared" si="10"/>
        <v/>
      </c>
      <c r="V28" s="26" t="str">
        <f t="shared" si="11"/>
        <v/>
      </c>
      <c r="W28" s="20" t="str">
        <f t="shared" si="12"/>
        <v/>
      </c>
      <c r="X28" s="20" t="str">
        <f t="shared" si="13"/>
        <v/>
      </c>
      <c r="Y28" s="86" t="str">
        <f t="shared" si="22"/>
        <v/>
      </c>
      <c r="Z28" s="31"/>
      <c r="AL28" s="4">
        <v>16</v>
      </c>
      <c r="AM28" s="27">
        <v>138</v>
      </c>
      <c r="AN28" s="19">
        <f t="shared" si="23"/>
        <v>5.52</v>
      </c>
    </row>
    <row r="29" spans="2:44" outlineLevel="1">
      <c r="B29" s="14">
        <f t="shared" si="15"/>
        <v>26</v>
      </c>
      <c r="C29" s="37"/>
      <c r="D29" s="40"/>
      <c r="E29" s="39"/>
      <c r="F29" s="37"/>
      <c r="G29" s="39"/>
      <c r="H29" s="37"/>
      <c r="I29" s="37"/>
      <c r="J29" s="41" t="str">
        <f t="shared" si="0"/>
        <v/>
      </c>
      <c r="K29" s="12" t="str">
        <f t="shared" si="6"/>
        <v/>
      </c>
      <c r="L29" s="12" t="str">
        <f t="shared" si="7"/>
        <v/>
      </c>
      <c r="M29" s="12" t="str">
        <f t="shared" si="1"/>
        <v/>
      </c>
      <c r="N29" s="12" t="str">
        <f t="shared" si="2"/>
        <v/>
      </c>
      <c r="O29" s="12" t="str">
        <f t="shared" si="3"/>
        <v/>
      </c>
      <c r="P29" s="12" t="str">
        <f t="shared" si="4"/>
        <v/>
      </c>
      <c r="Q29" s="12" t="str">
        <f t="shared" si="8"/>
        <v/>
      </c>
      <c r="R29" s="26" t="str">
        <f t="shared" si="5"/>
        <v/>
      </c>
      <c r="S29" s="26" t="str">
        <f t="shared" si="16"/>
        <v/>
      </c>
      <c r="T29" s="26" t="str">
        <f t="shared" si="9"/>
        <v/>
      </c>
      <c r="U29" s="26" t="str">
        <f t="shared" si="10"/>
        <v/>
      </c>
      <c r="V29" s="26" t="str">
        <f t="shared" si="11"/>
        <v/>
      </c>
      <c r="W29" s="20" t="str">
        <f t="shared" si="12"/>
        <v/>
      </c>
      <c r="X29" s="20" t="str">
        <f t="shared" si="13"/>
        <v/>
      </c>
      <c r="Y29" s="86" t="str">
        <f t="shared" si="22"/>
        <v/>
      </c>
      <c r="Z29" s="31"/>
      <c r="AL29" s="4">
        <v>18</v>
      </c>
      <c r="AM29" s="27">
        <v>165</v>
      </c>
      <c r="AN29" s="19">
        <f t="shared" si="23"/>
        <v>6.6</v>
      </c>
    </row>
    <row r="30" spans="2:44" outlineLevel="1">
      <c r="B30" s="14">
        <f t="shared" si="15"/>
        <v>27</v>
      </c>
      <c r="C30" s="37"/>
      <c r="D30" s="40"/>
      <c r="E30" s="39"/>
      <c r="F30" s="37"/>
      <c r="G30" s="39"/>
      <c r="H30" s="37"/>
      <c r="I30" s="37"/>
      <c r="J30" s="41" t="str">
        <f t="shared" si="0"/>
        <v/>
      </c>
      <c r="K30" s="12" t="str">
        <f t="shared" si="6"/>
        <v/>
      </c>
      <c r="L30" s="12" t="str">
        <f t="shared" si="7"/>
        <v/>
      </c>
      <c r="M30" s="12" t="str">
        <f t="shared" si="1"/>
        <v/>
      </c>
      <c r="N30" s="12" t="str">
        <f t="shared" si="2"/>
        <v/>
      </c>
      <c r="O30" s="12" t="str">
        <f t="shared" si="3"/>
        <v/>
      </c>
      <c r="P30" s="12" t="str">
        <f t="shared" si="4"/>
        <v/>
      </c>
      <c r="Q30" s="12" t="str">
        <f t="shared" si="8"/>
        <v/>
      </c>
      <c r="R30" s="26" t="str">
        <f t="shared" si="5"/>
        <v/>
      </c>
      <c r="S30" s="26" t="str">
        <f t="shared" si="16"/>
        <v/>
      </c>
      <c r="T30" s="26" t="str">
        <f t="shared" si="9"/>
        <v/>
      </c>
      <c r="U30" s="26" t="str">
        <f t="shared" si="10"/>
        <v/>
      </c>
      <c r="V30" s="26" t="str">
        <f t="shared" si="11"/>
        <v/>
      </c>
      <c r="W30" s="20" t="str">
        <f t="shared" si="12"/>
        <v/>
      </c>
      <c r="X30" s="20" t="str">
        <f t="shared" si="13"/>
        <v/>
      </c>
      <c r="Y30" s="86" t="str">
        <f t="shared" si="22"/>
        <v/>
      </c>
      <c r="Z30" s="31"/>
      <c r="AL30" s="723">
        <v>20</v>
      </c>
      <c r="AM30" s="211">
        <v>216</v>
      </c>
      <c r="AN30" s="719">
        <f t="shared" si="23"/>
        <v>8.64</v>
      </c>
    </row>
    <row r="31" spans="2:44" outlineLevel="1">
      <c r="B31" s="14">
        <f t="shared" si="15"/>
        <v>28</v>
      </c>
      <c r="C31" s="37"/>
      <c r="D31" s="40"/>
      <c r="E31" s="39"/>
      <c r="F31" s="37"/>
      <c r="G31" s="39"/>
      <c r="H31" s="37"/>
      <c r="I31" s="37"/>
      <c r="J31" s="41" t="str">
        <f t="shared" si="0"/>
        <v/>
      </c>
      <c r="K31" s="12" t="str">
        <f t="shared" si="6"/>
        <v/>
      </c>
      <c r="L31" s="12" t="str">
        <f t="shared" si="7"/>
        <v/>
      </c>
      <c r="M31" s="12" t="str">
        <f t="shared" si="1"/>
        <v/>
      </c>
      <c r="N31" s="12" t="str">
        <f t="shared" si="2"/>
        <v/>
      </c>
      <c r="O31" s="12" t="str">
        <f t="shared" si="3"/>
        <v/>
      </c>
      <c r="P31" s="12" t="str">
        <f t="shared" si="4"/>
        <v/>
      </c>
      <c r="Q31" s="12" t="str">
        <f t="shared" si="8"/>
        <v/>
      </c>
      <c r="R31" s="26" t="str">
        <f t="shared" si="5"/>
        <v/>
      </c>
      <c r="S31" s="26" t="str">
        <f t="shared" si="16"/>
        <v/>
      </c>
      <c r="T31" s="26" t="str">
        <f t="shared" si="9"/>
        <v/>
      </c>
      <c r="U31" s="26" t="str">
        <f t="shared" si="10"/>
        <v/>
      </c>
      <c r="V31" s="26" t="str">
        <f t="shared" si="11"/>
        <v/>
      </c>
      <c r="W31" s="20" t="str">
        <f t="shared" si="12"/>
        <v/>
      </c>
      <c r="X31" s="20" t="str">
        <f t="shared" si="13"/>
        <v/>
      </c>
      <c r="Y31" s="86" t="str">
        <f t="shared" si="22"/>
        <v/>
      </c>
      <c r="Z31" s="31"/>
      <c r="AL31" s="1"/>
      <c r="AM31" s="27"/>
    </row>
    <row r="32" spans="2:44" outlineLevel="1">
      <c r="B32" s="14">
        <f t="shared" si="15"/>
        <v>29</v>
      </c>
      <c r="C32" s="37"/>
      <c r="D32" s="40"/>
      <c r="E32" s="39"/>
      <c r="F32" s="37"/>
      <c r="G32" s="39"/>
      <c r="H32" s="37"/>
      <c r="I32" s="37"/>
      <c r="J32" s="41" t="str">
        <f t="shared" si="0"/>
        <v/>
      </c>
      <c r="K32" s="12" t="str">
        <f t="shared" si="6"/>
        <v/>
      </c>
      <c r="L32" s="12" t="str">
        <f t="shared" si="7"/>
        <v/>
      </c>
      <c r="M32" s="12" t="str">
        <f t="shared" si="1"/>
        <v/>
      </c>
      <c r="N32" s="12" t="str">
        <f t="shared" si="2"/>
        <v/>
      </c>
      <c r="O32" s="12" t="str">
        <f t="shared" si="3"/>
        <v/>
      </c>
      <c r="P32" s="12" t="str">
        <f t="shared" si="4"/>
        <v/>
      </c>
      <c r="Q32" s="12" t="str">
        <f t="shared" si="8"/>
        <v/>
      </c>
      <c r="R32" s="26" t="str">
        <f t="shared" si="5"/>
        <v/>
      </c>
      <c r="S32" s="26" t="str">
        <f t="shared" si="16"/>
        <v/>
      </c>
      <c r="T32" s="26" t="str">
        <f t="shared" si="9"/>
        <v/>
      </c>
      <c r="U32" s="26" t="str">
        <f t="shared" si="10"/>
        <v/>
      </c>
      <c r="V32" s="26" t="str">
        <f t="shared" si="11"/>
        <v/>
      </c>
      <c r="W32" s="20" t="str">
        <f t="shared" si="12"/>
        <v/>
      </c>
      <c r="X32" s="20" t="str">
        <f t="shared" si="13"/>
        <v/>
      </c>
      <c r="Y32" s="86" t="str">
        <f t="shared" si="22"/>
        <v/>
      </c>
      <c r="Z32" s="31"/>
    </row>
    <row r="33" spans="2:38" outlineLevel="1">
      <c r="B33" s="14">
        <f t="shared" si="15"/>
        <v>30</v>
      </c>
      <c r="C33" s="37"/>
      <c r="D33" s="40"/>
      <c r="E33" s="39"/>
      <c r="F33" s="37"/>
      <c r="G33" s="39"/>
      <c r="H33" s="37"/>
      <c r="I33" s="37"/>
      <c r="J33" s="41" t="str">
        <f t="shared" si="0"/>
        <v/>
      </c>
      <c r="K33" s="12" t="str">
        <f t="shared" si="6"/>
        <v/>
      </c>
      <c r="L33" s="12" t="str">
        <f t="shared" si="7"/>
        <v/>
      </c>
      <c r="M33" s="12" t="str">
        <f t="shared" si="1"/>
        <v/>
      </c>
      <c r="N33" s="12" t="str">
        <f t="shared" si="2"/>
        <v/>
      </c>
      <c r="O33" s="12" t="str">
        <f t="shared" si="3"/>
        <v/>
      </c>
      <c r="P33" s="12" t="str">
        <f t="shared" si="4"/>
        <v/>
      </c>
      <c r="Q33" s="12" t="str">
        <f t="shared" si="8"/>
        <v/>
      </c>
      <c r="R33" s="26" t="str">
        <f t="shared" si="5"/>
        <v/>
      </c>
      <c r="S33" s="26" t="str">
        <f t="shared" si="16"/>
        <v/>
      </c>
      <c r="T33" s="26" t="str">
        <f t="shared" si="9"/>
        <v/>
      </c>
      <c r="U33" s="26" t="str">
        <f t="shared" si="10"/>
        <v/>
      </c>
      <c r="V33" s="26" t="str">
        <f t="shared" si="11"/>
        <v/>
      </c>
      <c r="W33" s="20" t="str">
        <f t="shared" si="12"/>
        <v/>
      </c>
      <c r="X33" s="20" t="str">
        <f t="shared" si="13"/>
        <v/>
      </c>
      <c r="Y33" s="86" t="str">
        <f t="shared" si="22"/>
        <v/>
      </c>
      <c r="Z33" s="31"/>
      <c r="AL33" s="19"/>
    </row>
    <row r="34" spans="2:38" outlineLevel="1">
      <c r="B34" s="14">
        <f t="shared" si="15"/>
        <v>31</v>
      </c>
      <c r="C34" s="37"/>
      <c r="D34" s="40"/>
      <c r="E34" s="39"/>
      <c r="F34" s="37"/>
      <c r="G34" s="39"/>
      <c r="H34" s="37"/>
      <c r="I34" s="37"/>
      <c r="J34" s="41" t="str">
        <f t="shared" si="0"/>
        <v/>
      </c>
      <c r="K34" s="12" t="str">
        <f t="shared" si="6"/>
        <v/>
      </c>
      <c r="L34" s="12" t="str">
        <f t="shared" si="7"/>
        <v/>
      </c>
      <c r="M34" s="12" t="str">
        <f t="shared" si="1"/>
        <v/>
      </c>
      <c r="N34" s="12" t="str">
        <f t="shared" si="2"/>
        <v/>
      </c>
      <c r="O34" s="12" t="str">
        <f t="shared" si="3"/>
        <v/>
      </c>
      <c r="P34" s="12" t="str">
        <f t="shared" si="4"/>
        <v/>
      </c>
      <c r="Q34" s="12" t="str">
        <f t="shared" si="8"/>
        <v/>
      </c>
      <c r="R34" s="26" t="str">
        <f t="shared" si="5"/>
        <v/>
      </c>
      <c r="S34" s="26" t="str">
        <f t="shared" si="16"/>
        <v/>
      </c>
      <c r="T34" s="26" t="str">
        <f t="shared" si="9"/>
        <v/>
      </c>
      <c r="U34" s="26" t="str">
        <f t="shared" si="10"/>
        <v/>
      </c>
      <c r="V34" s="26" t="str">
        <f t="shared" si="11"/>
        <v/>
      </c>
      <c r="W34" s="20" t="str">
        <f t="shared" si="12"/>
        <v/>
      </c>
      <c r="X34" s="20" t="str">
        <f t="shared" si="13"/>
        <v/>
      </c>
      <c r="Y34" s="86" t="str">
        <f t="shared" si="22"/>
        <v/>
      </c>
      <c r="Z34" s="31"/>
    </row>
    <row r="35" spans="2:38" outlineLevel="1">
      <c r="B35" s="14">
        <f t="shared" si="15"/>
        <v>32</v>
      </c>
      <c r="C35" s="37"/>
      <c r="D35" s="40"/>
      <c r="E35" s="39"/>
      <c r="F35" s="37"/>
      <c r="G35" s="39"/>
      <c r="H35" s="37"/>
      <c r="I35" s="37"/>
      <c r="J35" s="41" t="str">
        <f t="shared" si="0"/>
        <v/>
      </c>
      <c r="K35" s="12" t="str">
        <f t="shared" si="6"/>
        <v/>
      </c>
      <c r="L35" s="12" t="str">
        <f t="shared" si="7"/>
        <v/>
      </c>
      <c r="M35" s="12" t="str">
        <f t="shared" si="1"/>
        <v/>
      </c>
      <c r="N35" s="12" t="str">
        <f t="shared" si="2"/>
        <v/>
      </c>
      <c r="O35" s="12" t="str">
        <f t="shared" si="3"/>
        <v/>
      </c>
      <c r="P35" s="12" t="str">
        <f t="shared" si="4"/>
        <v/>
      </c>
      <c r="Q35" s="12" t="str">
        <f t="shared" si="8"/>
        <v/>
      </c>
      <c r="R35" s="26" t="str">
        <f t="shared" si="5"/>
        <v/>
      </c>
      <c r="S35" s="26" t="str">
        <f t="shared" si="16"/>
        <v/>
      </c>
      <c r="T35" s="26" t="str">
        <f t="shared" si="9"/>
        <v/>
      </c>
      <c r="U35" s="26" t="str">
        <f t="shared" si="10"/>
        <v/>
      </c>
      <c r="V35" s="26" t="str">
        <f t="shared" si="11"/>
        <v/>
      </c>
      <c r="W35" s="20" t="str">
        <f t="shared" si="12"/>
        <v/>
      </c>
      <c r="X35" s="20" t="str">
        <f t="shared" si="13"/>
        <v/>
      </c>
      <c r="Y35" s="86" t="str">
        <f t="shared" si="22"/>
        <v/>
      </c>
      <c r="Z35" s="31"/>
    </row>
    <row r="36" spans="2:38" outlineLevel="1">
      <c r="B36" s="14">
        <f t="shared" si="15"/>
        <v>33</v>
      </c>
      <c r="C36" s="37"/>
      <c r="D36" s="40"/>
      <c r="E36" s="39"/>
      <c r="F36" s="37"/>
      <c r="G36" s="39"/>
      <c r="H36" s="37"/>
      <c r="I36" s="37"/>
      <c r="J36" s="41" t="str">
        <f t="shared" si="0"/>
        <v/>
      </c>
      <c r="K36" s="12" t="str">
        <f t="shared" si="6"/>
        <v/>
      </c>
      <c r="L36" s="12" t="str">
        <f t="shared" si="7"/>
        <v/>
      </c>
      <c r="M36" s="12" t="str">
        <f t="shared" si="1"/>
        <v/>
      </c>
      <c r="N36" s="12" t="str">
        <f t="shared" si="2"/>
        <v/>
      </c>
      <c r="O36" s="12" t="str">
        <f t="shared" si="3"/>
        <v/>
      </c>
      <c r="P36" s="12" t="str">
        <f t="shared" si="4"/>
        <v/>
      </c>
      <c r="Q36" s="12" t="str">
        <f t="shared" si="8"/>
        <v/>
      </c>
      <c r="R36" s="26" t="str">
        <f t="shared" si="5"/>
        <v/>
      </c>
      <c r="S36" s="26" t="str">
        <f t="shared" si="16"/>
        <v/>
      </c>
      <c r="T36" s="26" t="str">
        <f t="shared" si="9"/>
        <v/>
      </c>
      <c r="U36" s="26" t="str">
        <f t="shared" si="10"/>
        <v/>
      </c>
      <c r="V36" s="26" t="str">
        <f t="shared" si="11"/>
        <v/>
      </c>
      <c r="W36" s="20" t="str">
        <f t="shared" si="12"/>
        <v/>
      </c>
      <c r="X36" s="20" t="str">
        <f t="shared" si="13"/>
        <v/>
      </c>
      <c r="Y36" s="86" t="str">
        <f t="shared" si="22"/>
        <v/>
      </c>
      <c r="Z36" s="31"/>
    </row>
    <row r="37" spans="2:38" outlineLevel="1">
      <c r="B37" s="14">
        <f t="shared" si="15"/>
        <v>34</v>
      </c>
      <c r="C37" s="37"/>
      <c r="D37" s="40"/>
      <c r="E37" s="39"/>
      <c r="F37" s="37"/>
      <c r="G37" s="39"/>
      <c r="H37" s="37"/>
      <c r="I37" s="37"/>
      <c r="J37" s="41" t="str">
        <f t="shared" si="0"/>
        <v/>
      </c>
      <c r="K37" s="12" t="str">
        <f t="shared" si="6"/>
        <v/>
      </c>
      <c r="L37" s="12" t="str">
        <f t="shared" si="7"/>
        <v/>
      </c>
      <c r="M37" s="12" t="str">
        <f t="shared" si="1"/>
        <v/>
      </c>
      <c r="N37" s="12" t="str">
        <f t="shared" si="2"/>
        <v/>
      </c>
      <c r="O37" s="12" t="str">
        <f t="shared" si="3"/>
        <v/>
      </c>
      <c r="P37" s="12" t="str">
        <f t="shared" si="4"/>
        <v/>
      </c>
      <c r="Q37" s="12" t="str">
        <f t="shared" si="8"/>
        <v/>
      </c>
      <c r="R37" s="26" t="str">
        <f t="shared" si="5"/>
        <v/>
      </c>
      <c r="S37" s="26" t="str">
        <f t="shared" si="16"/>
        <v/>
      </c>
      <c r="T37" s="26" t="str">
        <f t="shared" si="9"/>
        <v/>
      </c>
      <c r="U37" s="26" t="str">
        <f t="shared" si="10"/>
        <v/>
      </c>
      <c r="V37" s="26" t="str">
        <f t="shared" si="11"/>
        <v/>
      </c>
      <c r="W37" s="20" t="str">
        <f t="shared" si="12"/>
        <v/>
      </c>
      <c r="X37" s="20" t="str">
        <f t="shared" si="13"/>
        <v/>
      </c>
      <c r="Y37" s="86" t="str">
        <f t="shared" si="22"/>
        <v/>
      </c>
      <c r="Z37" s="31"/>
    </row>
    <row r="38" spans="2:38" outlineLevel="1">
      <c r="B38" s="14">
        <f t="shared" si="15"/>
        <v>35</v>
      </c>
      <c r="C38" s="37"/>
      <c r="D38" s="40"/>
      <c r="E38" s="39"/>
      <c r="F38" s="37"/>
      <c r="G38" s="39"/>
      <c r="H38" s="37"/>
      <c r="I38" s="37"/>
      <c r="J38" s="41" t="str">
        <f t="shared" si="0"/>
        <v/>
      </c>
      <c r="K38" s="12" t="str">
        <f t="shared" si="6"/>
        <v/>
      </c>
      <c r="L38" s="12" t="str">
        <f t="shared" si="7"/>
        <v/>
      </c>
      <c r="M38" s="12" t="str">
        <f t="shared" si="1"/>
        <v/>
      </c>
      <c r="N38" s="12" t="str">
        <f t="shared" si="2"/>
        <v/>
      </c>
      <c r="O38" s="12" t="str">
        <f t="shared" si="3"/>
        <v/>
      </c>
      <c r="P38" s="12" t="str">
        <f t="shared" si="4"/>
        <v/>
      </c>
      <c r="Q38" s="12" t="str">
        <f t="shared" si="8"/>
        <v/>
      </c>
      <c r="R38" s="26" t="str">
        <f t="shared" si="5"/>
        <v/>
      </c>
      <c r="S38" s="26" t="str">
        <f t="shared" si="16"/>
        <v/>
      </c>
      <c r="T38" s="26" t="str">
        <f t="shared" si="9"/>
        <v/>
      </c>
      <c r="U38" s="26" t="str">
        <f t="shared" si="10"/>
        <v/>
      </c>
      <c r="V38" s="26" t="str">
        <f t="shared" si="11"/>
        <v/>
      </c>
      <c r="W38" s="20" t="str">
        <f t="shared" si="12"/>
        <v/>
      </c>
      <c r="X38" s="20" t="str">
        <f t="shared" si="13"/>
        <v/>
      </c>
      <c r="Y38" s="86" t="str">
        <f t="shared" si="22"/>
        <v/>
      </c>
      <c r="Z38" s="31"/>
      <c r="AL38" s="19"/>
    </row>
    <row r="39" spans="2:38" outlineLevel="1">
      <c r="B39" s="14">
        <f t="shared" si="15"/>
        <v>36</v>
      </c>
      <c r="C39" s="37"/>
      <c r="D39" s="40"/>
      <c r="E39" s="39"/>
      <c r="F39" s="37"/>
      <c r="G39" s="39"/>
      <c r="H39" s="37"/>
      <c r="I39" s="37"/>
      <c r="J39" s="41" t="str">
        <f t="shared" si="0"/>
        <v/>
      </c>
      <c r="K39" s="12" t="str">
        <f t="shared" si="6"/>
        <v/>
      </c>
      <c r="L39" s="12" t="str">
        <f t="shared" si="7"/>
        <v/>
      </c>
      <c r="M39" s="12" t="str">
        <f t="shared" si="1"/>
        <v/>
      </c>
      <c r="N39" s="12" t="str">
        <f t="shared" si="2"/>
        <v/>
      </c>
      <c r="O39" s="12" t="str">
        <f t="shared" si="3"/>
        <v/>
      </c>
      <c r="P39" s="12" t="str">
        <f t="shared" si="4"/>
        <v/>
      </c>
      <c r="Q39" s="12" t="str">
        <f t="shared" si="8"/>
        <v/>
      </c>
      <c r="R39" s="26" t="str">
        <f t="shared" si="5"/>
        <v/>
      </c>
      <c r="S39" s="26" t="str">
        <f t="shared" si="16"/>
        <v/>
      </c>
      <c r="T39" s="26" t="str">
        <f t="shared" si="9"/>
        <v/>
      </c>
      <c r="U39" s="26" t="str">
        <f t="shared" si="10"/>
        <v/>
      </c>
      <c r="V39" s="26" t="str">
        <f t="shared" si="11"/>
        <v/>
      </c>
      <c r="W39" s="20" t="str">
        <f t="shared" si="12"/>
        <v/>
      </c>
      <c r="X39" s="20" t="str">
        <f t="shared" si="13"/>
        <v/>
      </c>
      <c r="Y39" s="86" t="str">
        <f t="shared" si="22"/>
        <v/>
      </c>
      <c r="Z39" s="31"/>
    </row>
    <row r="40" spans="2:38" outlineLevel="1">
      <c r="B40" s="14">
        <f t="shared" si="15"/>
        <v>37</v>
      </c>
      <c r="C40" s="37"/>
      <c r="D40" s="40"/>
      <c r="E40" s="39"/>
      <c r="F40" s="37"/>
      <c r="G40" s="39"/>
      <c r="H40" s="37"/>
      <c r="I40" s="37"/>
      <c r="J40" s="41" t="str">
        <f t="shared" si="0"/>
        <v/>
      </c>
      <c r="K40" s="12" t="str">
        <f t="shared" si="6"/>
        <v/>
      </c>
      <c r="L40" s="12" t="str">
        <f t="shared" si="7"/>
        <v/>
      </c>
      <c r="M40" s="12" t="str">
        <f t="shared" si="1"/>
        <v/>
      </c>
      <c r="N40" s="12" t="str">
        <f t="shared" si="2"/>
        <v/>
      </c>
      <c r="O40" s="12" t="str">
        <f t="shared" si="3"/>
        <v/>
      </c>
      <c r="P40" s="12" t="str">
        <f t="shared" si="4"/>
        <v/>
      </c>
      <c r="Q40" s="12" t="str">
        <f t="shared" si="8"/>
        <v/>
      </c>
      <c r="R40" s="26" t="str">
        <f t="shared" si="5"/>
        <v/>
      </c>
      <c r="S40" s="26" t="str">
        <f t="shared" si="16"/>
        <v/>
      </c>
      <c r="T40" s="26" t="str">
        <f t="shared" si="9"/>
        <v/>
      </c>
      <c r="U40" s="26" t="str">
        <f t="shared" si="10"/>
        <v/>
      </c>
      <c r="V40" s="26" t="str">
        <f t="shared" si="11"/>
        <v/>
      </c>
      <c r="W40" s="20" t="str">
        <f t="shared" si="12"/>
        <v/>
      </c>
      <c r="X40" s="20" t="str">
        <f t="shared" si="13"/>
        <v/>
      </c>
      <c r="Y40" s="86" t="str">
        <f t="shared" si="22"/>
        <v/>
      </c>
      <c r="Z40" s="31"/>
    </row>
    <row r="41" spans="2:38" outlineLevel="1">
      <c r="B41" s="14">
        <f t="shared" si="15"/>
        <v>38</v>
      </c>
      <c r="C41" s="37"/>
      <c r="D41" s="40"/>
      <c r="E41" s="39"/>
      <c r="F41" s="37"/>
      <c r="G41" s="39"/>
      <c r="H41" s="37"/>
      <c r="I41" s="37"/>
      <c r="J41" s="41" t="str">
        <f t="shared" si="0"/>
        <v/>
      </c>
      <c r="K41" s="12" t="str">
        <f t="shared" si="6"/>
        <v/>
      </c>
      <c r="L41" s="12" t="str">
        <f t="shared" si="7"/>
        <v/>
      </c>
      <c r="M41" s="12" t="str">
        <f t="shared" si="1"/>
        <v/>
      </c>
      <c r="N41" s="12" t="str">
        <f t="shared" si="2"/>
        <v/>
      </c>
      <c r="O41" s="12" t="str">
        <f t="shared" si="3"/>
        <v/>
      </c>
      <c r="P41" s="12" t="str">
        <f t="shared" si="4"/>
        <v/>
      </c>
      <c r="Q41" s="12" t="str">
        <f t="shared" si="8"/>
        <v/>
      </c>
      <c r="R41" s="26" t="str">
        <f t="shared" si="5"/>
        <v/>
      </c>
      <c r="S41" s="26" t="str">
        <f t="shared" si="16"/>
        <v/>
      </c>
      <c r="T41" s="26" t="str">
        <f t="shared" si="9"/>
        <v/>
      </c>
      <c r="U41" s="26" t="str">
        <f t="shared" si="10"/>
        <v/>
      </c>
      <c r="V41" s="26" t="str">
        <f t="shared" si="11"/>
        <v/>
      </c>
      <c r="W41" s="20" t="str">
        <f t="shared" si="12"/>
        <v/>
      </c>
      <c r="X41" s="20" t="str">
        <f t="shared" si="13"/>
        <v/>
      </c>
      <c r="Y41" s="86" t="str">
        <f t="shared" si="22"/>
        <v/>
      </c>
      <c r="Z41" s="31"/>
    </row>
    <row r="42" spans="2:38" outlineLevel="1">
      <c r="B42" s="14">
        <f t="shared" si="15"/>
        <v>39</v>
      </c>
      <c r="C42" s="37"/>
      <c r="D42" s="40"/>
      <c r="E42" s="39"/>
      <c r="F42" s="37"/>
      <c r="G42" s="39"/>
      <c r="H42" s="37"/>
      <c r="I42" s="37"/>
      <c r="J42" s="41" t="str">
        <f t="shared" si="0"/>
        <v/>
      </c>
      <c r="K42" s="12" t="str">
        <f t="shared" si="6"/>
        <v/>
      </c>
      <c r="L42" s="12" t="str">
        <f t="shared" si="7"/>
        <v/>
      </c>
      <c r="M42" s="12" t="str">
        <f t="shared" si="1"/>
        <v/>
      </c>
      <c r="N42" s="12" t="str">
        <f t="shared" si="2"/>
        <v/>
      </c>
      <c r="O42" s="12" t="str">
        <f t="shared" si="3"/>
        <v/>
      </c>
      <c r="P42" s="12" t="str">
        <f t="shared" si="4"/>
        <v/>
      </c>
      <c r="Q42" s="12" t="str">
        <f t="shared" si="8"/>
        <v/>
      </c>
      <c r="R42" s="26" t="str">
        <f t="shared" si="5"/>
        <v/>
      </c>
      <c r="S42" s="26" t="str">
        <f t="shared" si="16"/>
        <v/>
      </c>
      <c r="T42" s="26" t="str">
        <f t="shared" si="9"/>
        <v/>
      </c>
      <c r="U42" s="26" t="str">
        <f t="shared" si="10"/>
        <v/>
      </c>
      <c r="V42" s="26" t="str">
        <f t="shared" si="11"/>
        <v/>
      </c>
      <c r="W42" s="20" t="str">
        <f t="shared" si="12"/>
        <v/>
      </c>
      <c r="X42" s="20" t="str">
        <f t="shared" si="13"/>
        <v/>
      </c>
      <c r="Y42" s="86" t="str">
        <f t="shared" si="22"/>
        <v/>
      </c>
      <c r="Z42" s="31"/>
    </row>
    <row r="43" spans="2:38" outlineLevel="1">
      <c r="B43" s="14">
        <f t="shared" si="15"/>
        <v>40</v>
      </c>
      <c r="C43" s="37"/>
      <c r="D43" s="40"/>
      <c r="E43" s="39"/>
      <c r="F43" s="37"/>
      <c r="G43" s="39"/>
      <c r="H43" s="37"/>
      <c r="I43" s="37"/>
      <c r="J43" s="41" t="str">
        <f t="shared" si="0"/>
        <v/>
      </c>
      <c r="K43" s="12" t="str">
        <f t="shared" si="6"/>
        <v/>
      </c>
      <c r="L43" s="12" t="str">
        <f t="shared" si="7"/>
        <v/>
      </c>
      <c r="M43" s="12" t="str">
        <f t="shared" si="1"/>
        <v/>
      </c>
      <c r="N43" s="12" t="str">
        <f t="shared" si="2"/>
        <v/>
      </c>
      <c r="O43" s="12" t="str">
        <f t="shared" si="3"/>
        <v/>
      </c>
      <c r="P43" s="12" t="str">
        <f t="shared" si="4"/>
        <v/>
      </c>
      <c r="Q43" s="12" t="str">
        <f t="shared" si="8"/>
        <v/>
      </c>
      <c r="R43" s="26" t="str">
        <f t="shared" si="5"/>
        <v/>
      </c>
      <c r="S43" s="26" t="str">
        <f t="shared" si="16"/>
        <v/>
      </c>
      <c r="T43" s="26" t="str">
        <f t="shared" si="9"/>
        <v/>
      </c>
      <c r="U43" s="26" t="str">
        <f t="shared" si="10"/>
        <v/>
      </c>
      <c r="V43" s="26" t="str">
        <f t="shared" si="11"/>
        <v/>
      </c>
      <c r="W43" s="20" t="str">
        <f t="shared" si="12"/>
        <v/>
      </c>
      <c r="X43" s="20" t="str">
        <f t="shared" si="13"/>
        <v/>
      </c>
      <c r="Y43" s="86" t="str">
        <f t="shared" si="22"/>
        <v/>
      </c>
      <c r="Z43" s="31"/>
    </row>
    <row r="44" spans="2:38" outlineLevel="1">
      <c r="B44" s="14">
        <f t="shared" si="15"/>
        <v>41</v>
      </c>
      <c r="C44" s="37"/>
      <c r="D44" s="40"/>
      <c r="E44" s="39"/>
      <c r="F44" s="37"/>
      <c r="G44" s="39"/>
      <c r="H44" s="37"/>
      <c r="I44" s="37"/>
      <c r="J44" s="41" t="str">
        <f t="shared" si="0"/>
        <v/>
      </c>
      <c r="K44" s="12" t="str">
        <f t="shared" si="6"/>
        <v/>
      </c>
      <c r="L44" s="12" t="str">
        <f t="shared" si="7"/>
        <v/>
      </c>
      <c r="M44" s="12" t="str">
        <f t="shared" si="1"/>
        <v/>
      </c>
      <c r="N44" s="12" t="str">
        <f t="shared" si="2"/>
        <v/>
      </c>
      <c r="O44" s="12" t="str">
        <f t="shared" si="3"/>
        <v/>
      </c>
      <c r="P44" s="12" t="str">
        <f t="shared" si="4"/>
        <v/>
      </c>
      <c r="Q44" s="12" t="str">
        <f t="shared" si="8"/>
        <v/>
      </c>
      <c r="R44" s="26" t="str">
        <f t="shared" si="5"/>
        <v/>
      </c>
      <c r="S44" s="26" t="str">
        <f t="shared" si="16"/>
        <v/>
      </c>
      <c r="T44" s="26" t="str">
        <f t="shared" si="9"/>
        <v/>
      </c>
      <c r="U44" s="26" t="str">
        <f t="shared" si="10"/>
        <v/>
      </c>
      <c r="V44" s="26" t="str">
        <f t="shared" si="11"/>
        <v/>
      </c>
      <c r="W44" s="20" t="str">
        <f t="shared" si="12"/>
        <v/>
      </c>
      <c r="X44" s="20" t="str">
        <f t="shared" si="13"/>
        <v/>
      </c>
      <c r="Y44" s="86" t="str">
        <f t="shared" si="22"/>
        <v/>
      </c>
      <c r="Z44" s="31"/>
    </row>
    <row r="45" spans="2:38" outlineLevel="1">
      <c r="B45" s="14">
        <f t="shared" si="15"/>
        <v>42</v>
      </c>
      <c r="C45" s="37"/>
      <c r="D45" s="40"/>
      <c r="E45" s="39"/>
      <c r="F45" s="37"/>
      <c r="G45" s="39"/>
      <c r="H45" s="37"/>
      <c r="I45" s="37"/>
      <c r="J45" s="41" t="str">
        <f t="shared" si="0"/>
        <v/>
      </c>
      <c r="K45" s="12" t="str">
        <f t="shared" si="6"/>
        <v/>
      </c>
      <c r="L45" s="12" t="str">
        <f t="shared" si="7"/>
        <v/>
      </c>
      <c r="M45" s="12" t="str">
        <f t="shared" si="1"/>
        <v/>
      </c>
      <c r="N45" s="12" t="str">
        <f t="shared" si="2"/>
        <v/>
      </c>
      <c r="O45" s="12" t="str">
        <f t="shared" si="3"/>
        <v/>
      </c>
      <c r="P45" s="12" t="str">
        <f t="shared" si="4"/>
        <v/>
      </c>
      <c r="Q45" s="12" t="str">
        <f t="shared" si="8"/>
        <v/>
      </c>
      <c r="R45" s="26" t="str">
        <f t="shared" si="5"/>
        <v/>
      </c>
      <c r="S45" s="26" t="str">
        <f t="shared" si="16"/>
        <v/>
      </c>
      <c r="T45" s="26" t="str">
        <f t="shared" si="9"/>
        <v/>
      </c>
      <c r="U45" s="26" t="str">
        <f t="shared" si="10"/>
        <v/>
      </c>
      <c r="V45" s="26" t="str">
        <f t="shared" si="11"/>
        <v/>
      </c>
      <c r="W45" s="20" t="str">
        <f t="shared" si="12"/>
        <v/>
      </c>
      <c r="X45" s="20" t="str">
        <f t="shared" si="13"/>
        <v/>
      </c>
      <c r="Y45" s="86" t="str">
        <f t="shared" si="22"/>
        <v/>
      </c>
      <c r="Z45" s="31"/>
    </row>
    <row r="46" spans="2:38" outlineLevel="1">
      <c r="B46" s="14">
        <f t="shared" si="15"/>
        <v>43</v>
      </c>
      <c r="C46" s="37"/>
      <c r="D46" s="40"/>
      <c r="E46" s="39"/>
      <c r="F46" s="37"/>
      <c r="G46" s="39"/>
      <c r="H46" s="37"/>
      <c r="I46" s="37"/>
      <c r="J46" s="41" t="str">
        <f t="shared" si="0"/>
        <v/>
      </c>
      <c r="K46" s="12" t="str">
        <f t="shared" si="6"/>
        <v/>
      </c>
      <c r="L46" s="12" t="str">
        <f t="shared" si="7"/>
        <v/>
      </c>
      <c r="M46" s="12" t="str">
        <f t="shared" si="1"/>
        <v/>
      </c>
      <c r="N46" s="12" t="str">
        <f t="shared" si="2"/>
        <v/>
      </c>
      <c r="O46" s="12" t="str">
        <f t="shared" si="3"/>
        <v/>
      </c>
      <c r="P46" s="12" t="str">
        <f t="shared" si="4"/>
        <v/>
      </c>
      <c r="Q46" s="12" t="str">
        <f t="shared" si="8"/>
        <v/>
      </c>
      <c r="R46" s="26" t="str">
        <f t="shared" si="5"/>
        <v/>
      </c>
      <c r="S46" s="26" t="str">
        <f t="shared" si="16"/>
        <v/>
      </c>
      <c r="T46" s="26" t="str">
        <f t="shared" si="9"/>
        <v/>
      </c>
      <c r="U46" s="26" t="str">
        <f t="shared" si="10"/>
        <v/>
      </c>
      <c r="V46" s="26" t="str">
        <f t="shared" si="11"/>
        <v/>
      </c>
      <c r="W46" s="20" t="str">
        <f t="shared" si="12"/>
        <v/>
      </c>
      <c r="X46" s="20" t="str">
        <f t="shared" si="13"/>
        <v/>
      </c>
      <c r="Y46" s="86" t="str">
        <f t="shared" si="22"/>
        <v/>
      </c>
      <c r="Z46" s="31"/>
    </row>
    <row r="47" spans="2:38" outlineLevel="1">
      <c r="B47" s="14">
        <f t="shared" si="15"/>
        <v>44</v>
      </c>
      <c r="C47" s="37"/>
      <c r="D47" s="40"/>
      <c r="E47" s="39"/>
      <c r="F47" s="37"/>
      <c r="G47" s="39"/>
      <c r="H47" s="37"/>
      <c r="I47" s="37"/>
      <c r="J47" s="41" t="str">
        <f t="shared" si="0"/>
        <v/>
      </c>
      <c r="K47" s="12" t="str">
        <f t="shared" si="6"/>
        <v/>
      </c>
      <c r="L47" s="12" t="str">
        <f t="shared" si="7"/>
        <v/>
      </c>
      <c r="M47" s="12" t="str">
        <f t="shared" si="1"/>
        <v/>
      </c>
      <c r="N47" s="12" t="str">
        <f t="shared" si="2"/>
        <v/>
      </c>
      <c r="O47" s="12" t="str">
        <f t="shared" si="3"/>
        <v/>
      </c>
      <c r="P47" s="12" t="str">
        <f t="shared" si="4"/>
        <v/>
      </c>
      <c r="Q47" s="12" t="str">
        <f t="shared" si="8"/>
        <v/>
      </c>
      <c r="R47" s="26" t="str">
        <f t="shared" si="5"/>
        <v/>
      </c>
      <c r="S47" s="26" t="str">
        <f t="shared" si="16"/>
        <v/>
      </c>
      <c r="T47" s="26" t="str">
        <f t="shared" si="9"/>
        <v/>
      </c>
      <c r="U47" s="26" t="str">
        <f t="shared" si="10"/>
        <v/>
      </c>
      <c r="V47" s="26" t="str">
        <f t="shared" si="11"/>
        <v/>
      </c>
      <c r="W47" s="20" t="str">
        <f t="shared" si="12"/>
        <v/>
      </c>
      <c r="X47" s="20" t="str">
        <f t="shared" si="13"/>
        <v/>
      </c>
      <c r="Y47" s="86" t="str">
        <f t="shared" si="22"/>
        <v/>
      </c>
      <c r="Z47" s="31"/>
    </row>
    <row r="48" spans="2:38" outlineLevel="1">
      <c r="B48" s="14">
        <f t="shared" si="15"/>
        <v>45</v>
      </c>
      <c r="C48" s="37"/>
      <c r="D48" s="40"/>
      <c r="E48" s="39"/>
      <c r="F48" s="37"/>
      <c r="G48" s="39"/>
      <c r="H48" s="37"/>
      <c r="I48" s="37"/>
      <c r="J48" s="41" t="str">
        <f t="shared" si="0"/>
        <v/>
      </c>
      <c r="K48" s="12" t="str">
        <f t="shared" si="6"/>
        <v/>
      </c>
      <c r="L48" s="12" t="str">
        <f t="shared" si="7"/>
        <v/>
      </c>
      <c r="M48" s="12" t="str">
        <f t="shared" si="1"/>
        <v/>
      </c>
      <c r="N48" s="12" t="str">
        <f t="shared" si="2"/>
        <v/>
      </c>
      <c r="O48" s="12" t="str">
        <f t="shared" si="3"/>
        <v/>
      </c>
      <c r="P48" s="12" t="str">
        <f t="shared" si="4"/>
        <v/>
      </c>
      <c r="Q48" s="12" t="str">
        <f t="shared" si="8"/>
        <v/>
      </c>
      <c r="R48" s="26" t="str">
        <f t="shared" si="5"/>
        <v/>
      </c>
      <c r="S48" s="26" t="str">
        <f t="shared" si="16"/>
        <v/>
      </c>
      <c r="T48" s="26" t="str">
        <f t="shared" si="9"/>
        <v/>
      </c>
      <c r="U48" s="26" t="str">
        <f t="shared" si="10"/>
        <v/>
      </c>
      <c r="V48" s="26" t="str">
        <f t="shared" si="11"/>
        <v/>
      </c>
      <c r="W48" s="20" t="str">
        <f t="shared" si="12"/>
        <v/>
      </c>
      <c r="X48" s="20" t="str">
        <f t="shared" si="13"/>
        <v/>
      </c>
      <c r="Y48" s="86" t="str">
        <f t="shared" si="22"/>
        <v/>
      </c>
      <c r="Z48" s="31"/>
    </row>
    <row r="49" spans="2:26" outlineLevel="1">
      <c r="B49" s="14">
        <f t="shared" si="15"/>
        <v>46</v>
      </c>
      <c r="C49" s="37"/>
      <c r="D49" s="40"/>
      <c r="E49" s="39"/>
      <c r="F49" s="37"/>
      <c r="G49" s="39"/>
      <c r="H49" s="37"/>
      <c r="I49" s="37"/>
      <c r="J49" s="41" t="str">
        <f t="shared" si="0"/>
        <v/>
      </c>
      <c r="K49" s="12" t="str">
        <f t="shared" si="6"/>
        <v/>
      </c>
      <c r="L49" s="12" t="str">
        <f t="shared" si="7"/>
        <v/>
      </c>
      <c r="M49" s="12" t="str">
        <f t="shared" si="1"/>
        <v/>
      </c>
      <c r="N49" s="12" t="str">
        <f t="shared" si="2"/>
        <v/>
      </c>
      <c r="O49" s="12" t="str">
        <f t="shared" si="3"/>
        <v/>
      </c>
      <c r="P49" s="12" t="str">
        <f t="shared" si="4"/>
        <v/>
      </c>
      <c r="Q49" s="12" t="str">
        <f t="shared" si="8"/>
        <v/>
      </c>
      <c r="R49" s="26" t="str">
        <f t="shared" si="5"/>
        <v/>
      </c>
      <c r="S49" s="26" t="str">
        <f t="shared" si="16"/>
        <v/>
      </c>
      <c r="T49" s="26" t="str">
        <f t="shared" si="9"/>
        <v/>
      </c>
      <c r="U49" s="26" t="str">
        <f t="shared" si="10"/>
        <v/>
      </c>
      <c r="V49" s="26" t="str">
        <f t="shared" si="11"/>
        <v/>
      </c>
      <c r="W49" s="20" t="str">
        <f t="shared" si="12"/>
        <v/>
      </c>
      <c r="X49" s="20" t="str">
        <f t="shared" si="13"/>
        <v/>
      </c>
      <c r="Y49" s="86" t="str">
        <f t="shared" si="22"/>
        <v/>
      </c>
      <c r="Z49" s="31"/>
    </row>
    <row r="50" spans="2:26" outlineLevel="1">
      <c r="B50" s="14">
        <f t="shared" si="15"/>
        <v>47</v>
      </c>
      <c r="C50" s="37"/>
      <c r="D50" s="40"/>
      <c r="E50" s="39"/>
      <c r="F50" s="37"/>
      <c r="G50" s="39"/>
      <c r="H50" s="37"/>
      <c r="I50" s="37"/>
      <c r="J50" s="41" t="str">
        <f t="shared" si="0"/>
        <v/>
      </c>
      <c r="K50" s="12" t="str">
        <f t="shared" si="6"/>
        <v/>
      </c>
      <c r="L50" s="12" t="str">
        <f t="shared" si="7"/>
        <v/>
      </c>
      <c r="M50" s="12" t="str">
        <f t="shared" si="1"/>
        <v/>
      </c>
      <c r="N50" s="12" t="str">
        <f t="shared" si="2"/>
        <v/>
      </c>
      <c r="O50" s="12" t="str">
        <f t="shared" si="3"/>
        <v/>
      </c>
      <c r="P50" s="12" t="str">
        <f t="shared" si="4"/>
        <v/>
      </c>
      <c r="Q50" s="12" t="str">
        <f t="shared" si="8"/>
        <v/>
      </c>
      <c r="R50" s="26" t="str">
        <f t="shared" si="5"/>
        <v/>
      </c>
      <c r="S50" s="26" t="str">
        <f t="shared" si="16"/>
        <v/>
      </c>
      <c r="T50" s="26" t="str">
        <f t="shared" si="9"/>
        <v/>
      </c>
      <c r="U50" s="26" t="str">
        <f t="shared" si="10"/>
        <v/>
      </c>
      <c r="V50" s="26" t="str">
        <f t="shared" si="11"/>
        <v/>
      </c>
      <c r="W50" s="20" t="str">
        <f t="shared" si="12"/>
        <v/>
      </c>
      <c r="X50" s="20" t="str">
        <f t="shared" si="13"/>
        <v/>
      </c>
      <c r="Y50" s="86" t="str">
        <f t="shared" si="22"/>
        <v/>
      </c>
      <c r="Z50" s="31"/>
    </row>
    <row r="51" spans="2:26" outlineLevel="1">
      <c r="B51" s="14">
        <f t="shared" si="15"/>
        <v>48</v>
      </c>
      <c r="C51" s="37"/>
      <c r="D51" s="40"/>
      <c r="E51" s="39"/>
      <c r="F51" s="37"/>
      <c r="G51" s="39"/>
      <c r="H51" s="37"/>
      <c r="I51" s="37"/>
      <c r="J51" s="41" t="str">
        <f t="shared" si="0"/>
        <v/>
      </c>
      <c r="K51" s="12" t="str">
        <f t="shared" si="6"/>
        <v/>
      </c>
      <c r="L51" s="12" t="str">
        <f t="shared" si="7"/>
        <v/>
      </c>
      <c r="M51" s="12" t="str">
        <f t="shared" si="1"/>
        <v/>
      </c>
      <c r="N51" s="12" t="str">
        <f t="shared" si="2"/>
        <v/>
      </c>
      <c r="O51" s="12" t="str">
        <f t="shared" si="3"/>
        <v/>
      </c>
      <c r="P51" s="12" t="str">
        <f t="shared" si="4"/>
        <v/>
      </c>
      <c r="Q51" s="12" t="str">
        <f t="shared" si="8"/>
        <v/>
      </c>
      <c r="R51" s="26" t="str">
        <f t="shared" si="5"/>
        <v/>
      </c>
      <c r="S51" s="26" t="str">
        <f t="shared" si="16"/>
        <v/>
      </c>
      <c r="T51" s="26" t="str">
        <f t="shared" si="9"/>
        <v/>
      </c>
      <c r="U51" s="26" t="str">
        <f t="shared" si="10"/>
        <v/>
      </c>
      <c r="V51" s="26" t="str">
        <f t="shared" si="11"/>
        <v/>
      </c>
      <c r="W51" s="20" t="str">
        <f t="shared" si="12"/>
        <v/>
      </c>
      <c r="X51" s="20" t="str">
        <f t="shared" si="13"/>
        <v/>
      </c>
      <c r="Y51" s="86" t="str">
        <f t="shared" si="22"/>
        <v/>
      </c>
      <c r="Z51" s="31"/>
    </row>
    <row r="52" spans="2:26" outlineLevel="1">
      <c r="B52" s="14">
        <f t="shared" si="15"/>
        <v>49</v>
      </c>
      <c r="C52" s="37"/>
      <c r="D52" s="40"/>
      <c r="E52" s="39"/>
      <c r="F52" s="37"/>
      <c r="G52" s="39"/>
      <c r="H52" s="37"/>
      <c r="I52" s="37"/>
      <c r="J52" s="41" t="str">
        <f t="shared" si="0"/>
        <v/>
      </c>
      <c r="K52" s="12" t="str">
        <f t="shared" si="6"/>
        <v/>
      </c>
      <c r="L52" s="12" t="str">
        <f t="shared" si="7"/>
        <v/>
      </c>
      <c r="M52" s="12" t="str">
        <f t="shared" si="1"/>
        <v/>
      </c>
      <c r="N52" s="12" t="str">
        <f t="shared" si="2"/>
        <v/>
      </c>
      <c r="O52" s="12" t="str">
        <f t="shared" si="3"/>
        <v/>
      </c>
      <c r="P52" s="12" t="str">
        <f t="shared" si="4"/>
        <v/>
      </c>
      <c r="Q52" s="12" t="str">
        <f t="shared" si="8"/>
        <v/>
      </c>
      <c r="R52" s="26" t="str">
        <f t="shared" si="5"/>
        <v/>
      </c>
      <c r="S52" s="26" t="str">
        <f t="shared" si="16"/>
        <v/>
      </c>
      <c r="T52" s="26" t="str">
        <f t="shared" si="9"/>
        <v/>
      </c>
      <c r="U52" s="26" t="str">
        <f t="shared" si="10"/>
        <v/>
      </c>
      <c r="V52" s="26" t="str">
        <f t="shared" si="11"/>
        <v/>
      </c>
      <c r="W52" s="20" t="str">
        <f t="shared" si="12"/>
        <v/>
      </c>
      <c r="X52" s="20" t="str">
        <f t="shared" si="13"/>
        <v/>
      </c>
      <c r="Y52" s="86" t="str">
        <f t="shared" si="22"/>
        <v/>
      </c>
      <c r="Z52" s="31"/>
    </row>
    <row r="53" spans="2:26" outlineLevel="1">
      <c r="B53" s="14">
        <f t="shared" si="15"/>
        <v>50</v>
      </c>
      <c r="C53" s="37"/>
      <c r="D53" s="40"/>
      <c r="E53" s="39"/>
      <c r="F53" s="37"/>
      <c r="G53" s="39"/>
      <c r="H53" s="37"/>
      <c r="I53" s="37"/>
      <c r="J53" s="41" t="str">
        <f t="shared" si="0"/>
        <v/>
      </c>
      <c r="K53" s="12" t="str">
        <f t="shared" si="6"/>
        <v/>
      </c>
      <c r="L53" s="12" t="str">
        <f t="shared" si="7"/>
        <v/>
      </c>
      <c r="M53" s="12" t="str">
        <f t="shared" si="1"/>
        <v/>
      </c>
      <c r="N53" s="12" t="str">
        <f t="shared" si="2"/>
        <v/>
      </c>
      <c r="O53" s="12" t="str">
        <f t="shared" si="3"/>
        <v/>
      </c>
      <c r="P53" s="12" t="str">
        <f t="shared" si="4"/>
        <v/>
      </c>
      <c r="Q53" s="12" t="str">
        <f t="shared" si="8"/>
        <v/>
      </c>
      <c r="R53" s="26" t="str">
        <f t="shared" si="5"/>
        <v/>
      </c>
      <c r="S53" s="26" t="str">
        <f t="shared" si="16"/>
        <v/>
      </c>
      <c r="T53" s="26" t="str">
        <f t="shared" si="9"/>
        <v/>
      </c>
      <c r="U53" s="26" t="str">
        <f t="shared" si="10"/>
        <v/>
      </c>
      <c r="V53" s="26" t="str">
        <f t="shared" si="11"/>
        <v/>
      </c>
      <c r="W53" s="20" t="str">
        <f t="shared" si="12"/>
        <v/>
      </c>
      <c r="X53" s="20" t="str">
        <f t="shared" si="13"/>
        <v/>
      </c>
      <c r="Y53" s="86" t="str">
        <f t="shared" si="22"/>
        <v/>
      </c>
      <c r="Z53" s="31"/>
    </row>
    <row r="54" spans="2:26" outlineLevel="1">
      <c r="B54" s="14">
        <f t="shared" si="15"/>
        <v>51</v>
      </c>
      <c r="C54" s="37"/>
      <c r="D54" s="40"/>
      <c r="E54" s="39"/>
      <c r="F54" s="37"/>
      <c r="G54" s="39"/>
      <c r="H54" s="37"/>
      <c r="I54" s="37"/>
      <c r="J54" s="41" t="str">
        <f t="shared" si="0"/>
        <v/>
      </c>
      <c r="K54" s="12" t="str">
        <f t="shared" si="6"/>
        <v/>
      </c>
      <c r="L54" s="12" t="str">
        <f t="shared" si="7"/>
        <v/>
      </c>
      <c r="M54" s="12" t="str">
        <f t="shared" si="1"/>
        <v/>
      </c>
      <c r="N54" s="12" t="str">
        <f t="shared" si="2"/>
        <v/>
      </c>
      <c r="O54" s="12" t="str">
        <f t="shared" si="3"/>
        <v/>
      </c>
      <c r="P54" s="12" t="str">
        <f t="shared" si="4"/>
        <v/>
      </c>
      <c r="Q54" s="12" t="str">
        <f t="shared" si="8"/>
        <v/>
      </c>
      <c r="R54" s="26" t="str">
        <f t="shared" si="5"/>
        <v/>
      </c>
      <c r="S54" s="26" t="str">
        <f t="shared" si="16"/>
        <v/>
      </c>
      <c r="T54" s="26" t="str">
        <f t="shared" si="9"/>
        <v/>
      </c>
      <c r="U54" s="26" t="str">
        <f t="shared" si="10"/>
        <v/>
      </c>
      <c r="V54" s="26" t="str">
        <f t="shared" si="11"/>
        <v/>
      </c>
      <c r="W54" s="20" t="str">
        <f t="shared" si="12"/>
        <v/>
      </c>
      <c r="X54" s="20" t="str">
        <f t="shared" si="13"/>
        <v/>
      </c>
      <c r="Y54" s="86" t="str">
        <f t="shared" si="22"/>
        <v/>
      </c>
      <c r="Z54" s="31"/>
    </row>
    <row r="55" spans="2:26" outlineLevel="1">
      <c r="B55" s="14">
        <f t="shared" si="15"/>
        <v>52</v>
      </c>
      <c r="C55" s="37"/>
      <c r="D55" s="40"/>
      <c r="E55" s="39"/>
      <c r="F55" s="37"/>
      <c r="G55" s="39"/>
      <c r="H55" s="37"/>
      <c r="I55" s="37"/>
      <c r="J55" s="41" t="str">
        <f t="shared" si="0"/>
        <v/>
      </c>
      <c r="K55" s="12" t="str">
        <f t="shared" si="6"/>
        <v/>
      </c>
      <c r="L55" s="12" t="str">
        <f t="shared" si="7"/>
        <v/>
      </c>
      <c r="M55" s="12" t="str">
        <f t="shared" si="1"/>
        <v/>
      </c>
      <c r="N55" s="12" t="str">
        <f t="shared" si="2"/>
        <v/>
      </c>
      <c r="O55" s="12" t="str">
        <f t="shared" si="3"/>
        <v/>
      </c>
      <c r="P55" s="12" t="str">
        <f t="shared" si="4"/>
        <v/>
      </c>
      <c r="Q55" s="12" t="str">
        <f t="shared" si="8"/>
        <v/>
      </c>
      <c r="R55" s="26" t="str">
        <f t="shared" si="5"/>
        <v/>
      </c>
      <c r="S55" s="26" t="str">
        <f t="shared" si="16"/>
        <v/>
      </c>
      <c r="T55" s="26" t="str">
        <f t="shared" si="9"/>
        <v/>
      </c>
      <c r="U55" s="26" t="str">
        <f t="shared" si="10"/>
        <v/>
      </c>
      <c r="V55" s="26" t="str">
        <f t="shared" si="11"/>
        <v/>
      </c>
      <c r="W55" s="20" t="str">
        <f t="shared" si="12"/>
        <v/>
      </c>
      <c r="X55" s="20" t="str">
        <f t="shared" si="13"/>
        <v/>
      </c>
      <c r="Y55" s="86" t="str">
        <f t="shared" si="22"/>
        <v/>
      </c>
      <c r="Z55" s="31"/>
    </row>
    <row r="56" spans="2:26" outlineLevel="1">
      <c r="B56" s="14">
        <f t="shared" si="15"/>
        <v>53</v>
      </c>
      <c r="C56" s="37"/>
      <c r="D56" s="40"/>
      <c r="E56" s="39"/>
      <c r="F56" s="37"/>
      <c r="G56" s="39"/>
      <c r="H56" s="37"/>
      <c r="I56" s="37"/>
      <c r="J56" s="41" t="str">
        <f t="shared" si="0"/>
        <v/>
      </c>
      <c r="K56" s="12" t="str">
        <f t="shared" si="6"/>
        <v/>
      </c>
      <c r="L56" s="12" t="str">
        <f t="shared" si="7"/>
        <v/>
      </c>
      <c r="M56" s="12" t="str">
        <f t="shared" si="1"/>
        <v/>
      </c>
      <c r="N56" s="12" t="str">
        <f t="shared" si="2"/>
        <v/>
      </c>
      <c r="O56" s="12" t="str">
        <f t="shared" si="3"/>
        <v/>
      </c>
      <c r="P56" s="12" t="str">
        <f t="shared" si="4"/>
        <v/>
      </c>
      <c r="Q56" s="12" t="str">
        <f t="shared" si="8"/>
        <v/>
      </c>
      <c r="R56" s="26" t="str">
        <f t="shared" si="5"/>
        <v/>
      </c>
      <c r="S56" s="26" t="str">
        <f t="shared" si="16"/>
        <v/>
      </c>
      <c r="T56" s="26" t="str">
        <f t="shared" si="9"/>
        <v/>
      </c>
      <c r="U56" s="26" t="str">
        <f t="shared" si="10"/>
        <v/>
      </c>
      <c r="V56" s="26" t="str">
        <f t="shared" si="11"/>
        <v/>
      </c>
      <c r="W56" s="20" t="str">
        <f t="shared" si="12"/>
        <v/>
      </c>
      <c r="X56" s="20" t="str">
        <f t="shared" si="13"/>
        <v/>
      </c>
      <c r="Y56" s="86" t="str">
        <f t="shared" si="22"/>
        <v/>
      </c>
      <c r="Z56" s="31"/>
    </row>
    <row r="57" spans="2:26" outlineLevel="1">
      <c r="B57" s="14">
        <f t="shared" si="15"/>
        <v>54</v>
      </c>
      <c r="C57" s="37"/>
      <c r="D57" s="40"/>
      <c r="E57" s="39"/>
      <c r="F57" s="37"/>
      <c r="G57" s="39"/>
      <c r="H57" s="37"/>
      <c r="I57" s="37"/>
      <c r="J57" s="41" t="str">
        <f t="shared" si="0"/>
        <v/>
      </c>
      <c r="K57" s="12" t="str">
        <f t="shared" si="6"/>
        <v/>
      </c>
      <c r="L57" s="12" t="str">
        <f t="shared" si="7"/>
        <v/>
      </c>
      <c r="M57" s="12" t="str">
        <f t="shared" si="1"/>
        <v/>
      </c>
      <c r="N57" s="12" t="str">
        <f t="shared" si="2"/>
        <v/>
      </c>
      <c r="O57" s="12" t="str">
        <f t="shared" si="3"/>
        <v/>
      </c>
      <c r="P57" s="12" t="str">
        <f t="shared" si="4"/>
        <v/>
      </c>
      <c r="Q57" s="12" t="str">
        <f t="shared" si="8"/>
        <v/>
      </c>
      <c r="R57" s="26" t="str">
        <f t="shared" si="5"/>
        <v/>
      </c>
      <c r="S57" s="26" t="str">
        <f t="shared" si="16"/>
        <v/>
      </c>
      <c r="T57" s="26" t="str">
        <f t="shared" si="9"/>
        <v/>
      </c>
      <c r="U57" s="26" t="str">
        <f t="shared" si="10"/>
        <v/>
      </c>
      <c r="V57" s="26" t="str">
        <f t="shared" si="11"/>
        <v/>
      </c>
      <c r="W57" s="20" t="str">
        <f t="shared" si="12"/>
        <v/>
      </c>
      <c r="X57" s="20" t="str">
        <f t="shared" si="13"/>
        <v/>
      </c>
      <c r="Y57" s="86" t="str">
        <f t="shared" si="22"/>
        <v/>
      </c>
      <c r="Z57" s="31"/>
    </row>
    <row r="58" spans="2:26" outlineLevel="1">
      <c r="B58" s="14">
        <f t="shared" si="15"/>
        <v>55</v>
      </c>
      <c r="C58" s="37"/>
      <c r="D58" s="40"/>
      <c r="E58" s="39"/>
      <c r="F58" s="37"/>
      <c r="G58" s="39"/>
      <c r="H58" s="37"/>
      <c r="I58" s="37"/>
      <c r="J58" s="41" t="str">
        <f t="shared" si="0"/>
        <v/>
      </c>
      <c r="K58" s="12" t="str">
        <f t="shared" si="6"/>
        <v/>
      </c>
      <c r="L58" s="12" t="str">
        <f t="shared" si="7"/>
        <v/>
      </c>
      <c r="M58" s="12" t="str">
        <f t="shared" si="1"/>
        <v/>
      </c>
      <c r="N58" s="12" t="str">
        <f t="shared" si="2"/>
        <v/>
      </c>
      <c r="O58" s="12" t="str">
        <f t="shared" si="3"/>
        <v/>
      </c>
      <c r="P58" s="12" t="str">
        <f t="shared" si="4"/>
        <v/>
      </c>
      <c r="Q58" s="12" t="str">
        <f t="shared" si="8"/>
        <v/>
      </c>
      <c r="R58" s="26" t="str">
        <f t="shared" si="5"/>
        <v/>
      </c>
      <c r="S58" s="26" t="str">
        <f t="shared" si="16"/>
        <v/>
      </c>
      <c r="T58" s="26" t="str">
        <f t="shared" si="9"/>
        <v/>
      </c>
      <c r="U58" s="26" t="str">
        <f t="shared" si="10"/>
        <v/>
      </c>
      <c r="V58" s="26" t="str">
        <f t="shared" si="11"/>
        <v/>
      </c>
      <c r="W58" s="20" t="str">
        <f t="shared" si="12"/>
        <v/>
      </c>
      <c r="X58" s="20" t="str">
        <f t="shared" si="13"/>
        <v/>
      </c>
      <c r="Y58" s="86" t="str">
        <f t="shared" si="22"/>
        <v/>
      </c>
      <c r="Z58" s="31"/>
    </row>
    <row r="59" spans="2:26" outlineLevel="1">
      <c r="B59" s="14">
        <f t="shared" si="15"/>
        <v>56</v>
      </c>
      <c r="C59" s="37"/>
      <c r="D59" s="40"/>
      <c r="E59" s="39"/>
      <c r="F59" s="37"/>
      <c r="G59" s="39"/>
      <c r="H59" s="37"/>
      <c r="I59" s="37"/>
      <c r="J59" s="41" t="str">
        <f t="shared" si="0"/>
        <v/>
      </c>
      <c r="K59" s="12" t="str">
        <f t="shared" si="6"/>
        <v/>
      </c>
      <c r="L59" s="12" t="str">
        <f t="shared" si="7"/>
        <v/>
      </c>
      <c r="M59" s="12" t="str">
        <f t="shared" si="1"/>
        <v/>
      </c>
      <c r="N59" s="12" t="str">
        <f t="shared" si="2"/>
        <v/>
      </c>
      <c r="O59" s="12" t="str">
        <f t="shared" si="3"/>
        <v/>
      </c>
      <c r="P59" s="12" t="str">
        <f t="shared" si="4"/>
        <v/>
      </c>
      <c r="Q59" s="12" t="str">
        <f t="shared" si="8"/>
        <v/>
      </c>
      <c r="R59" s="26" t="str">
        <f t="shared" si="5"/>
        <v/>
      </c>
      <c r="S59" s="26" t="str">
        <f t="shared" si="16"/>
        <v/>
      </c>
      <c r="T59" s="26" t="str">
        <f t="shared" si="9"/>
        <v/>
      </c>
      <c r="U59" s="26" t="str">
        <f t="shared" si="10"/>
        <v/>
      </c>
      <c r="V59" s="26" t="str">
        <f t="shared" si="11"/>
        <v/>
      </c>
      <c r="W59" s="20" t="str">
        <f t="shared" si="12"/>
        <v/>
      </c>
      <c r="X59" s="20" t="str">
        <f t="shared" si="13"/>
        <v/>
      </c>
      <c r="Y59" s="86" t="str">
        <f t="shared" si="22"/>
        <v/>
      </c>
      <c r="Z59" s="31"/>
    </row>
    <row r="60" spans="2:26" outlineLevel="1">
      <c r="B60" s="14">
        <f t="shared" si="15"/>
        <v>57</v>
      </c>
      <c r="C60" s="37"/>
      <c r="D60" s="40"/>
      <c r="E60" s="39"/>
      <c r="F60" s="37"/>
      <c r="G60" s="39"/>
      <c r="H60" s="37"/>
      <c r="I60" s="37"/>
      <c r="J60" s="41" t="str">
        <f t="shared" si="0"/>
        <v/>
      </c>
      <c r="K60" s="12" t="str">
        <f t="shared" si="6"/>
        <v/>
      </c>
      <c r="L60" s="12" t="str">
        <f t="shared" si="7"/>
        <v/>
      </c>
      <c r="M60" s="12" t="str">
        <f t="shared" si="1"/>
        <v/>
      </c>
      <c r="N60" s="12" t="str">
        <f t="shared" si="2"/>
        <v/>
      </c>
      <c r="O60" s="12" t="str">
        <f t="shared" si="3"/>
        <v/>
      </c>
      <c r="P60" s="12" t="str">
        <f t="shared" si="4"/>
        <v/>
      </c>
      <c r="Q60" s="12" t="str">
        <f t="shared" si="8"/>
        <v/>
      </c>
      <c r="R60" s="26" t="str">
        <f t="shared" si="5"/>
        <v/>
      </c>
      <c r="S60" s="26" t="str">
        <f t="shared" si="16"/>
        <v/>
      </c>
      <c r="T60" s="26" t="str">
        <f t="shared" si="9"/>
        <v/>
      </c>
      <c r="U60" s="26" t="str">
        <f t="shared" si="10"/>
        <v/>
      </c>
      <c r="V60" s="26" t="str">
        <f t="shared" si="11"/>
        <v/>
      </c>
      <c r="W60" s="20" t="str">
        <f t="shared" si="12"/>
        <v/>
      </c>
      <c r="X60" s="20" t="str">
        <f t="shared" si="13"/>
        <v/>
      </c>
      <c r="Y60" s="86" t="str">
        <f t="shared" si="22"/>
        <v/>
      </c>
      <c r="Z60" s="31"/>
    </row>
    <row r="61" spans="2:26" outlineLevel="1">
      <c r="B61" s="14">
        <f t="shared" si="15"/>
        <v>58</v>
      </c>
      <c r="C61" s="37"/>
      <c r="D61" s="40"/>
      <c r="E61" s="39"/>
      <c r="F61" s="37"/>
      <c r="G61" s="39"/>
      <c r="H61" s="37"/>
      <c r="I61" s="37"/>
      <c r="J61" s="41" t="str">
        <f t="shared" si="0"/>
        <v/>
      </c>
      <c r="K61" s="12" t="str">
        <f t="shared" si="6"/>
        <v/>
      </c>
      <c r="L61" s="12" t="str">
        <f t="shared" si="7"/>
        <v/>
      </c>
      <c r="M61" s="12" t="str">
        <f t="shared" si="1"/>
        <v/>
      </c>
      <c r="N61" s="12" t="str">
        <f t="shared" si="2"/>
        <v/>
      </c>
      <c r="O61" s="12" t="str">
        <f t="shared" si="3"/>
        <v/>
      </c>
      <c r="P61" s="12" t="str">
        <f t="shared" si="4"/>
        <v/>
      </c>
      <c r="Q61" s="12" t="str">
        <f t="shared" si="8"/>
        <v/>
      </c>
      <c r="R61" s="26" t="str">
        <f t="shared" si="5"/>
        <v/>
      </c>
      <c r="S61" s="26" t="str">
        <f t="shared" si="16"/>
        <v/>
      </c>
      <c r="T61" s="26" t="str">
        <f t="shared" si="9"/>
        <v/>
      </c>
      <c r="U61" s="26" t="str">
        <f t="shared" si="10"/>
        <v/>
      </c>
      <c r="V61" s="26" t="str">
        <f t="shared" si="11"/>
        <v/>
      </c>
      <c r="W61" s="20" t="str">
        <f t="shared" si="12"/>
        <v/>
      </c>
      <c r="X61" s="20" t="str">
        <f t="shared" si="13"/>
        <v/>
      </c>
      <c r="Y61" s="86" t="str">
        <f t="shared" si="22"/>
        <v/>
      </c>
      <c r="Z61" s="31"/>
    </row>
    <row r="62" spans="2:26" outlineLevel="1">
      <c r="B62" s="14">
        <f t="shared" si="15"/>
        <v>59</v>
      </c>
      <c r="C62" s="37"/>
      <c r="D62" s="40"/>
      <c r="E62" s="39"/>
      <c r="F62" s="37"/>
      <c r="G62" s="39"/>
      <c r="H62" s="37"/>
      <c r="I62" s="37"/>
      <c r="J62" s="41" t="str">
        <f t="shared" si="0"/>
        <v/>
      </c>
      <c r="K62" s="12" t="str">
        <f t="shared" si="6"/>
        <v/>
      </c>
      <c r="L62" s="12" t="str">
        <f t="shared" si="7"/>
        <v/>
      </c>
      <c r="M62" s="12" t="str">
        <f t="shared" si="1"/>
        <v/>
      </c>
      <c r="N62" s="12" t="str">
        <f t="shared" si="2"/>
        <v/>
      </c>
      <c r="O62" s="12" t="str">
        <f t="shared" si="3"/>
        <v/>
      </c>
      <c r="P62" s="12" t="str">
        <f t="shared" si="4"/>
        <v/>
      </c>
      <c r="Q62" s="12" t="str">
        <f t="shared" si="8"/>
        <v/>
      </c>
      <c r="R62" s="26" t="str">
        <f t="shared" si="5"/>
        <v/>
      </c>
      <c r="S62" s="26" t="str">
        <f t="shared" si="16"/>
        <v/>
      </c>
      <c r="T62" s="26" t="str">
        <f t="shared" si="9"/>
        <v/>
      </c>
      <c r="U62" s="26" t="str">
        <f t="shared" si="10"/>
        <v/>
      </c>
      <c r="V62" s="26" t="str">
        <f t="shared" si="11"/>
        <v/>
      </c>
      <c r="W62" s="20" t="str">
        <f t="shared" si="12"/>
        <v/>
      </c>
      <c r="X62" s="20" t="str">
        <f t="shared" si="13"/>
        <v/>
      </c>
      <c r="Y62" s="86" t="str">
        <f t="shared" si="22"/>
        <v/>
      </c>
      <c r="Z62" s="31"/>
    </row>
    <row r="63" spans="2:26" outlineLevel="1">
      <c r="B63" s="14">
        <f t="shared" si="15"/>
        <v>60</v>
      </c>
      <c r="C63" s="37"/>
      <c r="D63" s="40"/>
      <c r="E63" s="39"/>
      <c r="F63" s="37"/>
      <c r="G63" s="39"/>
      <c r="H63" s="37"/>
      <c r="I63" s="37"/>
      <c r="J63" s="41" t="str">
        <f t="shared" si="0"/>
        <v/>
      </c>
      <c r="K63" s="12" t="str">
        <f t="shared" si="6"/>
        <v/>
      </c>
      <c r="L63" s="12" t="str">
        <f t="shared" si="7"/>
        <v/>
      </c>
      <c r="M63" s="12" t="str">
        <f t="shared" si="1"/>
        <v/>
      </c>
      <c r="N63" s="12" t="str">
        <f t="shared" si="2"/>
        <v/>
      </c>
      <c r="O63" s="12" t="str">
        <f t="shared" si="3"/>
        <v/>
      </c>
      <c r="P63" s="12" t="str">
        <f t="shared" si="4"/>
        <v/>
      </c>
      <c r="Q63" s="12" t="str">
        <f t="shared" si="8"/>
        <v/>
      </c>
      <c r="R63" s="26" t="str">
        <f t="shared" si="5"/>
        <v/>
      </c>
      <c r="S63" s="26" t="str">
        <f t="shared" si="16"/>
        <v/>
      </c>
      <c r="T63" s="26" t="str">
        <f t="shared" si="9"/>
        <v/>
      </c>
      <c r="U63" s="26" t="str">
        <f t="shared" si="10"/>
        <v/>
      </c>
      <c r="V63" s="26" t="str">
        <f t="shared" si="11"/>
        <v/>
      </c>
      <c r="W63" s="20" t="str">
        <f t="shared" si="12"/>
        <v/>
      </c>
      <c r="X63" s="20" t="str">
        <f t="shared" si="13"/>
        <v/>
      </c>
      <c r="Y63" s="86" t="str">
        <f t="shared" si="22"/>
        <v/>
      </c>
      <c r="Z63" s="31"/>
    </row>
    <row r="64" spans="2:26" outlineLevel="1">
      <c r="B64" s="14">
        <f t="shared" si="15"/>
        <v>61</v>
      </c>
      <c r="C64" s="37"/>
      <c r="D64" s="40"/>
      <c r="E64" s="39"/>
      <c r="F64" s="37"/>
      <c r="G64" s="39"/>
      <c r="H64" s="37"/>
      <c r="I64" s="37"/>
      <c r="J64" s="41" t="str">
        <f t="shared" si="0"/>
        <v/>
      </c>
      <c r="K64" s="12" t="str">
        <f t="shared" si="6"/>
        <v/>
      </c>
      <c r="L64" s="12" t="str">
        <f t="shared" si="7"/>
        <v/>
      </c>
      <c r="M64" s="12" t="str">
        <f t="shared" si="1"/>
        <v/>
      </c>
      <c r="N64" s="12" t="str">
        <f t="shared" si="2"/>
        <v/>
      </c>
      <c r="O64" s="12" t="str">
        <f t="shared" si="3"/>
        <v/>
      </c>
      <c r="P64" s="12" t="str">
        <f t="shared" si="4"/>
        <v/>
      </c>
      <c r="Q64" s="12" t="str">
        <f t="shared" si="8"/>
        <v/>
      </c>
      <c r="R64" s="26" t="str">
        <f t="shared" si="5"/>
        <v/>
      </c>
      <c r="S64" s="26" t="str">
        <f t="shared" si="16"/>
        <v/>
      </c>
      <c r="T64" s="26" t="str">
        <f t="shared" si="9"/>
        <v/>
      </c>
      <c r="U64" s="26" t="str">
        <f t="shared" si="10"/>
        <v/>
      </c>
      <c r="V64" s="26" t="str">
        <f t="shared" si="11"/>
        <v/>
      </c>
      <c r="W64" s="20" t="str">
        <f t="shared" si="12"/>
        <v/>
      </c>
      <c r="X64" s="20" t="str">
        <f t="shared" si="13"/>
        <v/>
      </c>
      <c r="Y64" s="86" t="str">
        <f t="shared" si="22"/>
        <v/>
      </c>
      <c r="Z64" s="31"/>
    </row>
    <row r="65" spans="2:26" outlineLevel="1">
      <c r="B65" s="14">
        <f t="shared" si="15"/>
        <v>62</v>
      </c>
      <c r="C65" s="37"/>
      <c r="D65" s="40"/>
      <c r="E65" s="39"/>
      <c r="F65" s="37"/>
      <c r="G65" s="39"/>
      <c r="H65" s="37"/>
      <c r="I65" s="37"/>
      <c r="J65" s="41" t="str">
        <f t="shared" si="0"/>
        <v/>
      </c>
      <c r="K65" s="12" t="str">
        <f t="shared" si="6"/>
        <v/>
      </c>
      <c r="L65" s="12" t="str">
        <f t="shared" si="7"/>
        <v/>
      </c>
      <c r="M65" s="12" t="str">
        <f t="shared" si="1"/>
        <v/>
      </c>
      <c r="N65" s="12" t="str">
        <f t="shared" si="2"/>
        <v/>
      </c>
      <c r="O65" s="12" t="str">
        <f t="shared" si="3"/>
        <v/>
      </c>
      <c r="P65" s="12" t="str">
        <f t="shared" si="4"/>
        <v/>
      </c>
      <c r="Q65" s="12" t="str">
        <f t="shared" si="8"/>
        <v/>
      </c>
      <c r="R65" s="26" t="str">
        <f t="shared" si="5"/>
        <v/>
      </c>
      <c r="S65" s="26" t="str">
        <f t="shared" si="16"/>
        <v/>
      </c>
      <c r="T65" s="26" t="str">
        <f t="shared" si="9"/>
        <v/>
      </c>
      <c r="U65" s="26" t="str">
        <f t="shared" si="10"/>
        <v/>
      </c>
      <c r="V65" s="26" t="str">
        <f t="shared" si="11"/>
        <v/>
      </c>
      <c r="W65" s="20" t="str">
        <f t="shared" si="12"/>
        <v/>
      </c>
      <c r="X65" s="20" t="str">
        <f t="shared" si="13"/>
        <v/>
      </c>
      <c r="Y65" s="86" t="str">
        <f t="shared" si="22"/>
        <v/>
      </c>
      <c r="Z65" s="31"/>
    </row>
    <row r="66" spans="2:26" outlineLevel="1">
      <c r="B66" s="14">
        <f t="shared" si="15"/>
        <v>63</v>
      </c>
      <c r="C66" s="37"/>
      <c r="D66" s="40"/>
      <c r="E66" s="39"/>
      <c r="F66" s="37"/>
      <c r="G66" s="39"/>
      <c r="H66" s="37"/>
      <c r="I66" s="37"/>
      <c r="J66" s="41" t="str">
        <f t="shared" si="0"/>
        <v/>
      </c>
      <c r="K66" s="12" t="str">
        <f t="shared" si="6"/>
        <v/>
      </c>
      <c r="L66" s="12" t="str">
        <f t="shared" si="7"/>
        <v/>
      </c>
      <c r="M66" s="12" t="str">
        <f t="shared" si="1"/>
        <v/>
      </c>
      <c r="N66" s="12" t="str">
        <f t="shared" si="2"/>
        <v/>
      </c>
      <c r="O66" s="12" t="str">
        <f t="shared" si="3"/>
        <v/>
      </c>
      <c r="P66" s="12" t="str">
        <f t="shared" si="4"/>
        <v/>
      </c>
      <c r="Q66" s="12" t="str">
        <f t="shared" si="8"/>
        <v/>
      </c>
      <c r="R66" s="26" t="str">
        <f t="shared" si="5"/>
        <v/>
      </c>
      <c r="S66" s="26" t="str">
        <f t="shared" si="16"/>
        <v/>
      </c>
      <c r="T66" s="26" t="str">
        <f t="shared" si="9"/>
        <v/>
      </c>
      <c r="U66" s="26" t="str">
        <f t="shared" si="10"/>
        <v/>
      </c>
      <c r="V66" s="26" t="str">
        <f t="shared" si="11"/>
        <v/>
      </c>
      <c r="W66" s="20" t="str">
        <f t="shared" si="12"/>
        <v/>
      </c>
      <c r="X66" s="20" t="str">
        <f t="shared" si="13"/>
        <v/>
      </c>
      <c r="Y66" s="86" t="str">
        <f t="shared" si="22"/>
        <v/>
      </c>
      <c r="Z66" s="31"/>
    </row>
    <row r="67" spans="2:26" outlineLevel="1">
      <c r="B67" s="14">
        <f t="shared" si="15"/>
        <v>64</v>
      </c>
      <c r="C67" s="37"/>
      <c r="D67" s="40"/>
      <c r="E67" s="39"/>
      <c r="F67" s="37"/>
      <c r="G67" s="39"/>
      <c r="H67" s="37"/>
      <c r="I67" s="37"/>
      <c r="J67" s="41" t="str">
        <f t="shared" si="0"/>
        <v/>
      </c>
      <c r="K67" s="12" t="str">
        <f t="shared" si="6"/>
        <v/>
      </c>
      <c r="L67" s="12" t="str">
        <f t="shared" si="7"/>
        <v/>
      </c>
      <c r="M67" s="12" t="str">
        <f t="shared" si="1"/>
        <v/>
      </c>
      <c r="N67" s="12" t="str">
        <f t="shared" si="2"/>
        <v/>
      </c>
      <c r="O67" s="12" t="str">
        <f t="shared" si="3"/>
        <v/>
      </c>
      <c r="P67" s="12" t="str">
        <f t="shared" si="4"/>
        <v/>
      </c>
      <c r="Q67" s="12" t="str">
        <f t="shared" si="8"/>
        <v/>
      </c>
      <c r="R67" s="26" t="str">
        <f t="shared" si="5"/>
        <v/>
      </c>
      <c r="S67" s="26" t="str">
        <f t="shared" si="16"/>
        <v/>
      </c>
      <c r="T67" s="26" t="str">
        <f t="shared" si="9"/>
        <v/>
      </c>
      <c r="U67" s="26" t="str">
        <f t="shared" si="10"/>
        <v/>
      </c>
      <c r="V67" s="26" t="str">
        <f t="shared" si="11"/>
        <v/>
      </c>
      <c r="W67" s="20" t="str">
        <f t="shared" si="12"/>
        <v/>
      </c>
      <c r="X67" s="20" t="str">
        <f t="shared" si="13"/>
        <v/>
      </c>
      <c r="Y67" s="86" t="str">
        <f t="shared" si="22"/>
        <v/>
      </c>
      <c r="Z67" s="31"/>
    </row>
    <row r="68" spans="2:26" outlineLevel="1">
      <c r="B68" s="14">
        <f t="shared" si="15"/>
        <v>65</v>
      </c>
      <c r="C68" s="37"/>
      <c r="D68" s="40"/>
      <c r="E68" s="39"/>
      <c r="F68" s="37"/>
      <c r="G68" s="39"/>
      <c r="H68" s="37"/>
      <c r="I68" s="37"/>
      <c r="J68" s="41" t="str">
        <f t="shared" ref="J68:J131" si="24">IF(D68="","",+$E$2*D68)</f>
        <v/>
      </c>
      <c r="K68" s="12" t="str">
        <f t="shared" si="6"/>
        <v/>
      </c>
      <c r="L68" s="12" t="str">
        <f t="shared" si="7"/>
        <v/>
      </c>
      <c r="M68" s="12" t="str">
        <f t="shared" ref="M68:M131" si="25">IF(E68="","",IF($L68="x",E68/12*3.14,(LEFT($E68,FIND("*",$E68)-1)+0)*12/144*2+(RIGHT($E68,LEN($E68)-FIND("*",$E68)))*12/144*2))</f>
        <v/>
      </c>
      <c r="N68" s="12" t="str">
        <f t="shared" ref="N68:N131" si="26">IF(E68="","",M68*IF(I68="y",MAX(0,J68-$AC$13),J68))</f>
        <v/>
      </c>
      <c r="O68" s="12" t="str">
        <f t="shared" ref="O68:O131" si="27">IF(E68="","",$AC$5*N68)</f>
        <v/>
      </c>
      <c r="P68" s="12" t="str">
        <f t="shared" ref="P68:P131" si="28">IF(D68="","",IFERROR(IF(ISERROR(FIND("*",$E68)),0,ROUND((O68*$AC$6),-1)),""))</f>
        <v/>
      </c>
      <c r="Q68" s="12" t="str">
        <f t="shared" si="8"/>
        <v/>
      </c>
      <c r="R68" s="26" t="str">
        <f t="shared" ref="R68:R131" si="29">IF(E68="","",IF(F68="x",N68*$AC$7,0))</f>
        <v/>
      </c>
      <c r="S68" s="26" t="str">
        <f t="shared" si="16"/>
        <v/>
      </c>
      <c r="T68" s="26" t="str">
        <f t="shared" si="9"/>
        <v/>
      </c>
      <c r="U68" s="26" t="str">
        <f t="shared" si="10"/>
        <v/>
      </c>
      <c r="V68" s="26" t="str">
        <f t="shared" si="11"/>
        <v/>
      </c>
      <c r="W68" s="20" t="str">
        <f t="shared" si="12"/>
        <v/>
      </c>
      <c r="X68" s="20" t="str">
        <f t="shared" si="13"/>
        <v/>
      </c>
      <c r="Y68" s="86" t="str">
        <f t="shared" si="22"/>
        <v/>
      </c>
      <c r="Z68" s="31"/>
    </row>
    <row r="69" spans="2:26" outlineLevel="1">
      <c r="B69" s="14">
        <f t="shared" si="15"/>
        <v>66</v>
      </c>
      <c r="C69" s="37"/>
      <c r="D69" s="40"/>
      <c r="E69" s="39"/>
      <c r="F69" s="37"/>
      <c r="G69" s="39"/>
      <c r="H69" s="37"/>
      <c r="I69" s="37"/>
      <c r="J69" s="41" t="str">
        <f t="shared" si="24"/>
        <v/>
      </c>
      <c r="K69" s="12" t="str">
        <f t="shared" ref="K69:K132" si="30">IF($D69="","",IF(ISERROR(FIND("*",$E69)),"","x"))</f>
        <v/>
      </c>
      <c r="L69" s="12" t="str">
        <f t="shared" ref="L69:L132" si="31">IF($D69="","",IF(ISERROR(FIND("*",$E69)),"x",""))</f>
        <v/>
      </c>
      <c r="M69" s="12" t="str">
        <f t="shared" si="25"/>
        <v/>
      </c>
      <c r="N69" s="12" t="str">
        <f t="shared" si="26"/>
        <v/>
      </c>
      <c r="O69" s="12" t="str">
        <f t="shared" si="27"/>
        <v/>
      </c>
      <c r="P69" s="12" t="str">
        <f t="shared" si="28"/>
        <v/>
      </c>
      <c r="Q69" s="12" t="str">
        <f t="shared" ref="Q69:Q132" si="32">IF(D69="","",IFERROR(IF(ISERROR(FIND("*",$E69)),INDEX($AP$5:$AP$16,MATCH($E69,$AL$5:$AL$16,0),1)*$J69,0),""))</f>
        <v/>
      </c>
      <c r="R69" s="26" t="str">
        <f t="shared" si="29"/>
        <v/>
      </c>
      <c r="S69" s="26" t="str">
        <f t="shared" si="16"/>
        <v/>
      </c>
      <c r="T69" s="26" t="str">
        <f t="shared" ref="T69:T132" si="33">IF(E69="","",IF(H69="x",IF(G69="x",0,25),0))</f>
        <v/>
      </c>
      <c r="U69" s="26" t="str">
        <f t="shared" ref="U69:U132" si="34">IF(D69="","",SUM(P69,R69,S69,T69)*$U$2)</f>
        <v/>
      </c>
      <c r="V69" s="26" t="str">
        <f t="shared" ref="V69:V132" si="35">IF(D69="","",SUM($Q69)*$V$2)</f>
        <v/>
      </c>
      <c r="W69" s="20" t="str">
        <f t="shared" ref="W69:W132" si="36">IF($D69="","",SUM(P69:U69))</f>
        <v/>
      </c>
      <c r="X69" s="20" t="str">
        <f t="shared" ref="X69:X132" si="37">IF(J69="","",ROUNDUP(J69*$AC$9+IF(R69=0,0,$AC$8*J69)+IF(G69="x",$AC$12,0)+IF(H69="x",0.5*25,0),-1))</f>
        <v/>
      </c>
      <c r="Y69" s="86" t="str">
        <f t="shared" si="22"/>
        <v/>
      </c>
      <c r="Z69" s="31"/>
    </row>
    <row r="70" spans="2:26" outlineLevel="1">
      <c r="B70" s="14">
        <f t="shared" si="15"/>
        <v>67</v>
      </c>
      <c r="C70" s="37"/>
      <c r="D70" s="40"/>
      <c r="E70" s="39"/>
      <c r="F70" s="37"/>
      <c r="G70" s="39"/>
      <c r="H70" s="37"/>
      <c r="I70" s="37"/>
      <c r="J70" s="41" t="str">
        <f t="shared" si="24"/>
        <v/>
      </c>
      <c r="K70" s="12" t="str">
        <f t="shared" si="30"/>
        <v/>
      </c>
      <c r="L70" s="12" t="str">
        <f t="shared" si="31"/>
        <v/>
      </c>
      <c r="M70" s="12" t="str">
        <f t="shared" si="25"/>
        <v/>
      </c>
      <c r="N70" s="12" t="str">
        <f t="shared" si="26"/>
        <v/>
      </c>
      <c r="O70" s="12" t="str">
        <f t="shared" si="27"/>
        <v/>
      </c>
      <c r="P70" s="12" t="str">
        <f t="shared" si="28"/>
        <v/>
      </c>
      <c r="Q70" s="12" t="str">
        <f t="shared" si="32"/>
        <v/>
      </c>
      <c r="R70" s="26" t="str">
        <f t="shared" si="29"/>
        <v/>
      </c>
      <c r="S70" s="26" t="str">
        <f t="shared" ref="S70:S133" si="38">IF(E70="","",IF(I70="x",$AC$13*INDEX($AN$19:$AN$30,MATCH($E70,$AL$19:$AL$30,0),1)*1.25,0))</f>
        <v/>
      </c>
      <c r="T70" s="26" t="str">
        <f t="shared" si="33"/>
        <v/>
      </c>
      <c r="U70" s="26" t="str">
        <f t="shared" si="34"/>
        <v/>
      </c>
      <c r="V70" s="26" t="str">
        <f t="shared" si="35"/>
        <v/>
      </c>
      <c r="W70" s="20" t="str">
        <f t="shared" si="36"/>
        <v/>
      </c>
      <c r="X70" s="20" t="str">
        <f t="shared" si="37"/>
        <v/>
      </c>
      <c r="Y70" s="86" t="str">
        <f t="shared" si="22"/>
        <v/>
      </c>
      <c r="Z70" s="31"/>
    </row>
    <row r="71" spans="2:26" outlineLevel="1">
      <c r="B71" s="14">
        <f t="shared" si="15"/>
        <v>68</v>
      </c>
      <c r="C71" s="37"/>
      <c r="D71" s="40"/>
      <c r="E71" s="39"/>
      <c r="F71" s="37"/>
      <c r="G71" s="39"/>
      <c r="H71" s="37"/>
      <c r="I71" s="37"/>
      <c r="J71" s="41" t="str">
        <f t="shared" si="24"/>
        <v/>
      </c>
      <c r="K71" s="12" t="str">
        <f t="shared" si="30"/>
        <v/>
      </c>
      <c r="L71" s="12" t="str">
        <f t="shared" si="31"/>
        <v/>
      </c>
      <c r="M71" s="12" t="str">
        <f t="shared" si="25"/>
        <v/>
      </c>
      <c r="N71" s="12" t="str">
        <f t="shared" si="26"/>
        <v/>
      </c>
      <c r="O71" s="12" t="str">
        <f t="shared" si="27"/>
        <v/>
      </c>
      <c r="P71" s="12" t="str">
        <f t="shared" si="28"/>
        <v/>
      </c>
      <c r="Q71" s="12" t="str">
        <f t="shared" si="32"/>
        <v/>
      </c>
      <c r="R71" s="26" t="str">
        <f t="shared" si="29"/>
        <v/>
      </c>
      <c r="S71" s="26" t="str">
        <f t="shared" si="38"/>
        <v/>
      </c>
      <c r="T71" s="26" t="str">
        <f t="shared" si="33"/>
        <v/>
      </c>
      <c r="U71" s="26" t="str">
        <f t="shared" si="34"/>
        <v/>
      </c>
      <c r="V71" s="26" t="str">
        <f t="shared" si="35"/>
        <v/>
      </c>
      <c r="W71" s="20" t="str">
        <f t="shared" si="36"/>
        <v/>
      </c>
      <c r="X71" s="20" t="str">
        <f t="shared" si="37"/>
        <v/>
      </c>
      <c r="Y71" s="86" t="str">
        <f t="shared" si="22"/>
        <v/>
      </c>
      <c r="Z71" s="31"/>
    </row>
    <row r="72" spans="2:26" outlineLevel="1">
      <c r="B72" s="14">
        <f t="shared" si="15"/>
        <v>69</v>
      </c>
      <c r="C72" s="37"/>
      <c r="D72" s="40"/>
      <c r="E72" s="39"/>
      <c r="F72" s="37"/>
      <c r="G72" s="39"/>
      <c r="H72" s="37"/>
      <c r="I72" s="37"/>
      <c r="J72" s="41" t="str">
        <f t="shared" si="24"/>
        <v/>
      </c>
      <c r="K72" s="12" t="str">
        <f t="shared" si="30"/>
        <v/>
      </c>
      <c r="L72" s="12" t="str">
        <f t="shared" si="31"/>
        <v/>
      </c>
      <c r="M72" s="12" t="str">
        <f t="shared" si="25"/>
        <v/>
      </c>
      <c r="N72" s="12" t="str">
        <f t="shared" si="26"/>
        <v/>
      </c>
      <c r="O72" s="12" t="str">
        <f t="shared" si="27"/>
        <v/>
      </c>
      <c r="P72" s="12" t="str">
        <f t="shared" si="28"/>
        <v/>
      </c>
      <c r="Q72" s="12" t="str">
        <f t="shared" si="32"/>
        <v/>
      </c>
      <c r="R72" s="26" t="str">
        <f t="shared" si="29"/>
        <v/>
      </c>
      <c r="S72" s="26" t="str">
        <f t="shared" si="38"/>
        <v/>
      </c>
      <c r="T72" s="26" t="str">
        <f t="shared" si="33"/>
        <v/>
      </c>
      <c r="U72" s="26" t="str">
        <f t="shared" si="34"/>
        <v/>
      </c>
      <c r="V72" s="26" t="str">
        <f t="shared" si="35"/>
        <v/>
      </c>
      <c r="W72" s="20" t="str">
        <f t="shared" si="36"/>
        <v/>
      </c>
      <c r="X72" s="20" t="str">
        <f t="shared" si="37"/>
        <v/>
      </c>
      <c r="Y72" s="86" t="str">
        <f t="shared" si="22"/>
        <v/>
      </c>
      <c r="Z72" s="31"/>
    </row>
    <row r="73" spans="2:26" outlineLevel="1">
      <c r="B73" s="14">
        <f t="shared" si="15"/>
        <v>70</v>
      </c>
      <c r="C73" s="37"/>
      <c r="D73" s="40"/>
      <c r="E73" s="39"/>
      <c r="F73" s="37"/>
      <c r="G73" s="39"/>
      <c r="H73" s="37"/>
      <c r="I73" s="37"/>
      <c r="J73" s="41" t="str">
        <f t="shared" si="24"/>
        <v/>
      </c>
      <c r="K73" s="12" t="str">
        <f t="shared" si="30"/>
        <v/>
      </c>
      <c r="L73" s="12" t="str">
        <f t="shared" si="31"/>
        <v/>
      </c>
      <c r="M73" s="12" t="str">
        <f t="shared" si="25"/>
        <v/>
      </c>
      <c r="N73" s="12" t="str">
        <f t="shared" si="26"/>
        <v/>
      </c>
      <c r="O73" s="12" t="str">
        <f t="shared" si="27"/>
        <v/>
      </c>
      <c r="P73" s="12" t="str">
        <f t="shared" si="28"/>
        <v/>
      </c>
      <c r="Q73" s="12" t="str">
        <f t="shared" si="32"/>
        <v/>
      </c>
      <c r="R73" s="26" t="str">
        <f t="shared" si="29"/>
        <v/>
      </c>
      <c r="S73" s="26" t="str">
        <f t="shared" si="38"/>
        <v/>
      </c>
      <c r="T73" s="26" t="str">
        <f t="shared" si="33"/>
        <v/>
      </c>
      <c r="U73" s="26" t="str">
        <f t="shared" si="34"/>
        <v/>
      </c>
      <c r="V73" s="26" t="str">
        <f t="shared" si="35"/>
        <v/>
      </c>
      <c r="W73" s="20" t="str">
        <f t="shared" si="36"/>
        <v/>
      </c>
      <c r="X73" s="20" t="str">
        <f t="shared" si="37"/>
        <v/>
      </c>
      <c r="Y73" s="86" t="str">
        <f t="shared" si="22"/>
        <v/>
      </c>
      <c r="Z73" s="31"/>
    </row>
    <row r="74" spans="2:26" outlineLevel="1">
      <c r="B74" s="14">
        <f t="shared" si="15"/>
        <v>71</v>
      </c>
      <c r="C74" s="37"/>
      <c r="D74" s="40"/>
      <c r="E74" s="39"/>
      <c r="F74" s="37"/>
      <c r="G74" s="39"/>
      <c r="H74" s="37"/>
      <c r="I74" s="37"/>
      <c r="J74" s="41" t="str">
        <f t="shared" si="24"/>
        <v/>
      </c>
      <c r="K74" s="12" t="str">
        <f t="shared" si="30"/>
        <v/>
      </c>
      <c r="L74" s="12" t="str">
        <f t="shared" si="31"/>
        <v/>
      </c>
      <c r="M74" s="12" t="str">
        <f t="shared" si="25"/>
        <v/>
      </c>
      <c r="N74" s="12" t="str">
        <f t="shared" si="26"/>
        <v/>
      </c>
      <c r="O74" s="12" t="str">
        <f t="shared" si="27"/>
        <v/>
      </c>
      <c r="P74" s="12" t="str">
        <f t="shared" si="28"/>
        <v/>
      </c>
      <c r="Q74" s="12" t="str">
        <f t="shared" si="32"/>
        <v/>
      </c>
      <c r="R74" s="26" t="str">
        <f t="shared" si="29"/>
        <v/>
      </c>
      <c r="S74" s="26" t="str">
        <f t="shared" si="38"/>
        <v/>
      </c>
      <c r="T74" s="26" t="str">
        <f t="shared" si="33"/>
        <v/>
      </c>
      <c r="U74" s="26" t="str">
        <f t="shared" si="34"/>
        <v/>
      </c>
      <c r="V74" s="26" t="str">
        <f t="shared" si="35"/>
        <v/>
      </c>
      <c r="W74" s="20" t="str">
        <f t="shared" si="36"/>
        <v/>
      </c>
      <c r="X74" s="20" t="str">
        <f t="shared" si="37"/>
        <v/>
      </c>
      <c r="Y74" s="86" t="str">
        <f t="shared" si="22"/>
        <v/>
      </c>
      <c r="Z74" s="31"/>
    </row>
    <row r="75" spans="2:26" outlineLevel="1">
      <c r="B75" s="14">
        <f t="shared" si="15"/>
        <v>72</v>
      </c>
      <c r="C75" s="37"/>
      <c r="D75" s="40"/>
      <c r="E75" s="39"/>
      <c r="F75" s="37"/>
      <c r="G75" s="39"/>
      <c r="H75" s="37"/>
      <c r="I75" s="37"/>
      <c r="J75" s="41" t="str">
        <f t="shared" si="24"/>
        <v/>
      </c>
      <c r="K75" s="12" t="str">
        <f t="shared" si="30"/>
        <v/>
      </c>
      <c r="L75" s="12" t="str">
        <f t="shared" si="31"/>
        <v/>
      </c>
      <c r="M75" s="12" t="str">
        <f t="shared" si="25"/>
        <v/>
      </c>
      <c r="N75" s="12" t="str">
        <f t="shared" si="26"/>
        <v/>
      </c>
      <c r="O75" s="12" t="str">
        <f t="shared" si="27"/>
        <v/>
      </c>
      <c r="P75" s="12" t="str">
        <f t="shared" si="28"/>
        <v/>
      </c>
      <c r="Q75" s="12" t="str">
        <f t="shared" si="32"/>
        <v/>
      </c>
      <c r="R75" s="26" t="str">
        <f t="shared" si="29"/>
        <v/>
      </c>
      <c r="S75" s="26" t="str">
        <f t="shared" si="38"/>
        <v/>
      </c>
      <c r="T75" s="26" t="str">
        <f t="shared" si="33"/>
        <v/>
      </c>
      <c r="U75" s="26" t="str">
        <f t="shared" si="34"/>
        <v/>
      </c>
      <c r="V75" s="26" t="str">
        <f t="shared" si="35"/>
        <v/>
      </c>
      <c r="W75" s="20" t="str">
        <f t="shared" si="36"/>
        <v/>
      </c>
      <c r="X75" s="20" t="str">
        <f t="shared" si="37"/>
        <v/>
      </c>
      <c r="Y75" s="86" t="str">
        <f t="shared" si="22"/>
        <v/>
      </c>
      <c r="Z75" s="31"/>
    </row>
    <row r="76" spans="2:26" outlineLevel="1">
      <c r="B76" s="14">
        <f t="shared" si="15"/>
        <v>73</v>
      </c>
      <c r="C76" s="37"/>
      <c r="D76" s="40"/>
      <c r="E76" s="39"/>
      <c r="F76" s="37"/>
      <c r="G76" s="39"/>
      <c r="H76" s="37"/>
      <c r="I76" s="37"/>
      <c r="J76" s="41" t="str">
        <f t="shared" si="24"/>
        <v/>
      </c>
      <c r="K76" s="12" t="str">
        <f t="shared" si="30"/>
        <v/>
      </c>
      <c r="L76" s="12" t="str">
        <f t="shared" si="31"/>
        <v/>
      </c>
      <c r="M76" s="12" t="str">
        <f t="shared" si="25"/>
        <v/>
      </c>
      <c r="N76" s="12" t="str">
        <f t="shared" si="26"/>
        <v/>
      </c>
      <c r="O76" s="12" t="str">
        <f t="shared" si="27"/>
        <v/>
      </c>
      <c r="P76" s="12" t="str">
        <f t="shared" si="28"/>
        <v/>
      </c>
      <c r="Q76" s="12" t="str">
        <f t="shared" si="32"/>
        <v/>
      </c>
      <c r="R76" s="26" t="str">
        <f t="shared" si="29"/>
        <v/>
      </c>
      <c r="S76" s="26" t="str">
        <f t="shared" si="38"/>
        <v/>
      </c>
      <c r="T76" s="26" t="str">
        <f t="shared" si="33"/>
        <v/>
      </c>
      <c r="U76" s="26" t="str">
        <f t="shared" si="34"/>
        <v/>
      </c>
      <c r="V76" s="26" t="str">
        <f t="shared" si="35"/>
        <v/>
      </c>
      <c r="W76" s="20" t="str">
        <f t="shared" si="36"/>
        <v/>
      </c>
      <c r="X76" s="20" t="str">
        <f t="shared" si="37"/>
        <v/>
      </c>
      <c r="Y76" s="86" t="str">
        <f t="shared" si="22"/>
        <v/>
      </c>
      <c r="Z76" s="31"/>
    </row>
    <row r="77" spans="2:26" outlineLevel="1">
      <c r="B77" s="14">
        <f t="shared" si="15"/>
        <v>74</v>
      </c>
      <c r="C77" s="37"/>
      <c r="D77" s="40"/>
      <c r="E77" s="39"/>
      <c r="F77" s="37"/>
      <c r="G77" s="39"/>
      <c r="H77" s="37"/>
      <c r="I77" s="37"/>
      <c r="J77" s="41" t="str">
        <f t="shared" si="24"/>
        <v/>
      </c>
      <c r="K77" s="12" t="str">
        <f t="shared" si="30"/>
        <v/>
      </c>
      <c r="L77" s="12" t="str">
        <f t="shared" si="31"/>
        <v/>
      </c>
      <c r="M77" s="12" t="str">
        <f t="shared" si="25"/>
        <v/>
      </c>
      <c r="N77" s="12" t="str">
        <f t="shared" si="26"/>
        <v/>
      </c>
      <c r="O77" s="12" t="str">
        <f t="shared" si="27"/>
        <v/>
      </c>
      <c r="P77" s="12" t="str">
        <f t="shared" si="28"/>
        <v/>
      </c>
      <c r="Q77" s="12" t="str">
        <f t="shared" si="32"/>
        <v/>
      </c>
      <c r="R77" s="26" t="str">
        <f t="shared" si="29"/>
        <v/>
      </c>
      <c r="S77" s="26" t="str">
        <f t="shared" si="38"/>
        <v/>
      </c>
      <c r="T77" s="26" t="str">
        <f t="shared" si="33"/>
        <v/>
      </c>
      <c r="U77" s="26" t="str">
        <f t="shared" si="34"/>
        <v/>
      </c>
      <c r="V77" s="26" t="str">
        <f t="shared" si="35"/>
        <v/>
      </c>
      <c r="W77" s="20" t="str">
        <f t="shared" si="36"/>
        <v/>
      </c>
      <c r="X77" s="20" t="str">
        <f t="shared" si="37"/>
        <v/>
      </c>
      <c r="Y77" s="86" t="str">
        <f t="shared" si="22"/>
        <v/>
      </c>
      <c r="Z77" s="31"/>
    </row>
    <row r="78" spans="2:26" outlineLevel="1">
      <c r="B78" s="14">
        <f t="shared" si="15"/>
        <v>75</v>
      </c>
      <c r="C78" s="37"/>
      <c r="D78" s="40"/>
      <c r="E78" s="39"/>
      <c r="F78" s="37"/>
      <c r="G78" s="39"/>
      <c r="H78" s="37"/>
      <c r="I78" s="37"/>
      <c r="J78" s="41" t="str">
        <f t="shared" si="24"/>
        <v/>
      </c>
      <c r="K78" s="12" t="str">
        <f t="shared" si="30"/>
        <v/>
      </c>
      <c r="L78" s="12" t="str">
        <f t="shared" si="31"/>
        <v/>
      </c>
      <c r="M78" s="12" t="str">
        <f t="shared" si="25"/>
        <v/>
      </c>
      <c r="N78" s="12" t="str">
        <f t="shared" si="26"/>
        <v/>
      </c>
      <c r="O78" s="12" t="str">
        <f t="shared" si="27"/>
        <v/>
      </c>
      <c r="P78" s="12" t="str">
        <f t="shared" si="28"/>
        <v/>
      </c>
      <c r="Q78" s="12" t="str">
        <f t="shared" si="32"/>
        <v/>
      </c>
      <c r="R78" s="26" t="str">
        <f t="shared" si="29"/>
        <v/>
      </c>
      <c r="S78" s="26" t="str">
        <f t="shared" si="38"/>
        <v/>
      </c>
      <c r="T78" s="26" t="str">
        <f t="shared" si="33"/>
        <v/>
      </c>
      <c r="U78" s="26" t="str">
        <f t="shared" si="34"/>
        <v/>
      </c>
      <c r="V78" s="26" t="str">
        <f t="shared" si="35"/>
        <v/>
      </c>
      <c r="W78" s="20" t="str">
        <f t="shared" si="36"/>
        <v/>
      </c>
      <c r="X78" s="20" t="str">
        <f t="shared" si="37"/>
        <v/>
      </c>
      <c r="Y78" s="86" t="str">
        <f t="shared" si="22"/>
        <v/>
      </c>
      <c r="Z78" s="31"/>
    </row>
    <row r="79" spans="2:26" outlineLevel="1">
      <c r="B79" s="14">
        <f t="shared" si="15"/>
        <v>76</v>
      </c>
      <c r="C79" s="37"/>
      <c r="D79" s="40"/>
      <c r="E79" s="39"/>
      <c r="F79" s="37"/>
      <c r="G79" s="39"/>
      <c r="H79" s="37"/>
      <c r="I79" s="37"/>
      <c r="J79" s="41" t="str">
        <f t="shared" si="24"/>
        <v/>
      </c>
      <c r="K79" s="12" t="str">
        <f t="shared" si="30"/>
        <v/>
      </c>
      <c r="L79" s="12" t="str">
        <f t="shared" si="31"/>
        <v/>
      </c>
      <c r="M79" s="12" t="str">
        <f t="shared" si="25"/>
        <v/>
      </c>
      <c r="N79" s="12" t="str">
        <f t="shared" si="26"/>
        <v/>
      </c>
      <c r="O79" s="12" t="str">
        <f t="shared" si="27"/>
        <v/>
      </c>
      <c r="P79" s="12" t="str">
        <f t="shared" si="28"/>
        <v/>
      </c>
      <c r="Q79" s="12" t="str">
        <f t="shared" si="32"/>
        <v/>
      </c>
      <c r="R79" s="26" t="str">
        <f t="shared" si="29"/>
        <v/>
      </c>
      <c r="S79" s="26" t="str">
        <f t="shared" si="38"/>
        <v/>
      </c>
      <c r="T79" s="26" t="str">
        <f t="shared" si="33"/>
        <v/>
      </c>
      <c r="U79" s="26" t="str">
        <f t="shared" si="34"/>
        <v/>
      </c>
      <c r="V79" s="26" t="str">
        <f t="shared" si="35"/>
        <v/>
      </c>
      <c r="W79" s="20" t="str">
        <f t="shared" si="36"/>
        <v/>
      </c>
      <c r="X79" s="20" t="str">
        <f t="shared" si="37"/>
        <v/>
      </c>
      <c r="Y79" s="86" t="str">
        <f t="shared" si="22"/>
        <v/>
      </c>
      <c r="Z79" s="31"/>
    </row>
    <row r="80" spans="2:26" outlineLevel="1">
      <c r="B80" s="14">
        <f t="shared" si="15"/>
        <v>77</v>
      </c>
      <c r="C80" s="37"/>
      <c r="D80" s="40"/>
      <c r="E80" s="39"/>
      <c r="F80" s="37"/>
      <c r="G80" s="39"/>
      <c r="H80" s="37"/>
      <c r="I80" s="37"/>
      <c r="J80" s="41" t="str">
        <f t="shared" si="24"/>
        <v/>
      </c>
      <c r="K80" s="12" t="str">
        <f t="shared" si="30"/>
        <v/>
      </c>
      <c r="L80" s="12" t="str">
        <f t="shared" si="31"/>
        <v/>
      </c>
      <c r="M80" s="12" t="str">
        <f t="shared" si="25"/>
        <v/>
      </c>
      <c r="N80" s="12" t="str">
        <f t="shared" si="26"/>
        <v/>
      </c>
      <c r="O80" s="12" t="str">
        <f t="shared" si="27"/>
        <v/>
      </c>
      <c r="P80" s="12" t="str">
        <f t="shared" si="28"/>
        <v/>
      </c>
      <c r="Q80" s="12" t="str">
        <f t="shared" si="32"/>
        <v/>
      </c>
      <c r="R80" s="26" t="str">
        <f t="shared" si="29"/>
        <v/>
      </c>
      <c r="S80" s="26" t="str">
        <f t="shared" si="38"/>
        <v/>
      </c>
      <c r="T80" s="26" t="str">
        <f t="shared" si="33"/>
        <v/>
      </c>
      <c r="U80" s="26" t="str">
        <f t="shared" si="34"/>
        <v/>
      </c>
      <c r="V80" s="26" t="str">
        <f t="shared" si="35"/>
        <v/>
      </c>
      <c r="W80" s="20" t="str">
        <f t="shared" si="36"/>
        <v/>
      </c>
      <c r="X80" s="20" t="str">
        <f t="shared" si="37"/>
        <v/>
      </c>
      <c r="Y80" s="86" t="str">
        <f t="shared" ref="Y80:Y143" si="39">IFERROR(+W80+X80,"")</f>
        <v/>
      </c>
      <c r="Z80" s="31"/>
    </row>
    <row r="81" spans="2:26" outlineLevel="1">
      <c r="B81" s="14">
        <f t="shared" si="15"/>
        <v>78</v>
      </c>
      <c r="C81" s="37"/>
      <c r="D81" s="40"/>
      <c r="E81" s="39"/>
      <c r="F81" s="37"/>
      <c r="G81" s="39"/>
      <c r="H81" s="37"/>
      <c r="I81" s="37"/>
      <c r="J81" s="41" t="str">
        <f t="shared" si="24"/>
        <v/>
      </c>
      <c r="K81" s="12" t="str">
        <f t="shared" si="30"/>
        <v/>
      </c>
      <c r="L81" s="12" t="str">
        <f t="shared" si="31"/>
        <v/>
      </c>
      <c r="M81" s="12" t="str">
        <f t="shared" si="25"/>
        <v/>
      </c>
      <c r="N81" s="12" t="str">
        <f t="shared" si="26"/>
        <v/>
      </c>
      <c r="O81" s="12" t="str">
        <f t="shared" si="27"/>
        <v/>
      </c>
      <c r="P81" s="12" t="str">
        <f t="shared" si="28"/>
        <v/>
      </c>
      <c r="Q81" s="12" t="str">
        <f t="shared" si="32"/>
        <v/>
      </c>
      <c r="R81" s="26" t="str">
        <f t="shared" si="29"/>
        <v/>
      </c>
      <c r="S81" s="26" t="str">
        <f t="shared" si="38"/>
        <v/>
      </c>
      <c r="T81" s="26" t="str">
        <f t="shared" si="33"/>
        <v/>
      </c>
      <c r="U81" s="26" t="str">
        <f t="shared" si="34"/>
        <v/>
      </c>
      <c r="V81" s="26" t="str">
        <f t="shared" si="35"/>
        <v/>
      </c>
      <c r="W81" s="20" t="str">
        <f t="shared" si="36"/>
        <v/>
      </c>
      <c r="X81" s="20" t="str">
        <f t="shared" si="37"/>
        <v/>
      </c>
      <c r="Y81" s="86" t="str">
        <f t="shared" si="39"/>
        <v/>
      </c>
      <c r="Z81" s="31"/>
    </row>
    <row r="82" spans="2:26" outlineLevel="1">
      <c r="B82" s="14">
        <f t="shared" si="15"/>
        <v>79</v>
      </c>
      <c r="C82" s="37"/>
      <c r="D82" s="40"/>
      <c r="E82" s="39"/>
      <c r="F82" s="37"/>
      <c r="G82" s="39"/>
      <c r="H82" s="37"/>
      <c r="I82" s="37"/>
      <c r="J82" s="41" t="str">
        <f t="shared" si="24"/>
        <v/>
      </c>
      <c r="K82" s="12" t="str">
        <f t="shared" si="30"/>
        <v/>
      </c>
      <c r="L82" s="12" t="str">
        <f t="shared" si="31"/>
        <v/>
      </c>
      <c r="M82" s="12" t="str">
        <f t="shared" si="25"/>
        <v/>
      </c>
      <c r="N82" s="12" t="str">
        <f t="shared" si="26"/>
        <v/>
      </c>
      <c r="O82" s="12" t="str">
        <f t="shared" si="27"/>
        <v/>
      </c>
      <c r="P82" s="12" t="str">
        <f t="shared" si="28"/>
        <v/>
      </c>
      <c r="Q82" s="12" t="str">
        <f t="shared" si="32"/>
        <v/>
      </c>
      <c r="R82" s="26" t="str">
        <f t="shared" si="29"/>
        <v/>
      </c>
      <c r="S82" s="26" t="str">
        <f t="shared" si="38"/>
        <v/>
      </c>
      <c r="T82" s="26" t="str">
        <f t="shared" si="33"/>
        <v/>
      </c>
      <c r="U82" s="26" t="str">
        <f t="shared" si="34"/>
        <v/>
      </c>
      <c r="V82" s="26" t="str">
        <f t="shared" si="35"/>
        <v/>
      </c>
      <c r="W82" s="20" t="str">
        <f t="shared" si="36"/>
        <v/>
      </c>
      <c r="X82" s="20" t="str">
        <f t="shared" si="37"/>
        <v/>
      </c>
      <c r="Y82" s="86" t="str">
        <f t="shared" si="39"/>
        <v/>
      </c>
      <c r="Z82" s="31"/>
    </row>
    <row r="83" spans="2:26" outlineLevel="1">
      <c r="B83" s="14">
        <f t="shared" si="15"/>
        <v>80</v>
      </c>
      <c r="C83" s="37"/>
      <c r="D83" s="40"/>
      <c r="E83" s="39"/>
      <c r="F83" s="37"/>
      <c r="G83" s="39"/>
      <c r="H83" s="37"/>
      <c r="I83" s="37"/>
      <c r="J83" s="41" t="str">
        <f t="shared" si="24"/>
        <v/>
      </c>
      <c r="K83" s="12" t="str">
        <f t="shared" si="30"/>
        <v/>
      </c>
      <c r="L83" s="12" t="str">
        <f t="shared" si="31"/>
        <v/>
      </c>
      <c r="M83" s="12" t="str">
        <f t="shared" si="25"/>
        <v/>
      </c>
      <c r="N83" s="12" t="str">
        <f t="shared" si="26"/>
        <v/>
      </c>
      <c r="O83" s="12" t="str">
        <f t="shared" si="27"/>
        <v/>
      </c>
      <c r="P83" s="12" t="str">
        <f t="shared" si="28"/>
        <v/>
      </c>
      <c r="Q83" s="12" t="str">
        <f t="shared" si="32"/>
        <v/>
      </c>
      <c r="R83" s="26" t="str">
        <f t="shared" si="29"/>
        <v/>
      </c>
      <c r="S83" s="26" t="str">
        <f t="shared" si="38"/>
        <v/>
      </c>
      <c r="T83" s="26" t="str">
        <f t="shared" si="33"/>
        <v/>
      </c>
      <c r="U83" s="26" t="str">
        <f t="shared" si="34"/>
        <v/>
      </c>
      <c r="V83" s="26" t="str">
        <f t="shared" si="35"/>
        <v/>
      </c>
      <c r="W83" s="20" t="str">
        <f t="shared" si="36"/>
        <v/>
      </c>
      <c r="X83" s="20" t="str">
        <f t="shared" si="37"/>
        <v/>
      </c>
      <c r="Y83" s="86" t="str">
        <f t="shared" si="39"/>
        <v/>
      </c>
      <c r="Z83" s="31"/>
    </row>
    <row r="84" spans="2:26" outlineLevel="1">
      <c r="B84" s="14">
        <f t="shared" si="15"/>
        <v>81</v>
      </c>
      <c r="C84" s="37"/>
      <c r="D84" s="40"/>
      <c r="E84" s="39"/>
      <c r="F84" s="37"/>
      <c r="G84" s="39"/>
      <c r="H84" s="37"/>
      <c r="I84" s="37"/>
      <c r="J84" s="41" t="str">
        <f t="shared" si="24"/>
        <v/>
      </c>
      <c r="K84" s="12" t="str">
        <f t="shared" si="30"/>
        <v/>
      </c>
      <c r="L84" s="12" t="str">
        <f t="shared" si="31"/>
        <v/>
      </c>
      <c r="M84" s="12" t="str">
        <f t="shared" si="25"/>
        <v/>
      </c>
      <c r="N84" s="12" t="str">
        <f t="shared" si="26"/>
        <v/>
      </c>
      <c r="O84" s="12" t="str">
        <f t="shared" si="27"/>
        <v/>
      </c>
      <c r="P84" s="12" t="str">
        <f t="shared" si="28"/>
        <v/>
      </c>
      <c r="Q84" s="12" t="str">
        <f t="shared" si="32"/>
        <v/>
      </c>
      <c r="R84" s="26" t="str">
        <f t="shared" si="29"/>
        <v/>
      </c>
      <c r="S84" s="26" t="str">
        <f t="shared" si="38"/>
        <v/>
      </c>
      <c r="T84" s="26" t="str">
        <f t="shared" si="33"/>
        <v/>
      </c>
      <c r="U84" s="26" t="str">
        <f t="shared" si="34"/>
        <v/>
      </c>
      <c r="V84" s="26" t="str">
        <f t="shared" si="35"/>
        <v/>
      </c>
      <c r="W84" s="20" t="str">
        <f t="shared" si="36"/>
        <v/>
      </c>
      <c r="X84" s="20" t="str">
        <f t="shared" si="37"/>
        <v/>
      </c>
      <c r="Y84" s="86" t="str">
        <f t="shared" si="39"/>
        <v/>
      </c>
      <c r="Z84" s="31"/>
    </row>
    <row r="85" spans="2:26" outlineLevel="1">
      <c r="B85" s="14">
        <f t="shared" si="15"/>
        <v>82</v>
      </c>
      <c r="C85" s="37"/>
      <c r="D85" s="40"/>
      <c r="E85" s="39"/>
      <c r="F85" s="37"/>
      <c r="G85" s="39"/>
      <c r="H85" s="37"/>
      <c r="I85" s="37"/>
      <c r="J85" s="41" t="str">
        <f t="shared" si="24"/>
        <v/>
      </c>
      <c r="K85" s="12" t="str">
        <f t="shared" si="30"/>
        <v/>
      </c>
      <c r="L85" s="12" t="str">
        <f t="shared" si="31"/>
        <v/>
      </c>
      <c r="M85" s="12" t="str">
        <f t="shared" si="25"/>
        <v/>
      </c>
      <c r="N85" s="12" t="str">
        <f t="shared" si="26"/>
        <v/>
      </c>
      <c r="O85" s="12" t="str">
        <f t="shared" si="27"/>
        <v/>
      </c>
      <c r="P85" s="12" t="str">
        <f t="shared" si="28"/>
        <v/>
      </c>
      <c r="Q85" s="12" t="str">
        <f t="shared" si="32"/>
        <v/>
      </c>
      <c r="R85" s="26" t="str">
        <f t="shared" si="29"/>
        <v/>
      </c>
      <c r="S85" s="26" t="str">
        <f t="shared" si="38"/>
        <v/>
      </c>
      <c r="T85" s="26" t="str">
        <f t="shared" si="33"/>
        <v/>
      </c>
      <c r="U85" s="26" t="str">
        <f t="shared" si="34"/>
        <v/>
      </c>
      <c r="V85" s="26" t="str">
        <f t="shared" si="35"/>
        <v/>
      </c>
      <c r="W85" s="20" t="str">
        <f t="shared" si="36"/>
        <v/>
      </c>
      <c r="X85" s="20" t="str">
        <f t="shared" si="37"/>
        <v/>
      </c>
      <c r="Y85" s="86" t="str">
        <f t="shared" si="39"/>
        <v/>
      </c>
      <c r="Z85" s="31"/>
    </row>
    <row r="86" spans="2:26" outlineLevel="1">
      <c r="B86" s="14">
        <f t="shared" si="15"/>
        <v>83</v>
      </c>
      <c r="C86" s="37"/>
      <c r="D86" s="40"/>
      <c r="E86" s="39"/>
      <c r="F86" s="37"/>
      <c r="G86" s="39"/>
      <c r="H86" s="37"/>
      <c r="I86" s="37"/>
      <c r="J86" s="41" t="str">
        <f t="shared" si="24"/>
        <v/>
      </c>
      <c r="K86" s="12" t="str">
        <f t="shared" si="30"/>
        <v/>
      </c>
      <c r="L86" s="12" t="str">
        <f t="shared" si="31"/>
        <v/>
      </c>
      <c r="M86" s="12" t="str">
        <f t="shared" si="25"/>
        <v/>
      </c>
      <c r="N86" s="12" t="str">
        <f t="shared" si="26"/>
        <v/>
      </c>
      <c r="O86" s="12" t="str">
        <f t="shared" si="27"/>
        <v/>
      </c>
      <c r="P86" s="12" t="str">
        <f t="shared" si="28"/>
        <v/>
      </c>
      <c r="Q86" s="12" t="str">
        <f t="shared" si="32"/>
        <v/>
      </c>
      <c r="R86" s="26" t="str">
        <f t="shared" si="29"/>
        <v/>
      </c>
      <c r="S86" s="26" t="str">
        <f t="shared" si="38"/>
        <v/>
      </c>
      <c r="T86" s="26" t="str">
        <f t="shared" si="33"/>
        <v/>
      </c>
      <c r="U86" s="26" t="str">
        <f t="shared" si="34"/>
        <v/>
      </c>
      <c r="V86" s="26" t="str">
        <f t="shared" si="35"/>
        <v/>
      </c>
      <c r="W86" s="20" t="str">
        <f t="shared" si="36"/>
        <v/>
      </c>
      <c r="X86" s="20" t="str">
        <f t="shared" si="37"/>
        <v/>
      </c>
      <c r="Y86" s="86" t="str">
        <f t="shared" si="39"/>
        <v/>
      </c>
      <c r="Z86" s="31"/>
    </row>
    <row r="87" spans="2:26" outlineLevel="1">
      <c r="B87" s="14">
        <f t="shared" si="15"/>
        <v>84</v>
      </c>
      <c r="C87" s="37"/>
      <c r="D87" s="40"/>
      <c r="E87" s="39"/>
      <c r="F87" s="37"/>
      <c r="G87" s="39"/>
      <c r="H87" s="37"/>
      <c r="I87" s="37"/>
      <c r="J87" s="41" t="str">
        <f t="shared" si="24"/>
        <v/>
      </c>
      <c r="K87" s="12" t="str">
        <f t="shared" si="30"/>
        <v/>
      </c>
      <c r="L87" s="12" t="str">
        <f t="shared" si="31"/>
        <v/>
      </c>
      <c r="M87" s="12" t="str">
        <f t="shared" si="25"/>
        <v/>
      </c>
      <c r="N87" s="12" t="str">
        <f t="shared" si="26"/>
        <v/>
      </c>
      <c r="O87" s="12" t="str">
        <f t="shared" si="27"/>
        <v/>
      </c>
      <c r="P87" s="12" t="str">
        <f t="shared" si="28"/>
        <v/>
      </c>
      <c r="Q87" s="12" t="str">
        <f t="shared" si="32"/>
        <v/>
      </c>
      <c r="R87" s="26" t="str">
        <f t="shared" si="29"/>
        <v/>
      </c>
      <c r="S87" s="26" t="str">
        <f t="shared" si="38"/>
        <v/>
      </c>
      <c r="T87" s="26" t="str">
        <f t="shared" si="33"/>
        <v/>
      </c>
      <c r="U87" s="26" t="str">
        <f t="shared" si="34"/>
        <v/>
      </c>
      <c r="V87" s="26" t="str">
        <f t="shared" si="35"/>
        <v/>
      </c>
      <c r="W87" s="20" t="str">
        <f t="shared" si="36"/>
        <v/>
      </c>
      <c r="X87" s="20" t="str">
        <f t="shared" si="37"/>
        <v/>
      </c>
      <c r="Y87" s="86" t="str">
        <f t="shared" si="39"/>
        <v/>
      </c>
      <c r="Z87" s="31"/>
    </row>
    <row r="88" spans="2:26" outlineLevel="1">
      <c r="B88" s="14">
        <f t="shared" si="15"/>
        <v>85</v>
      </c>
      <c r="C88" s="37"/>
      <c r="D88" s="40"/>
      <c r="E88" s="39"/>
      <c r="F88" s="37"/>
      <c r="G88" s="39"/>
      <c r="H88" s="37"/>
      <c r="I88" s="37"/>
      <c r="J88" s="41" t="str">
        <f t="shared" si="24"/>
        <v/>
      </c>
      <c r="K88" s="12" t="str">
        <f t="shared" si="30"/>
        <v/>
      </c>
      <c r="L88" s="12" t="str">
        <f t="shared" si="31"/>
        <v/>
      </c>
      <c r="M88" s="12" t="str">
        <f t="shared" si="25"/>
        <v/>
      </c>
      <c r="N88" s="12" t="str">
        <f t="shared" si="26"/>
        <v/>
      </c>
      <c r="O88" s="12" t="str">
        <f t="shared" si="27"/>
        <v/>
      </c>
      <c r="P88" s="12" t="str">
        <f t="shared" si="28"/>
        <v/>
      </c>
      <c r="Q88" s="12" t="str">
        <f t="shared" si="32"/>
        <v/>
      </c>
      <c r="R88" s="26" t="str">
        <f t="shared" si="29"/>
        <v/>
      </c>
      <c r="S88" s="26" t="str">
        <f t="shared" si="38"/>
        <v/>
      </c>
      <c r="T88" s="26" t="str">
        <f t="shared" si="33"/>
        <v/>
      </c>
      <c r="U88" s="26" t="str">
        <f t="shared" si="34"/>
        <v/>
      </c>
      <c r="V88" s="26" t="str">
        <f t="shared" si="35"/>
        <v/>
      </c>
      <c r="W88" s="20" t="str">
        <f t="shared" si="36"/>
        <v/>
      </c>
      <c r="X88" s="20" t="str">
        <f t="shared" si="37"/>
        <v/>
      </c>
      <c r="Y88" s="86" t="str">
        <f t="shared" si="39"/>
        <v/>
      </c>
      <c r="Z88" s="31"/>
    </row>
    <row r="89" spans="2:26" outlineLevel="1">
      <c r="B89" s="14">
        <f t="shared" si="15"/>
        <v>86</v>
      </c>
      <c r="C89" s="37"/>
      <c r="D89" s="40"/>
      <c r="E89" s="39"/>
      <c r="F89" s="37"/>
      <c r="G89" s="39"/>
      <c r="H89" s="37"/>
      <c r="I89" s="37"/>
      <c r="J89" s="41" t="str">
        <f t="shared" si="24"/>
        <v/>
      </c>
      <c r="K89" s="12" t="str">
        <f t="shared" si="30"/>
        <v/>
      </c>
      <c r="L89" s="12" t="str">
        <f t="shared" si="31"/>
        <v/>
      </c>
      <c r="M89" s="12" t="str">
        <f t="shared" si="25"/>
        <v/>
      </c>
      <c r="N89" s="12" t="str">
        <f t="shared" si="26"/>
        <v/>
      </c>
      <c r="O89" s="12" t="str">
        <f t="shared" si="27"/>
        <v/>
      </c>
      <c r="P89" s="12" t="str">
        <f t="shared" si="28"/>
        <v/>
      </c>
      <c r="Q89" s="12" t="str">
        <f t="shared" si="32"/>
        <v/>
      </c>
      <c r="R89" s="26" t="str">
        <f t="shared" si="29"/>
        <v/>
      </c>
      <c r="S89" s="26" t="str">
        <f t="shared" si="38"/>
        <v/>
      </c>
      <c r="T89" s="26" t="str">
        <f t="shared" si="33"/>
        <v/>
      </c>
      <c r="U89" s="26" t="str">
        <f t="shared" si="34"/>
        <v/>
      </c>
      <c r="V89" s="26" t="str">
        <f t="shared" si="35"/>
        <v/>
      </c>
      <c r="W89" s="20" t="str">
        <f t="shared" si="36"/>
        <v/>
      </c>
      <c r="X89" s="20" t="str">
        <f t="shared" si="37"/>
        <v/>
      </c>
      <c r="Y89" s="86" t="str">
        <f t="shared" si="39"/>
        <v/>
      </c>
      <c r="Z89" s="31"/>
    </row>
    <row r="90" spans="2:26" outlineLevel="1">
      <c r="B90" s="14">
        <f t="shared" si="15"/>
        <v>87</v>
      </c>
      <c r="C90" s="37"/>
      <c r="D90" s="40"/>
      <c r="E90" s="39"/>
      <c r="F90" s="37"/>
      <c r="G90" s="39"/>
      <c r="H90" s="37"/>
      <c r="I90" s="37"/>
      <c r="J90" s="41" t="str">
        <f t="shared" si="24"/>
        <v/>
      </c>
      <c r="K90" s="12" t="str">
        <f t="shared" si="30"/>
        <v/>
      </c>
      <c r="L90" s="12" t="str">
        <f t="shared" si="31"/>
        <v/>
      </c>
      <c r="M90" s="12" t="str">
        <f t="shared" si="25"/>
        <v/>
      </c>
      <c r="N90" s="12" t="str">
        <f t="shared" si="26"/>
        <v/>
      </c>
      <c r="O90" s="12" t="str">
        <f t="shared" si="27"/>
        <v/>
      </c>
      <c r="P90" s="12" t="str">
        <f t="shared" si="28"/>
        <v/>
      </c>
      <c r="Q90" s="12" t="str">
        <f t="shared" si="32"/>
        <v/>
      </c>
      <c r="R90" s="26" t="str">
        <f t="shared" si="29"/>
        <v/>
      </c>
      <c r="S90" s="26" t="str">
        <f t="shared" si="38"/>
        <v/>
      </c>
      <c r="T90" s="26" t="str">
        <f t="shared" si="33"/>
        <v/>
      </c>
      <c r="U90" s="26" t="str">
        <f t="shared" si="34"/>
        <v/>
      </c>
      <c r="V90" s="26" t="str">
        <f t="shared" si="35"/>
        <v/>
      </c>
      <c r="W90" s="20" t="str">
        <f t="shared" si="36"/>
        <v/>
      </c>
      <c r="X90" s="20" t="str">
        <f t="shared" si="37"/>
        <v/>
      </c>
      <c r="Y90" s="86" t="str">
        <f t="shared" si="39"/>
        <v/>
      </c>
      <c r="Z90" s="31"/>
    </row>
    <row r="91" spans="2:26" outlineLevel="1">
      <c r="B91" s="14">
        <f t="shared" si="15"/>
        <v>88</v>
      </c>
      <c r="C91" s="37"/>
      <c r="D91" s="40"/>
      <c r="E91" s="39"/>
      <c r="F91" s="37"/>
      <c r="G91" s="39"/>
      <c r="H91" s="37"/>
      <c r="I91" s="37"/>
      <c r="J91" s="41" t="str">
        <f t="shared" si="24"/>
        <v/>
      </c>
      <c r="K91" s="12" t="str">
        <f t="shared" si="30"/>
        <v/>
      </c>
      <c r="L91" s="12" t="str">
        <f t="shared" si="31"/>
        <v/>
      </c>
      <c r="M91" s="12" t="str">
        <f t="shared" si="25"/>
        <v/>
      </c>
      <c r="N91" s="12" t="str">
        <f t="shared" si="26"/>
        <v/>
      </c>
      <c r="O91" s="12" t="str">
        <f t="shared" si="27"/>
        <v/>
      </c>
      <c r="P91" s="12" t="str">
        <f t="shared" si="28"/>
        <v/>
      </c>
      <c r="Q91" s="12" t="str">
        <f t="shared" si="32"/>
        <v/>
      </c>
      <c r="R91" s="26" t="str">
        <f t="shared" si="29"/>
        <v/>
      </c>
      <c r="S91" s="26" t="str">
        <f t="shared" si="38"/>
        <v/>
      </c>
      <c r="T91" s="26" t="str">
        <f t="shared" si="33"/>
        <v/>
      </c>
      <c r="U91" s="26" t="str">
        <f t="shared" si="34"/>
        <v/>
      </c>
      <c r="V91" s="26" t="str">
        <f t="shared" si="35"/>
        <v/>
      </c>
      <c r="W91" s="20" t="str">
        <f t="shared" si="36"/>
        <v/>
      </c>
      <c r="X91" s="20" t="str">
        <f t="shared" si="37"/>
        <v/>
      </c>
      <c r="Y91" s="86" t="str">
        <f t="shared" si="39"/>
        <v/>
      </c>
      <c r="Z91" s="31"/>
    </row>
    <row r="92" spans="2:26" outlineLevel="1">
      <c r="B92" s="14">
        <f t="shared" si="15"/>
        <v>89</v>
      </c>
      <c r="C92" s="37"/>
      <c r="D92" s="40"/>
      <c r="E92" s="39"/>
      <c r="F92" s="37"/>
      <c r="G92" s="39"/>
      <c r="H92" s="37"/>
      <c r="I92" s="37"/>
      <c r="J92" s="41" t="str">
        <f t="shared" si="24"/>
        <v/>
      </c>
      <c r="K92" s="12" t="str">
        <f t="shared" si="30"/>
        <v/>
      </c>
      <c r="L92" s="12" t="str">
        <f t="shared" si="31"/>
        <v/>
      </c>
      <c r="M92" s="12" t="str">
        <f t="shared" si="25"/>
        <v/>
      </c>
      <c r="N92" s="12" t="str">
        <f t="shared" si="26"/>
        <v/>
      </c>
      <c r="O92" s="12" t="str">
        <f t="shared" si="27"/>
        <v/>
      </c>
      <c r="P92" s="12" t="str">
        <f t="shared" si="28"/>
        <v/>
      </c>
      <c r="Q92" s="12" t="str">
        <f t="shared" si="32"/>
        <v/>
      </c>
      <c r="R92" s="26" t="str">
        <f t="shared" si="29"/>
        <v/>
      </c>
      <c r="S92" s="26" t="str">
        <f t="shared" si="38"/>
        <v/>
      </c>
      <c r="T92" s="26" t="str">
        <f t="shared" si="33"/>
        <v/>
      </c>
      <c r="U92" s="26" t="str">
        <f t="shared" si="34"/>
        <v/>
      </c>
      <c r="V92" s="26" t="str">
        <f t="shared" si="35"/>
        <v/>
      </c>
      <c r="W92" s="20" t="str">
        <f t="shared" si="36"/>
        <v/>
      </c>
      <c r="X92" s="20" t="str">
        <f t="shared" si="37"/>
        <v/>
      </c>
      <c r="Y92" s="86" t="str">
        <f t="shared" si="39"/>
        <v/>
      </c>
      <c r="Z92" s="31"/>
    </row>
    <row r="93" spans="2:26" outlineLevel="1">
      <c r="B93" s="14">
        <f t="shared" si="15"/>
        <v>90</v>
      </c>
      <c r="C93" s="37"/>
      <c r="D93" s="40"/>
      <c r="E93" s="39"/>
      <c r="F93" s="37"/>
      <c r="G93" s="39"/>
      <c r="H93" s="37"/>
      <c r="I93" s="37"/>
      <c r="J93" s="41" t="str">
        <f t="shared" si="24"/>
        <v/>
      </c>
      <c r="K93" s="12" t="str">
        <f t="shared" si="30"/>
        <v/>
      </c>
      <c r="L93" s="12" t="str">
        <f t="shared" si="31"/>
        <v/>
      </c>
      <c r="M93" s="12" t="str">
        <f t="shared" si="25"/>
        <v/>
      </c>
      <c r="N93" s="12" t="str">
        <f t="shared" si="26"/>
        <v/>
      </c>
      <c r="O93" s="12" t="str">
        <f t="shared" si="27"/>
        <v/>
      </c>
      <c r="P93" s="12" t="str">
        <f t="shared" si="28"/>
        <v/>
      </c>
      <c r="Q93" s="12" t="str">
        <f t="shared" si="32"/>
        <v/>
      </c>
      <c r="R93" s="26" t="str">
        <f t="shared" si="29"/>
        <v/>
      </c>
      <c r="S93" s="26" t="str">
        <f t="shared" si="38"/>
        <v/>
      </c>
      <c r="T93" s="26" t="str">
        <f t="shared" si="33"/>
        <v/>
      </c>
      <c r="U93" s="26" t="str">
        <f t="shared" si="34"/>
        <v/>
      </c>
      <c r="V93" s="26" t="str">
        <f t="shared" si="35"/>
        <v/>
      </c>
      <c r="W93" s="20" t="str">
        <f t="shared" si="36"/>
        <v/>
      </c>
      <c r="X93" s="20" t="str">
        <f t="shared" si="37"/>
        <v/>
      </c>
      <c r="Y93" s="86" t="str">
        <f t="shared" si="39"/>
        <v/>
      </c>
      <c r="Z93" s="31"/>
    </row>
    <row r="94" spans="2:26" outlineLevel="1">
      <c r="B94" s="14">
        <f t="shared" si="15"/>
        <v>91</v>
      </c>
      <c r="C94" s="37"/>
      <c r="D94" s="40"/>
      <c r="E94" s="39"/>
      <c r="F94" s="37"/>
      <c r="G94" s="39"/>
      <c r="H94" s="37"/>
      <c r="I94" s="37"/>
      <c r="J94" s="41" t="str">
        <f t="shared" si="24"/>
        <v/>
      </c>
      <c r="K94" s="12" t="str">
        <f t="shared" si="30"/>
        <v/>
      </c>
      <c r="L94" s="12" t="str">
        <f t="shared" si="31"/>
        <v/>
      </c>
      <c r="M94" s="12" t="str">
        <f t="shared" si="25"/>
        <v/>
      </c>
      <c r="N94" s="12" t="str">
        <f t="shared" si="26"/>
        <v/>
      </c>
      <c r="O94" s="12" t="str">
        <f t="shared" si="27"/>
        <v/>
      </c>
      <c r="P94" s="12" t="str">
        <f t="shared" si="28"/>
        <v/>
      </c>
      <c r="Q94" s="12" t="str">
        <f t="shared" si="32"/>
        <v/>
      </c>
      <c r="R94" s="26" t="str">
        <f t="shared" si="29"/>
        <v/>
      </c>
      <c r="S94" s="26" t="str">
        <f t="shared" si="38"/>
        <v/>
      </c>
      <c r="T94" s="26" t="str">
        <f t="shared" si="33"/>
        <v/>
      </c>
      <c r="U94" s="26" t="str">
        <f t="shared" si="34"/>
        <v/>
      </c>
      <c r="V94" s="26" t="str">
        <f t="shared" si="35"/>
        <v/>
      </c>
      <c r="W94" s="20" t="str">
        <f t="shared" si="36"/>
        <v/>
      </c>
      <c r="X94" s="20" t="str">
        <f t="shared" si="37"/>
        <v/>
      </c>
      <c r="Y94" s="86" t="str">
        <f t="shared" si="39"/>
        <v/>
      </c>
      <c r="Z94" s="31"/>
    </row>
    <row r="95" spans="2:26" outlineLevel="1">
      <c r="B95" s="14">
        <f t="shared" si="15"/>
        <v>92</v>
      </c>
      <c r="C95" s="37"/>
      <c r="D95" s="40"/>
      <c r="E95" s="39"/>
      <c r="F95" s="37"/>
      <c r="G95" s="39"/>
      <c r="H95" s="37"/>
      <c r="I95" s="37"/>
      <c r="J95" s="41" t="str">
        <f t="shared" si="24"/>
        <v/>
      </c>
      <c r="K95" s="12" t="str">
        <f t="shared" si="30"/>
        <v/>
      </c>
      <c r="L95" s="12" t="str">
        <f t="shared" si="31"/>
        <v/>
      </c>
      <c r="M95" s="12" t="str">
        <f t="shared" si="25"/>
        <v/>
      </c>
      <c r="N95" s="12" t="str">
        <f t="shared" si="26"/>
        <v/>
      </c>
      <c r="O95" s="12" t="str">
        <f t="shared" si="27"/>
        <v/>
      </c>
      <c r="P95" s="12" t="str">
        <f t="shared" si="28"/>
        <v/>
      </c>
      <c r="Q95" s="12" t="str">
        <f t="shared" si="32"/>
        <v/>
      </c>
      <c r="R95" s="26" t="str">
        <f t="shared" si="29"/>
        <v/>
      </c>
      <c r="S95" s="26" t="str">
        <f t="shared" si="38"/>
        <v/>
      </c>
      <c r="T95" s="26" t="str">
        <f t="shared" si="33"/>
        <v/>
      </c>
      <c r="U95" s="26" t="str">
        <f t="shared" si="34"/>
        <v/>
      </c>
      <c r="V95" s="26" t="str">
        <f t="shared" si="35"/>
        <v/>
      </c>
      <c r="W95" s="20" t="str">
        <f t="shared" si="36"/>
        <v/>
      </c>
      <c r="X95" s="20" t="str">
        <f t="shared" si="37"/>
        <v/>
      </c>
      <c r="Y95" s="86" t="str">
        <f t="shared" si="39"/>
        <v/>
      </c>
      <c r="Z95" s="31"/>
    </row>
    <row r="96" spans="2:26" outlineLevel="1">
      <c r="B96" s="14">
        <f t="shared" si="15"/>
        <v>93</v>
      </c>
      <c r="C96" s="37"/>
      <c r="D96" s="40"/>
      <c r="E96" s="39"/>
      <c r="F96" s="37"/>
      <c r="G96" s="39"/>
      <c r="H96" s="37"/>
      <c r="I96" s="37"/>
      <c r="J96" s="41" t="str">
        <f t="shared" si="24"/>
        <v/>
      </c>
      <c r="K96" s="12" t="str">
        <f t="shared" si="30"/>
        <v/>
      </c>
      <c r="L96" s="12" t="str">
        <f t="shared" si="31"/>
        <v/>
      </c>
      <c r="M96" s="12" t="str">
        <f t="shared" si="25"/>
        <v/>
      </c>
      <c r="N96" s="12" t="str">
        <f t="shared" si="26"/>
        <v/>
      </c>
      <c r="O96" s="12" t="str">
        <f t="shared" si="27"/>
        <v/>
      </c>
      <c r="P96" s="12" t="str">
        <f t="shared" si="28"/>
        <v/>
      </c>
      <c r="Q96" s="12" t="str">
        <f t="shared" si="32"/>
        <v/>
      </c>
      <c r="R96" s="26" t="str">
        <f t="shared" si="29"/>
        <v/>
      </c>
      <c r="S96" s="26" t="str">
        <f t="shared" si="38"/>
        <v/>
      </c>
      <c r="T96" s="26" t="str">
        <f t="shared" si="33"/>
        <v/>
      </c>
      <c r="U96" s="26" t="str">
        <f t="shared" si="34"/>
        <v/>
      </c>
      <c r="V96" s="26" t="str">
        <f t="shared" si="35"/>
        <v/>
      </c>
      <c r="W96" s="20" t="str">
        <f t="shared" si="36"/>
        <v/>
      </c>
      <c r="X96" s="20" t="str">
        <f t="shared" si="37"/>
        <v/>
      </c>
      <c r="Y96" s="86" t="str">
        <f t="shared" si="39"/>
        <v/>
      </c>
      <c r="Z96" s="31"/>
    </row>
    <row r="97" spans="2:26" outlineLevel="1">
      <c r="B97" s="14">
        <f t="shared" si="15"/>
        <v>94</v>
      </c>
      <c r="C97" s="37"/>
      <c r="D97" s="40"/>
      <c r="E97" s="39"/>
      <c r="F97" s="37"/>
      <c r="G97" s="39"/>
      <c r="H97" s="37"/>
      <c r="I97" s="37"/>
      <c r="J97" s="41" t="str">
        <f t="shared" si="24"/>
        <v/>
      </c>
      <c r="K97" s="12" t="str">
        <f t="shared" si="30"/>
        <v/>
      </c>
      <c r="L97" s="12" t="str">
        <f t="shared" si="31"/>
        <v/>
      </c>
      <c r="M97" s="12" t="str">
        <f t="shared" si="25"/>
        <v/>
      </c>
      <c r="N97" s="12" t="str">
        <f t="shared" si="26"/>
        <v/>
      </c>
      <c r="O97" s="12" t="str">
        <f t="shared" si="27"/>
        <v/>
      </c>
      <c r="P97" s="12" t="str">
        <f t="shared" si="28"/>
        <v/>
      </c>
      <c r="Q97" s="12" t="str">
        <f t="shared" si="32"/>
        <v/>
      </c>
      <c r="R97" s="26" t="str">
        <f t="shared" si="29"/>
        <v/>
      </c>
      <c r="S97" s="26" t="str">
        <f t="shared" si="38"/>
        <v/>
      </c>
      <c r="T97" s="26" t="str">
        <f t="shared" si="33"/>
        <v/>
      </c>
      <c r="U97" s="26" t="str">
        <f t="shared" si="34"/>
        <v/>
      </c>
      <c r="V97" s="26" t="str">
        <f t="shared" si="35"/>
        <v/>
      </c>
      <c r="W97" s="20" t="str">
        <f t="shared" si="36"/>
        <v/>
      </c>
      <c r="X97" s="20" t="str">
        <f t="shared" si="37"/>
        <v/>
      </c>
      <c r="Y97" s="86" t="str">
        <f t="shared" si="39"/>
        <v/>
      </c>
      <c r="Z97" s="31"/>
    </row>
    <row r="98" spans="2:26" outlineLevel="1">
      <c r="B98" s="14">
        <f t="shared" si="15"/>
        <v>95</v>
      </c>
      <c r="C98" s="37"/>
      <c r="D98" s="40"/>
      <c r="E98" s="39"/>
      <c r="F98" s="37"/>
      <c r="G98" s="39"/>
      <c r="H98" s="37"/>
      <c r="I98" s="37"/>
      <c r="J98" s="41" t="str">
        <f t="shared" si="24"/>
        <v/>
      </c>
      <c r="K98" s="12" t="str">
        <f t="shared" si="30"/>
        <v/>
      </c>
      <c r="L98" s="12" t="str">
        <f t="shared" si="31"/>
        <v/>
      </c>
      <c r="M98" s="12" t="str">
        <f t="shared" si="25"/>
        <v/>
      </c>
      <c r="N98" s="12" t="str">
        <f t="shared" si="26"/>
        <v/>
      </c>
      <c r="O98" s="12" t="str">
        <f t="shared" si="27"/>
        <v/>
      </c>
      <c r="P98" s="12" t="str">
        <f t="shared" si="28"/>
        <v/>
      </c>
      <c r="Q98" s="12" t="str">
        <f t="shared" si="32"/>
        <v/>
      </c>
      <c r="R98" s="26" t="str">
        <f t="shared" si="29"/>
        <v/>
      </c>
      <c r="S98" s="26" t="str">
        <f t="shared" si="38"/>
        <v/>
      </c>
      <c r="T98" s="26" t="str">
        <f t="shared" si="33"/>
        <v/>
      </c>
      <c r="U98" s="26" t="str">
        <f t="shared" si="34"/>
        <v/>
      </c>
      <c r="V98" s="26" t="str">
        <f t="shared" si="35"/>
        <v/>
      </c>
      <c r="W98" s="20" t="str">
        <f t="shared" si="36"/>
        <v/>
      </c>
      <c r="X98" s="20" t="str">
        <f t="shared" si="37"/>
        <v/>
      </c>
      <c r="Y98" s="86" t="str">
        <f t="shared" si="39"/>
        <v/>
      </c>
      <c r="Z98" s="31"/>
    </row>
    <row r="99" spans="2:26" outlineLevel="1">
      <c r="B99" s="14">
        <f t="shared" si="15"/>
        <v>96</v>
      </c>
      <c r="C99" s="37"/>
      <c r="D99" s="40"/>
      <c r="E99" s="39"/>
      <c r="F99" s="37"/>
      <c r="G99" s="39"/>
      <c r="H99" s="37"/>
      <c r="I99" s="37"/>
      <c r="J99" s="41" t="str">
        <f t="shared" si="24"/>
        <v/>
      </c>
      <c r="K99" s="12" t="str">
        <f t="shared" si="30"/>
        <v/>
      </c>
      <c r="L99" s="12" t="str">
        <f t="shared" si="31"/>
        <v/>
      </c>
      <c r="M99" s="12" t="str">
        <f t="shared" si="25"/>
        <v/>
      </c>
      <c r="N99" s="12" t="str">
        <f t="shared" si="26"/>
        <v/>
      </c>
      <c r="O99" s="12" t="str">
        <f t="shared" si="27"/>
        <v/>
      </c>
      <c r="P99" s="12" t="str">
        <f t="shared" si="28"/>
        <v/>
      </c>
      <c r="Q99" s="12" t="str">
        <f t="shared" si="32"/>
        <v/>
      </c>
      <c r="R99" s="26" t="str">
        <f t="shared" si="29"/>
        <v/>
      </c>
      <c r="S99" s="26" t="str">
        <f t="shared" si="38"/>
        <v/>
      </c>
      <c r="T99" s="26" t="str">
        <f t="shared" si="33"/>
        <v/>
      </c>
      <c r="U99" s="26" t="str">
        <f t="shared" si="34"/>
        <v/>
      </c>
      <c r="V99" s="26" t="str">
        <f t="shared" si="35"/>
        <v/>
      </c>
      <c r="W99" s="20" t="str">
        <f t="shared" si="36"/>
        <v/>
      </c>
      <c r="X99" s="20" t="str">
        <f t="shared" si="37"/>
        <v/>
      </c>
      <c r="Y99" s="86" t="str">
        <f t="shared" si="39"/>
        <v/>
      </c>
      <c r="Z99" s="31"/>
    </row>
    <row r="100" spans="2:26" outlineLevel="1">
      <c r="B100" s="14">
        <f t="shared" si="15"/>
        <v>97</v>
      </c>
      <c r="C100" s="37"/>
      <c r="D100" s="40"/>
      <c r="E100" s="39"/>
      <c r="F100" s="37"/>
      <c r="G100" s="39"/>
      <c r="H100" s="37"/>
      <c r="I100" s="37"/>
      <c r="J100" s="41" t="str">
        <f t="shared" si="24"/>
        <v/>
      </c>
      <c r="K100" s="12" t="str">
        <f t="shared" si="30"/>
        <v/>
      </c>
      <c r="L100" s="12" t="str">
        <f t="shared" si="31"/>
        <v/>
      </c>
      <c r="M100" s="12" t="str">
        <f t="shared" si="25"/>
        <v/>
      </c>
      <c r="N100" s="12" t="str">
        <f t="shared" si="26"/>
        <v/>
      </c>
      <c r="O100" s="12" t="str">
        <f t="shared" si="27"/>
        <v/>
      </c>
      <c r="P100" s="12" t="str">
        <f t="shared" si="28"/>
        <v/>
      </c>
      <c r="Q100" s="12" t="str">
        <f t="shared" si="32"/>
        <v/>
      </c>
      <c r="R100" s="26" t="str">
        <f t="shared" si="29"/>
        <v/>
      </c>
      <c r="S100" s="26" t="str">
        <f t="shared" si="38"/>
        <v/>
      </c>
      <c r="T100" s="26" t="str">
        <f t="shared" si="33"/>
        <v/>
      </c>
      <c r="U100" s="26" t="str">
        <f t="shared" si="34"/>
        <v/>
      </c>
      <c r="V100" s="26" t="str">
        <f t="shared" si="35"/>
        <v/>
      </c>
      <c r="W100" s="20" t="str">
        <f t="shared" si="36"/>
        <v/>
      </c>
      <c r="X100" s="20" t="str">
        <f t="shared" si="37"/>
        <v/>
      </c>
      <c r="Y100" s="86" t="str">
        <f t="shared" si="39"/>
        <v/>
      </c>
      <c r="Z100" s="31"/>
    </row>
    <row r="101" spans="2:26" outlineLevel="1">
      <c r="B101" s="14">
        <f t="shared" si="15"/>
        <v>98</v>
      </c>
      <c r="C101" s="37"/>
      <c r="D101" s="40"/>
      <c r="E101" s="39"/>
      <c r="F101" s="37"/>
      <c r="G101" s="39"/>
      <c r="H101" s="37"/>
      <c r="I101" s="37"/>
      <c r="J101" s="41" t="str">
        <f t="shared" si="24"/>
        <v/>
      </c>
      <c r="K101" s="12" t="str">
        <f t="shared" si="30"/>
        <v/>
      </c>
      <c r="L101" s="12" t="str">
        <f t="shared" si="31"/>
        <v/>
      </c>
      <c r="M101" s="12" t="str">
        <f t="shared" si="25"/>
        <v/>
      </c>
      <c r="N101" s="12" t="str">
        <f t="shared" si="26"/>
        <v/>
      </c>
      <c r="O101" s="12" t="str">
        <f t="shared" si="27"/>
        <v/>
      </c>
      <c r="P101" s="12" t="str">
        <f t="shared" si="28"/>
        <v/>
      </c>
      <c r="Q101" s="12" t="str">
        <f t="shared" si="32"/>
        <v/>
      </c>
      <c r="R101" s="26" t="str">
        <f t="shared" si="29"/>
        <v/>
      </c>
      <c r="S101" s="26" t="str">
        <f t="shared" si="38"/>
        <v/>
      </c>
      <c r="T101" s="26" t="str">
        <f t="shared" si="33"/>
        <v/>
      </c>
      <c r="U101" s="26" t="str">
        <f t="shared" si="34"/>
        <v/>
      </c>
      <c r="V101" s="26" t="str">
        <f t="shared" si="35"/>
        <v/>
      </c>
      <c r="W101" s="20" t="str">
        <f t="shared" si="36"/>
        <v/>
      </c>
      <c r="X101" s="20" t="str">
        <f t="shared" si="37"/>
        <v/>
      </c>
      <c r="Y101" s="86" t="str">
        <f t="shared" si="39"/>
        <v/>
      </c>
      <c r="Z101" s="31"/>
    </row>
    <row r="102" spans="2:26" outlineLevel="1">
      <c r="B102" s="14">
        <f t="shared" si="15"/>
        <v>99</v>
      </c>
      <c r="C102" s="37"/>
      <c r="D102" s="40"/>
      <c r="E102" s="39"/>
      <c r="F102" s="37"/>
      <c r="G102" s="39"/>
      <c r="H102" s="37"/>
      <c r="I102" s="37"/>
      <c r="J102" s="41" t="str">
        <f t="shared" si="24"/>
        <v/>
      </c>
      <c r="K102" s="12" t="str">
        <f t="shared" si="30"/>
        <v/>
      </c>
      <c r="L102" s="12" t="str">
        <f t="shared" si="31"/>
        <v/>
      </c>
      <c r="M102" s="12" t="str">
        <f t="shared" si="25"/>
        <v/>
      </c>
      <c r="N102" s="12" t="str">
        <f t="shared" si="26"/>
        <v/>
      </c>
      <c r="O102" s="12" t="str">
        <f t="shared" si="27"/>
        <v/>
      </c>
      <c r="P102" s="12" t="str">
        <f t="shared" si="28"/>
        <v/>
      </c>
      <c r="Q102" s="12" t="str">
        <f t="shared" si="32"/>
        <v/>
      </c>
      <c r="R102" s="26" t="str">
        <f t="shared" si="29"/>
        <v/>
      </c>
      <c r="S102" s="26" t="str">
        <f t="shared" si="38"/>
        <v/>
      </c>
      <c r="T102" s="26" t="str">
        <f t="shared" si="33"/>
        <v/>
      </c>
      <c r="U102" s="26" t="str">
        <f t="shared" si="34"/>
        <v/>
      </c>
      <c r="V102" s="26" t="str">
        <f t="shared" si="35"/>
        <v/>
      </c>
      <c r="W102" s="20" t="str">
        <f t="shared" si="36"/>
        <v/>
      </c>
      <c r="X102" s="20" t="str">
        <f t="shared" si="37"/>
        <v/>
      </c>
      <c r="Y102" s="86" t="str">
        <f t="shared" si="39"/>
        <v/>
      </c>
      <c r="Z102" s="31"/>
    </row>
    <row r="103" spans="2:26" outlineLevel="1">
      <c r="B103" s="14">
        <f t="shared" si="15"/>
        <v>100</v>
      </c>
      <c r="C103" s="37"/>
      <c r="D103" s="40"/>
      <c r="E103" s="39"/>
      <c r="F103" s="37"/>
      <c r="G103" s="39"/>
      <c r="H103" s="37"/>
      <c r="I103" s="37"/>
      <c r="J103" s="41" t="str">
        <f t="shared" si="24"/>
        <v/>
      </c>
      <c r="K103" s="12" t="str">
        <f t="shared" si="30"/>
        <v/>
      </c>
      <c r="L103" s="12" t="str">
        <f t="shared" si="31"/>
        <v/>
      </c>
      <c r="M103" s="12" t="str">
        <f t="shared" si="25"/>
        <v/>
      </c>
      <c r="N103" s="12" t="str">
        <f t="shared" si="26"/>
        <v/>
      </c>
      <c r="O103" s="12" t="str">
        <f t="shared" si="27"/>
        <v/>
      </c>
      <c r="P103" s="12" t="str">
        <f t="shared" si="28"/>
        <v/>
      </c>
      <c r="Q103" s="12" t="str">
        <f t="shared" si="32"/>
        <v/>
      </c>
      <c r="R103" s="26" t="str">
        <f t="shared" si="29"/>
        <v/>
      </c>
      <c r="S103" s="26" t="str">
        <f t="shared" si="38"/>
        <v/>
      </c>
      <c r="T103" s="26" t="str">
        <f t="shared" si="33"/>
        <v/>
      </c>
      <c r="U103" s="26" t="str">
        <f t="shared" si="34"/>
        <v/>
      </c>
      <c r="V103" s="26" t="str">
        <f t="shared" si="35"/>
        <v/>
      </c>
      <c r="W103" s="20" t="str">
        <f t="shared" si="36"/>
        <v/>
      </c>
      <c r="X103" s="20" t="str">
        <f t="shared" si="37"/>
        <v/>
      </c>
      <c r="Y103" s="86" t="str">
        <f t="shared" si="39"/>
        <v/>
      </c>
      <c r="Z103" s="31"/>
    </row>
    <row r="104" spans="2:26" outlineLevel="1">
      <c r="B104" s="14">
        <f t="shared" si="15"/>
        <v>101</v>
      </c>
      <c r="C104" s="37"/>
      <c r="D104" s="40"/>
      <c r="E104" s="39"/>
      <c r="F104" s="37"/>
      <c r="G104" s="39"/>
      <c r="H104" s="37"/>
      <c r="I104" s="37"/>
      <c r="J104" s="41" t="str">
        <f t="shared" si="24"/>
        <v/>
      </c>
      <c r="K104" s="12" t="str">
        <f t="shared" si="30"/>
        <v/>
      </c>
      <c r="L104" s="12" t="str">
        <f t="shared" si="31"/>
        <v/>
      </c>
      <c r="M104" s="12" t="str">
        <f t="shared" si="25"/>
        <v/>
      </c>
      <c r="N104" s="12" t="str">
        <f t="shared" si="26"/>
        <v/>
      </c>
      <c r="O104" s="12" t="str">
        <f t="shared" si="27"/>
        <v/>
      </c>
      <c r="P104" s="12" t="str">
        <f t="shared" si="28"/>
        <v/>
      </c>
      <c r="Q104" s="12" t="str">
        <f t="shared" si="32"/>
        <v/>
      </c>
      <c r="R104" s="26" t="str">
        <f t="shared" si="29"/>
        <v/>
      </c>
      <c r="S104" s="26" t="str">
        <f t="shared" si="38"/>
        <v/>
      </c>
      <c r="T104" s="26" t="str">
        <f t="shared" si="33"/>
        <v/>
      </c>
      <c r="U104" s="26" t="str">
        <f t="shared" si="34"/>
        <v/>
      </c>
      <c r="V104" s="26" t="str">
        <f t="shared" si="35"/>
        <v/>
      </c>
      <c r="W104" s="20" t="str">
        <f t="shared" si="36"/>
        <v/>
      </c>
      <c r="X104" s="20" t="str">
        <f t="shared" si="37"/>
        <v/>
      </c>
      <c r="Y104" s="86" t="str">
        <f t="shared" si="39"/>
        <v/>
      </c>
      <c r="Z104" s="31"/>
    </row>
    <row r="105" spans="2:26" outlineLevel="1">
      <c r="B105" s="14">
        <f t="shared" si="15"/>
        <v>102</v>
      </c>
      <c r="C105" s="37"/>
      <c r="D105" s="40"/>
      <c r="E105" s="39"/>
      <c r="F105" s="37"/>
      <c r="G105" s="39"/>
      <c r="H105" s="37"/>
      <c r="I105" s="37"/>
      <c r="J105" s="41" t="str">
        <f t="shared" si="24"/>
        <v/>
      </c>
      <c r="K105" s="12" t="str">
        <f t="shared" si="30"/>
        <v/>
      </c>
      <c r="L105" s="12" t="str">
        <f t="shared" si="31"/>
        <v/>
      </c>
      <c r="M105" s="12" t="str">
        <f t="shared" si="25"/>
        <v/>
      </c>
      <c r="N105" s="12" t="str">
        <f t="shared" si="26"/>
        <v/>
      </c>
      <c r="O105" s="12" t="str">
        <f t="shared" si="27"/>
        <v/>
      </c>
      <c r="P105" s="12" t="str">
        <f t="shared" si="28"/>
        <v/>
      </c>
      <c r="Q105" s="12" t="str">
        <f t="shared" si="32"/>
        <v/>
      </c>
      <c r="R105" s="26" t="str">
        <f t="shared" si="29"/>
        <v/>
      </c>
      <c r="S105" s="26" t="str">
        <f t="shared" si="38"/>
        <v/>
      </c>
      <c r="T105" s="26" t="str">
        <f t="shared" si="33"/>
        <v/>
      </c>
      <c r="U105" s="26" t="str">
        <f t="shared" si="34"/>
        <v/>
      </c>
      <c r="V105" s="26" t="str">
        <f t="shared" si="35"/>
        <v/>
      </c>
      <c r="W105" s="20" t="str">
        <f t="shared" si="36"/>
        <v/>
      </c>
      <c r="X105" s="20" t="str">
        <f t="shared" si="37"/>
        <v/>
      </c>
      <c r="Y105" s="86" t="str">
        <f t="shared" si="39"/>
        <v/>
      </c>
      <c r="Z105" s="31"/>
    </row>
    <row r="106" spans="2:26" outlineLevel="1">
      <c r="B106" s="14">
        <f t="shared" si="15"/>
        <v>103</v>
      </c>
      <c r="C106" s="37"/>
      <c r="D106" s="40"/>
      <c r="E106" s="39"/>
      <c r="F106" s="37"/>
      <c r="G106" s="39"/>
      <c r="H106" s="37"/>
      <c r="I106" s="37"/>
      <c r="J106" s="41" t="str">
        <f t="shared" si="24"/>
        <v/>
      </c>
      <c r="K106" s="12" t="str">
        <f t="shared" si="30"/>
        <v/>
      </c>
      <c r="L106" s="12" t="str">
        <f t="shared" si="31"/>
        <v/>
      </c>
      <c r="M106" s="12" t="str">
        <f t="shared" si="25"/>
        <v/>
      </c>
      <c r="N106" s="12" t="str">
        <f t="shared" si="26"/>
        <v/>
      </c>
      <c r="O106" s="12" t="str">
        <f t="shared" si="27"/>
        <v/>
      </c>
      <c r="P106" s="12" t="str">
        <f t="shared" si="28"/>
        <v/>
      </c>
      <c r="Q106" s="12" t="str">
        <f t="shared" si="32"/>
        <v/>
      </c>
      <c r="R106" s="26" t="str">
        <f t="shared" si="29"/>
        <v/>
      </c>
      <c r="S106" s="26" t="str">
        <f t="shared" si="38"/>
        <v/>
      </c>
      <c r="T106" s="26" t="str">
        <f t="shared" si="33"/>
        <v/>
      </c>
      <c r="U106" s="26" t="str">
        <f t="shared" si="34"/>
        <v/>
      </c>
      <c r="V106" s="26" t="str">
        <f t="shared" si="35"/>
        <v/>
      </c>
      <c r="W106" s="20" t="str">
        <f t="shared" si="36"/>
        <v/>
      </c>
      <c r="X106" s="20" t="str">
        <f t="shared" si="37"/>
        <v/>
      </c>
      <c r="Y106" s="86" t="str">
        <f t="shared" si="39"/>
        <v/>
      </c>
      <c r="Z106" s="31"/>
    </row>
    <row r="107" spans="2:26" outlineLevel="1">
      <c r="B107" s="14">
        <f t="shared" si="15"/>
        <v>104</v>
      </c>
      <c r="C107" s="37"/>
      <c r="D107" s="40"/>
      <c r="E107" s="39"/>
      <c r="F107" s="37"/>
      <c r="G107" s="39"/>
      <c r="H107" s="37"/>
      <c r="I107" s="37"/>
      <c r="J107" s="41" t="str">
        <f t="shared" si="24"/>
        <v/>
      </c>
      <c r="K107" s="12" t="str">
        <f t="shared" si="30"/>
        <v/>
      </c>
      <c r="L107" s="12" t="str">
        <f t="shared" si="31"/>
        <v/>
      </c>
      <c r="M107" s="12" t="str">
        <f t="shared" si="25"/>
        <v/>
      </c>
      <c r="N107" s="12" t="str">
        <f t="shared" si="26"/>
        <v/>
      </c>
      <c r="O107" s="12" t="str">
        <f t="shared" si="27"/>
        <v/>
      </c>
      <c r="P107" s="12" t="str">
        <f t="shared" si="28"/>
        <v/>
      </c>
      <c r="Q107" s="12" t="str">
        <f t="shared" si="32"/>
        <v/>
      </c>
      <c r="R107" s="26" t="str">
        <f t="shared" si="29"/>
        <v/>
      </c>
      <c r="S107" s="26" t="str">
        <f t="shared" si="38"/>
        <v/>
      </c>
      <c r="T107" s="26" t="str">
        <f t="shared" si="33"/>
        <v/>
      </c>
      <c r="U107" s="26" t="str">
        <f t="shared" si="34"/>
        <v/>
      </c>
      <c r="V107" s="26" t="str">
        <f t="shared" si="35"/>
        <v/>
      </c>
      <c r="W107" s="20" t="str">
        <f t="shared" si="36"/>
        <v/>
      </c>
      <c r="X107" s="20" t="str">
        <f t="shared" si="37"/>
        <v/>
      </c>
      <c r="Y107" s="86" t="str">
        <f t="shared" si="39"/>
        <v/>
      </c>
      <c r="Z107" s="31"/>
    </row>
    <row r="108" spans="2:26" outlineLevel="1">
      <c r="B108" s="14">
        <f t="shared" si="15"/>
        <v>105</v>
      </c>
      <c r="C108" s="37"/>
      <c r="D108" s="40"/>
      <c r="E108" s="39"/>
      <c r="F108" s="37"/>
      <c r="G108" s="39"/>
      <c r="H108" s="37"/>
      <c r="I108" s="37"/>
      <c r="J108" s="41" t="str">
        <f t="shared" si="24"/>
        <v/>
      </c>
      <c r="K108" s="12" t="str">
        <f t="shared" si="30"/>
        <v/>
      </c>
      <c r="L108" s="12" t="str">
        <f t="shared" si="31"/>
        <v/>
      </c>
      <c r="M108" s="12" t="str">
        <f t="shared" si="25"/>
        <v/>
      </c>
      <c r="N108" s="12" t="str">
        <f t="shared" si="26"/>
        <v/>
      </c>
      <c r="O108" s="12" t="str">
        <f t="shared" si="27"/>
        <v/>
      </c>
      <c r="P108" s="12" t="str">
        <f t="shared" si="28"/>
        <v/>
      </c>
      <c r="Q108" s="12" t="str">
        <f t="shared" si="32"/>
        <v/>
      </c>
      <c r="R108" s="26" t="str">
        <f t="shared" si="29"/>
        <v/>
      </c>
      <c r="S108" s="26" t="str">
        <f t="shared" si="38"/>
        <v/>
      </c>
      <c r="T108" s="26" t="str">
        <f t="shared" si="33"/>
        <v/>
      </c>
      <c r="U108" s="26" t="str">
        <f t="shared" si="34"/>
        <v/>
      </c>
      <c r="V108" s="26" t="str">
        <f t="shared" si="35"/>
        <v/>
      </c>
      <c r="W108" s="20" t="str">
        <f t="shared" si="36"/>
        <v/>
      </c>
      <c r="X108" s="20" t="str">
        <f t="shared" si="37"/>
        <v/>
      </c>
      <c r="Y108" s="86" t="str">
        <f t="shared" si="39"/>
        <v/>
      </c>
      <c r="Z108" s="31"/>
    </row>
    <row r="109" spans="2:26" outlineLevel="1">
      <c r="B109" s="14">
        <f t="shared" si="15"/>
        <v>106</v>
      </c>
      <c r="C109" s="37"/>
      <c r="D109" s="40"/>
      <c r="E109" s="39"/>
      <c r="F109" s="37"/>
      <c r="G109" s="39"/>
      <c r="H109" s="37"/>
      <c r="I109" s="37"/>
      <c r="J109" s="41" t="str">
        <f t="shared" si="24"/>
        <v/>
      </c>
      <c r="K109" s="12" t="str">
        <f t="shared" si="30"/>
        <v/>
      </c>
      <c r="L109" s="12" t="str">
        <f t="shared" si="31"/>
        <v/>
      </c>
      <c r="M109" s="12" t="str">
        <f t="shared" si="25"/>
        <v/>
      </c>
      <c r="N109" s="12" t="str">
        <f t="shared" si="26"/>
        <v/>
      </c>
      <c r="O109" s="12" t="str">
        <f t="shared" si="27"/>
        <v/>
      </c>
      <c r="P109" s="12" t="str">
        <f t="shared" si="28"/>
        <v/>
      </c>
      <c r="Q109" s="12" t="str">
        <f t="shared" si="32"/>
        <v/>
      </c>
      <c r="R109" s="26" t="str">
        <f t="shared" si="29"/>
        <v/>
      </c>
      <c r="S109" s="26" t="str">
        <f t="shared" si="38"/>
        <v/>
      </c>
      <c r="T109" s="26" t="str">
        <f t="shared" si="33"/>
        <v/>
      </c>
      <c r="U109" s="26" t="str">
        <f t="shared" si="34"/>
        <v/>
      </c>
      <c r="V109" s="26" t="str">
        <f t="shared" si="35"/>
        <v/>
      </c>
      <c r="W109" s="20" t="str">
        <f t="shared" si="36"/>
        <v/>
      </c>
      <c r="X109" s="20" t="str">
        <f t="shared" si="37"/>
        <v/>
      </c>
      <c r="Y109" s="86" t="str">
        <f t="shared" si="39"/>
        <v/>
      </c>
      <c r="Z109" s="31"/>
    </row>
    <row r="110" spans="2:26" outlineLevel="1">
      <c r="B110" s="14">
        <f t="shared" si="15"/>
        <v>107</v>
      </c>
      <c r="C110" s="37"/>
      <c r="D110" s="40"/>
      <c r="E110" s="39"/>
      <c r="F110" s="37"/>
      <c r="G110" s="39"/>
      <c r="H110" s="37"/>
      <c r="I110" s="37"/>
      <c r="J110" s="41" t="str">
        <f t="shared" si="24"/>
        <v/>
      </c>
      <c r="K110" s="12" t="str">
        <f t="shared" si="30"/>
        <v/>
      </c>
      <c r="L110" s="12" t="str">
        <f t="shared" si="31"/>
        <v/>
      </c>
      <c r="M110" s="12" t="str">
        <f t="shared" si="25"/>
        <v/>
      </c>
      <c r="N110" s="12" t="str">
        <f t="shared" si="26"/>
        <v/>
      </c>
      <c r="O110" s="12" t="str">
        <f t="shared" si="27"/>
        <v/>
      </c>
      <c r="P110" s="12" t="str">
        <f t="shared" si="28"/>
        <v/>
      </c>
      <c r="Q110" s="12" t="str">
        <f t="shared" si="32"/>
        <v/>
      </c>
      <c r="R110" s="26" t="str">
        <f t="shared" si="29"/>
        <v/>
      </c>
      <c r="S110" s="26" t="str">
        <f t="shared" si="38"/>
        <v/>
      </c>
      <c r="T110" s="26" t="str">
        <f t="shared" si="33"/>
        <v/>
      </c>
      <c r="U110" s="26" t="str">
        <f t="shared" si="34"/>
        <v/>
      </c>
      <c r="V110" s="26" t="str">
        <f t="shared" si="35"/>
        <v/>
      </c>
      <c r="W110" s="20" t="str">
        <f t="shared" si="36"/>
        <v/>
      </c>
      <c r="X110" s="20" t="str">
        <f t="shared" si="37"/>
        <v/>
      </c>
      <c r="Y110" s="86" t="str">
        <f t="shared" si="39"/>
        <v/>
      </c>
      <c r="Z110" s="31"/>
    </row>
    <row r="111" spans="2:26" outlineLevel="1">
      <c r="B111" s="14">
        <f t="shared" si="15"/>
        <v>108</v>
      </c>
      <c r="C111" s="37"/>
      <c r="D111" s="40"/>
      <c r="E111" s="39"/>
      <c r="F111" s="37"/>
      <c r="G111" s="39"/>
      <c r="H111" s="37"/>
      <c r="I111" s="37"/>
      <c r="J111" s="41" t="str">
        <f t="shared" si="24"/>
        <v/>
      </c>
      <c r="K111" s="12" t="str">
        <f t="shared" si="30"/>
        <v/>
      </c>
      <c r="L111" s="12" t="str">
        <f t="shared" si="31"/>
        <v/>
      </c>
      <c r="M111" s="12" t="str">
        <f t="shared" si="25"/>
        <v/>
      </c>
      <c r="N111" s="12" t="str">
        <f t="shared" si="26"/>
        <v/>
      </c>
      <c r="O111" s="12" t="str">
        <f t="shared" si="27"/>
        <v/>
      </c>
      <c r="P111" s="12" t="str">
        <f t="shared" si="28"/>
        <v/>
      </c>
      <c r="Q111" s="12" t="str">
        <f t="shared" si="32"/>
        <v/>
      </c>
      <c r="R111" s="26" t="str">
        <f t="shared" si="29"/>
        <v/>
      </c>
      <c r="S111" s="26" t="str">
        <f t="shared" si="38"/>
        <v/>
      </c>
      <c r="T111" s="26" t="str">
        <f t="shared" si="33"/>
        <v/>
      </c>
      <c r="U111" s="26" t="str">
        <f t="shared" si="34"/>
        <v/>
      </c>
      <c r="V111" s="26" t="str">
        <f t="shared" si="35"/>
        <v/>
      </c>
      <c r="W111" s="20" t="str">
        <f t="shared" si="36"/>
        <v/>
      </c>
      <c r="X111" s="20" t="str">
        <f t="shared" si="37"/>
        <v/>
      </c>
      <c r="Y111" s="86" t="str">
        <f t="shared" si="39"/>
        <v/>
      </c>
      <c r="Z111" s="31"/>
    </row>
    <row r="112" spans="2:26" outlineLevel="1">
      <c r="B112" s="14">
        <f t="shared" si="15"/>
        <v>109</v>
      </c>
      <c r="C112" s="37"/>
      <c r="D112" s="40"/>
      <c r="E112" s="39"/>
      <c r="F112" s="37"/>
      <c r="G112" s="39"/>
      <c r="H112" s="37"/>
      <c r="I112" s="37"/>
      <c r="J112" s="41" t="str">
        <f t="shared" si="24"/>
        <v/>
      </c>
      <c r="K112" s="12" t="str">
        <f t="shared" si="30"/>
        <v/>
      </c>
      <c r="L112" s="12" t="str">
        <f t="shared" si="31"/>
        <v/>
      </c>
      <c r="M112" s="12" t="str">
        <f t="shared" si="25"/>
        <v/>
      </c>
      <c r="N112" s="12" t="str">
        <f t="shared" si="26"/>
        <v/>
      </c>
      <c r="O112" s="12" t="str">
        <f t="shared" si="27"/>
        <v/>
      </c>
      <c r="P112" s="12" t="str">
        <f t="shared" si="28"/>
        <v/>
      </c>
      <c r="Q112" s="12" t="str">
        <f t="shared" si="32"/>
        <v/>
      </c>
      <c r="R112" s="26" t="str">
        <f t="shared" si="29"/>
        <v/>
      </c>
      <c r="S112" s="26" t="str">
        <f t="shared" si="38"/>
        <v/>
      </c>
      <c r="T112" s="26" t="str">
        <f t="shared" si="33"/>
        <v/>
      </c>
      <c r="U112" s="26" t="str">
        <f t="shared" si="34"/>
        <v/>
      </c>
      <c r="V112" s="26" t="str">
        <f t="shared" si="35"/>
        <v/>
      </c>
      <c r="W112" s="20" t="str">
        <f t="shared" si="36"/>
        <v/>
      </c>
      <c r="X112" s="20" t="str">
        <f t="shared" si="37"/>
        <v/>
      </c>
      <c r="Y112" s="86" t="str">
        <f t="shared" si="39"/>
        <v/>
      </c>
      <c r="Z112" s="31"/>
    </row>
    <row r="113" spans="2:26" outlineLevel="1">
      <c r="B113" s="14">
        <f t="shared" si="15"/>
        <v>110</v>
      </c>
      <c r="C113" s="37"/>
      <c r="D113" s="40"/>
      <c r="E113" s="39"/>
      <c r="F113" s="37"/>
      <c r="G113" s="39"/>
      <c r="H113" s="37"/>
      <c r="I113" s="37"/>
      <c r="J113" s="41" t="str">
        <f t="shared" si="24"/>
        <v/>
      </c>
      <c r="K113" s="12" t="str">
        <f t="shared" si="30"/>
        <v/>
      </c>
      <c r="L113" s="12" t="str">
        <f t="shared" si="31"/>
        <v/>
      </c>
      <c r="M113" s="12" t="str">
        <f t="shared" si="25"/>
        <v/>
      </c>
      <c r="N113" s="12" t="str">
        <f t="shared" si="26"/>
        <v/>
      </c>
      <c r="O113" s="12" t="str">
        <f t="shared" si="27"/>
        <v/>
      </c>
      <c r="P113" s="12" t="str">
        <f t="shared" si="28"/>
        <v/>
      </c>
      <c r="Q113" s="12" t="str">
        <f t="shared" si="32"/>
        <v/>
      </c>
      <c r="R113" s="26" t="str">
        <f t="shared" si="29"/>
        <v/>
      </c>
      <c r="S113" s="26" t="str">
        <f t="shared" si="38"/>
        <v/>
      </c>
      <c r="T113" s="26" t="str">
        <f t="shared" si="33"/>
        <v/>
      </c>
      <c r="U113" s="26" t="str">
        <f t="shared" si="34"/>
        <v/>
      </c>
      <c r="V113" s="26" t="str">
        <f t="shared" si="35"/>
        <v/>
      </c>
      <c r="W113" s="20" t="str">
        <f t="shared" si="36"/>
        <v/>
      </c>
      <c r="X113" s="20" t="str">
        <f t="shared" si="37"/>
        <v/>
      </c>
      <c r="Y113" s="86" t="str">
        <f t="shared" si="39"/>
        <v/>
      </c>
      <c r="Z113" s="31"/>
    </row>
    <row r="114" spans="2:26" outlineLevel="1">
      <c r="B114" s="14">
        <f t="shared" si="15"/>
        <v>111</v>
      </c>
      <c r="C114" s="37"/>
      <c r="D114" s="40"/>
      <c r="E114" s="39"/>
      <c r="F114" s="37"/>
      <c r="G114" s="39"/>
      <c r="H114" s="37"/>
      <c r="I114" s="37"/>
      <c r="J114" s="41" t="str">
        <f t="shared" si="24"/>
        <v/>
      </c>
      <c r="K114" s="12" t="str">
        <f t="shared" si="30"/>
        <v/>
      </c>
      <c r="L114" s="12" t="str">
        <f t="shared" si="31"/>
        <v/>
      </c>
      <c r="M114" s="12" t="str">
        <f t="shared" si="25"/>
        <v/>
      </c>
      <c r="N114" s="12" t="str">
        <f t="shared" si="26"/>
        <v/>
      </c>
      <c r="O114" s="12" t="str">
        <f t="shared" si="27"/>
        <v/>
      </c>
      <c r="P114" s="12" t="str">
        <f t="shared" si="28"/>
        <v/>
      </c>
      <c r="Q114" s="12" t="str">
        <f t="shared" si="32"/>
        <v/>
      </c>
      <c r="R114" s="26" t="str">
        <f t="shared" si="29"/>
        <v/>
      </c>
      <c r="S114" s="26" t="str">
        <f t="shared" si="38"/>
        <v/>
      </c>
      <c r="T114" s="26" t="str">
        <f t="shared" si="33"/>
        <v/>
      </c>
      <c r="U114" s="26" t="str">
        <f t="shared" si="34"/>
        <v/>
      </c>
      <c r="V114" s="26" t="str">
        <f t="shared" si="35"/>
        <v/>
      </c>
      <c r="W114" s="20" t="str">
        <f t="shared" si="36"/>
        <v/>
      </c>
      <c r="X114" s="20" t="str">
        <f t="shared" si="37"/>
        <v/>
      </c>
      <c r="Y114" s="86" t="str">
        <f t="shared" si="39"/>
        <v/>
      </c>
      <c r="Z114" s="31"/>
    </row>
    <row r="115" spans="2:26" outlineLevel="1">
      <c r="B115" s="14">
        <f t="shared" si="15"/>
        <v>112</v>
      </c>
      <c r="C115" s="37"/>
      <c r="D115" s="40"/>
      <c r="E115" s="39"/>
      <c r="F115" s="37"/>
      <c r="G115" s="39"/>
      <c r="H115" s="37"/>
      <c r="I115" s="37"/>
      <c r="J115" s="41" t="str">
        <f t="shared" si="24"/>
        <v/>
      </c>
      <c r="K115" s="12" t="str">
        <f t="shared" si="30"/>
        <v/>
      </c>
      <c r="L115" s="12" t="str">
        <f t="shared" si="31"/>
        <v/>
      </c>
      <c r="M115" s="12" t="str">
        <f t="shared" si="25"/>
        <v/>
      </c>
      <c r="N115" s="12" t="str">
        <f t="shared" si="26"/>
        <v/>
      </c>
      <c r="O115" s="12" t="str">
        <f t="shared" si="27"/>
        <v/>
      </c>
      <c r="P115" s="12" t="str">
        <f t="shared" si="28"/>
        <v/>
      </c>
      <c r="Q115" s="12" t="str">
        <f t="shared" si="32"/>
        <v/>
      </c>
      <c r="R115" s="26" t="str">
        <f t="shared" si="29"/>
        <v/>
      </c>
      <c r="S115" s="26" t="str">
        <f t="shared" si="38"/>
        <v/>
      </c>
      <c r="T115" s="26" t="str">
        <f t="shared" si="33"/>
        <v/>
      </c>
      <c r="U115" s="26" t="str">
        <f t="shared" si="34"/>
        <v/>
      </c>
      <c r="V115" s="26" t="str">
        <f t="shared" si="35"/>
        <v/>
      </c>
      <c r="W115" s="20" t="str">
        <f t="shared" si="36"/>
        <v/>
      </c>
      <c r="X115" s="20" t="str">
        <f t="shared" si="37"/>
        <v/>
      </c>
      <c r="Y115" s="86" t="str">
        <f t="shared" si="39"/>
        <v/>
      </c>
      <c r="Z115" s="31"/>
    </row>
    <row r="116" spans="2:26" outlineLevel="1">
      <c r="B116" s="14">
        <f t="shared" si="15"/>
        <v>113</v>
      </c>
      <c r="C116" s="37"/>
      <c r="D116" s="40"/>
      <c r="E116" s="39"/>
      <c r="F116" s="37"/>
      <c r="G116" s="39"/>
      <c r="H116" s="37"/>
      <c r="I116" s="37"/>
      <c r="J116" s="41" t="str">
        <f t="shared" si="24"/>
        <v/>
      </c>
      <c r="K116" s="12" t="str">
        <f t="shared" si="30"/>
        <v/>
      </c>
      <c r="L116" s="12" t="str">
        <f t="shared" si="31"/>
        <v/>
      </c>
      <c r="M116" s="12" t="str">
        <f t="shared" si="25"/>
        <v/>
      </c>
      <c r="N116" s="12" t="str">
        <f t="shared" si="26"/>
        <v/>
      </c>
      <c r="O116" s="12" t="str">
        <f t="shared" si="27"/>
        <v/>
      </c>
      <c r="P116" s="12" t="str">
        <f t="shared" si="28"/>
        <v/>
      </c>
      <c r="Q116" s="12" t="str">
        <f t="shared" si="32"/>
        <v/>
      </c>
      <c r="R116" s="26" t="str">
        <f t="shared" si="29"/>
        <v/>
      </c>
      <c r="S116" s="26" t="str">
        <f t="shared" si="38"/>
        <v/>
      </c>
      <c r="T116" s="26" t="str">
        <f t="shared" si="33"/>
        <v/>
      </c>
      <c r="U116" s="26" t="str">
        <f t="shared" si="34"/>
        <v/>
      </c>
      <c r="V116" s="26" t="str">
        <f t="shared" si="35"/>
        <v/>
      </c>
      <c r="W116" s="20" t="str">
        <f t="shared" si="36"/>
        <v/>
      </c>
      <c r="X116" s="20" t="str">
        <f t="shared" si="37"/>
        <v/>
      </c>
      <c r="Y116" s="86" t="str">
        <f t="shared" si="39"/>
        <v/>
      </c>
      <c r="Z116" s="31"/>
    </row>
    <row r="117" spans="2:26" outlineLevel="1">
      <c r="B117" s="14">
        <f t="shared" si="15"/>
        <v>114</v>
      </c>
      <c r="C117" s="37"/>
      <c r="D117" s="40"/>
      <c r="E117" s="39"/>
      <c r="F117" s="37"/>
      <c r="G117" s="39"/>
      <c r="H117" s="37"/>
      <c r="I117" s="37"/>
      <c r="J117" s="41" t="str">
        <f t="shared" si="24"/>
        <v/>
      </c>
      <c r="K117" s="12" t="str">
        <f t="shared" si="30"/>
        <v/>
      </c>
      <c r="L117" s="12" t="str">
        <f t="shared" si="31"/>
        <v/>
      </c>
      <c r="M117" s="12" t="str">
        <f t="shared" si="25"/>
        <v/>
      </c>
      <c r="N117" s="12" t="str">
        <f t="shared" si="26"/>
        <v/>
      </c>
      <c r="O117" s="12" t="str">
        <f t="shared" si="27"/>
        <v/>
      </c>
      <c r="P117" s="12" t="str">
        <f t="shared" si="28"/>
        <v/>
      </c>
      <c r="Q117" s="12" t="str">
        <f t="shared" si="32"/>
        <v/>
      </c>
      <c r="R117" s="26" t="str">
        <f t="shared" si="29"/>
        <v/>
      </c>
      <c r="S117" s="26" t="str">
        <f t="shared" si="38"/>
        <v/>
      </c>
      <c r="T117" s="26" t="str">
        <f t="shared" si="33"/>
        <v/>
      </c>
      <c r="U117" s="26" t="str">
        <f t="shared" si="34"/>
        <v/>
      </c>
      <c r="V117" s="26" t="str">
        <f t="shared" si="35"/>
        <v/>
      </c>
      <c r="W117" s="20" t="str">
        <f t="shared" si="36"/>
        <v/>
      </c>
      <c r="X117" s="20" t="str">
        <f t="shared" si="37"/>
        <v/>
      </c>
      <c r="Y117" s="86" t="str">
        <f t="shared" si="39"/>
        <v/>
      </c>
      <c r="Z117" s="31"/>
    </row>
    <row r="118" spans="2:26" outlineLevel="1">
      <c r="B118" s="14">
        <f t="shared" si="15"/>
        <v>115</v>
      </c>
      <c r="C118" s="37"/>
      <c r="D118" s="40"/>
      <c r="E118" s="39"/>
      <c r="F118" s="37"/>
      <c r="G118" s="39"/>
      <c r="H118" s="37"/>
      <c r="I118" s="37"/>
      <c r="J118" s="41" t="str">
        <f t="shared" si="24"/>
        <v/>
      </c>
      <c r="K118" s="12" t="str">
        <f t="shared" si="30"/>
        <v/>
      </c>
      <c r="L118" s="12" t="str">
        <f t="shared" si="31"/>
        <v/>
      </c>
      <c r="M118" s="12" t="str">
        <f t="shared" si="25"/>
        <v/>
      </c>
      <c r="N118" s="12" t="str">
        <f t="shared" si="26"/>
        <v/>
      </c>
      <c r="O118" s="12" t="str">
        <f t="shared" si="27"/>
        <v/>
      </c>
      <c r="P118" s="12" t="str">
        <f t="shared" si="28"/>
        <v/>
      </c>
      <c r="Q118" s="12" t="str">
        <f t="shared" si="32"/>
        <v/>
      </c>
      <c r="R118" s="26" t="str">
        <f t="shared" si="29"/>
        <v/>
      </c>
      <c r="S118" s="26" t="str">
        <f t="shared" si="38"/>
        <v/>
      </c>
      <c r="T118" s="26" t="str">
        <f t="shared" si="33"/>
        <v/>
      </c>
      <c r="U118" s="26" t="str">
        <f t="shared" si="34"/>
        <v/>
      </c>
      <c r="V118" s="26" t="str">
        <f t="shared" si="35"/>
        <v/>
      </c>
      <c r="W118" s="20" t="str">
        <f t="shared" si="36"/>
        <v/>
      </c>
      <c r="X118" s="20" t="str">
        <f t="shared" si="37"/>
        <v/>
      </c>
      <c r="Y118" s="86" t="str">
        <f t="shared" si="39"/>
        <v/>
      </c>
      <c r="Z118" s="31"/>
    </row>
    <row r="119" spans="2:26" outlineLevel="1">
      <c r="B119" s="14">
        <f t="shared" si="15"/>
        <v>116</v>
      </c>
      <c r="C119" s="37"/>
      <c r="D119" s="40"/>
      <c r="E119" s="39"/>
      <c r="F119" s="37"/>
      <c r="G119" s="39"/>
      <c r="H119" s="37"/>
      <c r="I119" s="37"/>
      <c r="J119" s="41" t="str">
        <f t="shared" si="24"/>
        <v/>
      </c>
      <c r="K119" s="12" t="str">
        <f t="shared" si="30"/>
        <v/>
      </c>
      <c r="L119" s="12" t="str">
        <f t="shared" si="31"/>
        <v/>
      </c>
      <c r="M119" s="12" t="str">
        <f t="shared" si="25"/>
        <v/>
      </c>
      <c r="N119" s="12" t="str">
        <f t="shared" si="26"/>
        <v/>
      </c>
      <c r="O119" s="12" t="str">
        <f t="shared" si="27"/>
        <v/>
      </c>
      <c r="P119" s="12" t="str">
        <f t="shared" si="28"/>
        <v/>
      </c>
      <c r="Q119" s="12" t="str">
        <f t="shared" si="32"/>
        <v/>
      </c>
      <c r="R119" s="26" t="str">
        <f t="shared" si="29"/>
        <v/>
      </c>
      <c r="S119" s="26" t="str">
        <f t="shared" si="38"/>
        <v/>
      </c>
      <c r="T119" s="26" t="str">
        <f t="shared" si="33"/>
        <v/>
      </c>
      <c r="U119" s="26" t="str">
        <f t="shared" si="34"/>
        <v/>
      </c>
      <c r="V119" s="26" t="str">
        <f t="shared" si="35"/>
        <v/>
      </c>
      <c r="W119" s="20" t="str">
        <f t="shared" si="36"/>
        <v/>
      </c>
      <c r="X119" s="20" t="str">
        <f t="shared" si="37"/>
        <v/>
      </c>
      <c r="Y119" s="86" t="str">
        <f t="shared" si="39"/>
        <v/>
      </c>
      <c r="Z119" s="31"/>
    </row>
    <row r="120" spans="2:26" outlineLevel="1">
      <c r="B120" s="14">
        <f t="shared" si="15"/>
        <v>117</v>
      </c>
      <c r="C120" s="37"/>
      <c r="D120" s="40"/>
      <c r="E120" s="39"/>
      <c r="F120" s="37"/>
      <c r="G120" s="39"/>
      <c r="H120" s="37"/>
      <c r="I120" s="37"/>
      <c r="J120" s="41" t="str">
        <f t="shared" si="24"/>
        <v/>
      </c>
      <c r="K120" s="12" t="str">
        <f t="shared" si="30"/>
        <v/>
      </c>
      <c r="L120" s="12" t="str">
        <f t="shared" si="31"/>
        <v/>
      </c>
      <c r="M120" s="12" t="str">
        <f t="shared" si="25"/>
        <v/>
      </c>
      <c r="N120" s="12" t="str">
        <f t="shared" si="26"/>
        <v/>
      </c>
      <c r="O120" s="12" t="str">
        <f t="shared" si="27"/>
        <v/>
      </c>
      <c r="P120" s="12" t="str">
        <f t="shared" si="28"/>
        <v/>
      </c>
      <c r="Q120" s="12" t="str">
        <f t="shared" si="32"/>
        <v/>
      </c>
      <c r="R120" s="26" t="str">
        <f t="shared" si="29"/>
        <v/>
      </c>
      <c r="S120" s="26" t="str">
        <f t="shared" si="38"/>
        <v/>
      </c>
      <c r="T120" s="26" t="str">
        <f t="shared" si="33"/>
        <v/>
      </c>
      <c r="U120" s="26" t="str">
        <f t="shared" si="34"/>
        <v/>
      </c>
      <c r="V120" s="26" t="str">
        <f t="shared" si="35"/>
        <v/>
      </c>
      <c r="W120" s="20" t="str">
        <f t="shared" si="36"/>
        <v/>
      </c>
      <c r="X120" s="20" t="str">
        <f t="shared" si="37"/>
        <v/>
      </c>
      <c r="Y120" s="86" t="str">
        <f t="shared" si="39"/>
        <v/>
      </c>
      <c r="Z120" s="31"/>
    </row>
    <row r="121" spans="2:26" outlineLevel="1">
      <c r="B121" s="14">
        <f t="shared" si="15"/>
        <v>118</v>
      </c>
      <c r="C121" s="37"/>
      <c r="D121" s="40"/>
      <c r="E121" s="39"/>
      <c r="F121" s="37"/>
      <c r="G121" s="39"/>
      <c r="H121" s="37"/>
      <c r="I121" s="37"/>
      <c r="J121" s="41" t="str">
        <f t="shared" si="24"/>
        <v/>
      </c>
      <c r="K121" s="12" t="str">
        <f t="shared" si="30"/>
        <v/>
      </c>
      <c r="L121" s="12" t="str">
        <f t="shared" si="31"/>
        <v/>
      </c>
      <c r="M121" s="12" t="str">
        <f t="shared" si="25"/>
        <v/>
      </c>
      <c r="N121" s="12" t="str">
        <f t="shared" si="26"/>
        <v/>
      </c>
      <c r="O121" s="12" t="str">
        <f t="shared" si="27"/>
        <v/>
      </c>
      <c r="P121" s="12" t="str">
        <f t="shared" si="28"/>
        <v/>
      </c>
      <c r="Q121" s="12" t="str">
        <f t="shared" si="32"/>
        <v/>
      </c>
      <c r="R121" s="26" t="str">
        <f t="shared" si="29"/>
        <v/>
      </c>
      <c r="S121" s="26" t="str">
        <f t="shared" si="38"/>
        <v/>
      </c>
      <c r="T121" s="26" t="str">
        <f t="shared" si="33"/>
        <v/>
      </c>
      <c r="U121" s="26" t="str">
        <f t="shared" si="34"/>
        <v/>
      </c>
      <c r="V121" s="26" t="str">
        <f t="shared" si="35"/>
        <v/>
      </c>
      <c r="W121" s="20" t="str">
        <f t="shared" si="36"/>
        <v/>
      </c>
      <c r="X121" s="20" t="str">
        <f t="shared" si="37"/>
        <v/>
      </c>
      <c r="Y121" s="86" t="str">
        <f t="shared" si="39"/>
        <v/>
      </c>
      <c r="Z121" s="31"/>
    </row>
    <row r="122" spans="2:26" outlineLevel="1">
      <c r="B122" s="14">
        <f t="shared" si="15"/>
        <v>119</v>
      </c>
      <c r="C122" s="37"/>
      <c r="D122" s="40"/>
      <c r="E122" s="39"/>
      <c r="F122" s="37"/>
      <c r="G122" s="39"/>
      <c r="H122" s="37"/>
      <c r="I122" s="37"/>
      <c r="J122" s="41" t="str">
        <f t="shared" si="24"/>
        <v/>
      </c>
      <c r="K122" s="12" t="str">
        <f t="shared" si="30"/>
        <v/>
      </c>
      <c r="L122" s="12" t="str">
        <f t="shared" si="31"/>
        <v/>
      </c>
      <c r="M122" s="12" t="str">
        <f t="shared" si="25"/>
        <v/>
      </c>
      <c r="N122" s="12" t="str">
        <f t="shared" si="26"/>
        <v/>
      </c>
      <c r="O122" s="12" t="str">
        <f t="shared" si="27"/>
        <v/>
      </c>
      <c r="P122" s="12" t="str">
        <f t="shared" si="28"/>
        <v/>
      </c>
      <c r="Q122" s="12" t="str">
        <f t="shared" si="32"/>
        <v/>
      </c>
      <c r="R122" s="26" t="str">
        <f t="shared" si="29"/>
        <v/>
      </c>
      <c r="S122" s="26" t="str">
        <f t="shared" si="38"/>
        <v/>
      </c>
      <c r="T122" s="26" t="str">
        <f t="shared" si="33"/>
        <v/>
      </c>
      <c r="U122" s="26" t="str">
        <f t="shared" si="34"/>
        <v/>
      </c>
      <c r="V122" s="26" t="str">
        <f t="shared" si="35"/>
        <v/>
      </c>
      <c r="W122" s="20" t="str">
        <f t="shared" si="36"/>
        <v/>
      </c>
      <c r="X122" s="20" t="str">
        <f t="shared" si="37"/>
        <v/>
      </c>
      <c r="Y122" s="86" t="str">
        <f t="shared" si="39"/>
        <v/>
      </c>
      <c r="Z122" s="31"/>
    </row>
    <row r="123" spans="2:26" outlineLevel="1">
      <c r="B123" s="14">
        <f t="shared" si="15"/>
        <v>120</v>
      </c>
      <c r="C123" s="37"/>
      <c r="D123" s="40"/>
      <c r="E123" s="39"/>
      <c r="F123" s="37"/>
      <c r="G123" s="39"/>
      <c r="H123" s="37"/>
      <c r="I123" s="37"/>
      <c r="J123" s="41" t="str">
        <f t="shared" si="24"/>
        <v/>
      </c>
      <c r="K123" s="12" t="str">
        <f t="shared" si="30"/>
        <v/>
      </c>
      <c r="L123" s="12" t="str">
        <f t="shared" si="31"/>
        <v/>
      </c>
      <c r="M123" s="12" t="str">
        <f t="shared" si="25"/>
        <v/>
      </c>
      <c r="N123" s="12" t="str">
        <f t="shared" si="26"/>
        <v/>
      </c>
      <c r="O123" s="12" t="str">
        <f t="shared" si="27"/>
        <v/>
      </c>
      <c r="P123" s="12" t="str">
        <f t="shared" si="28"/>
        <v/>
      </c>
      <c r="Q123" s="12" t="str">
        <f t="shared" si="32"/>
        <v/>
      </c>
      <c r="R123" s="26" t="str">
        <f t="shared" si="29"/>
        <v/>
      </c>
      <c r="S123" s="26" t="str">
        <f t="shared" si="38"/>
        <v/>
      </c>
      <c r="T123" s="26" t="str">
        <f t="shared" si="33"/>
        <v/>
      </c>
      <c r="U123" s="26" t="str">
        <f t="shared" si="34"/>
        <v/>
      </c>
      <c r="V123" s="26" t="str">
        <f t="shared" si="35"/>
        <v/>
      </c>
      <c r="W123" s="20" t="str">
        <f t="shared" si="36"/>
        <v/>
      </c>
      <c r="X123" s="20" t="str">
        <f t="shared" si="37"/>
        <v/>
      </c>
      <c r="Y123" s="86" t="str">
        <f t="shared" si="39"/>
        <v/>
      </c>
      <c r="Z123" s="31"/>
    </row>
    <row r="124" spans="2:26" outlineLevel="1">
      <c r="B124" s="14">
        <f t="shared" si="15"/>
        <v>121</v>
      </c>
      <c r="C124" s="37"/>
      <c r="D124" s="40"/>
      <c r="E124" s="39"/>
      <c r="F124" s="37"/>
      <c r="G124" s="39"/>
      <c r="H124" s="37"/>
      <c r="I124" s="37"/>
      <c r="J124" s="41" t="str">
        <f t="shared" si="24"/>
        <v/>
      </c>
      <c r="K124" s="12" t="str">
        <f t="shared" si="30"/>
        <v/>
      </c>
      <c r="L124" s="12" t="str">
        <f t="shared" si="31"/>
        <v/>
      </c>
      <c r="M124" s="12" t="str">
        <f t="shared" si="25"/>
        <v/>
      </c>
      <c r="N124" s="12" t="str">
        <f t="shared" si="26"/>
        <v/>
      </c>
      <c r="O124" s="12" t="str">
        <f t="shared" si="27"/>
        <v/>
      </c>
      <c r="P124" s="12" t="str">
        <f t="shared" si="28"/>
        <v/>
      </c>
      <c r="Q124" s="12" t="str">
        <f t="shared" si="32"/>
        <v/>
      </c>
      <c r="R124" s="26" t="str">
        <f t="shared" si="29"/>
        <v/>
      </c>
      <c r="S124" s="26" t="str">
        <f t="shared" si="38"/>
        <v/>
      </c>
      <c r="T124" s="26" t="str">
        <f t="shared" si="33"/>
        <v/>
      </c>
      <c r="U124" s="26" t="str">
        <f t="shared" si="34"/>
        <v/>
      </c>
      <c r="V124" s="26" t="str">
        <f t="shared" si="35"/>
        <v/>
      </c>
      <c r="W124" s="20" t="str">
        <f t="shared" si="36"/>
        <v/>
      </c>
      <c r="X124" s="20" t="str">
        <f t="shared" si="37"/>
        <v/>
      </c>
      <c r="Y124" s="86" t="str">
        <f t="shared" si="39"/>
        <v/>
      </c>
      <c r="Z124" s="31"/>
    </row>
    <row r="125" spans="2:26" outlineLevel="1">
      <c r="B125" s="14">
        <f t="shared" si="15"/>
        <v>122</v>
      </c>
      <c r="C125" s="37"/>
      <c r="D125" s="40"/>
      <c r="E125" s="39"/>
      <c r="F125" s="37"/>
      <c r="G125" s="39"/>
      <c r="H125" s="37"/>
      <c r="I125" s="37"/>
      <c r="J125" s="41" t="str">
        <f t="shared" si="24"/>
        <v/>
      </c>
      <c r="K125" s="12" t="str">
        <f t="shared" si="30"/>
        <v/>
      </c>
      <c r="L125" s="12" t="str">
        <f t="shared" si="31"/>
        <v/>
      </c>
      <c r="M125" s="12" t="str">
        <f t="shared" si="25"/>
        <v/>
      </c>
      <c r="N125" s="12" t="str">
        <f t="shared" si="26"/>
        <v/>
      </c>
      <c r="O125" s="12" t="str">
        <f t="shared" si="27"/>
        <v/>
      </c>
      <c r="P125" s="12" t="str">
        <f t="shared" si="28"/>
        <v/>
      </c>
      <c r="Q125" s="12" t="str">
        <f t="shared" si="32"/>
        <v/>
      </c>
      <c r="R125" s="26" t="str">
        <f t="shared" si="29"/>
        <v/>
      </c>
      <c r="S125" s="26" t="str">
        <f t="shared" si="38"/>
        <v/>
      </c>
      <c r="T125" s="26" t="str">
        <f t="shared" si="33"/>
        <v/>
      </c>
      <c r="U125" s="26" t="str">
        <f t="shared" si="34"/>
        <v/>
      </c>
      <c r="V125" s="26" t="str">
        <f t="shared" si="35"/>
        <v/>
      </c>
      <c r="W125" s="20" t="str">
        <f t="shared" si="36"/>
        <v/>
      </c>
      <c r="X125" s="20" t="str">
        <f t="shared" si="37"/>
        <v/>
      </c>
      <c r="Y125" s="86" t="str">
        <f t="shared" si="39"/>
        <v/>
      </c>
      <c r="Z125" s="31"/>
    </row>
    <row r="126" spans="2:26" outlineLevel="1">
      <c r="B126" s="14">
        <f t="shared" si="15"/>
        <v>123</v>
      </c>
      <c r="C126" s="37"/>
      <c r="D126" s="40"/>
      <c r="E126" s="39"/>
      <c r="F126" s="37"/>
      <c r="G126" s="39"/>
      <c r="H126" s="37"/>
      <c r="I126" s="37"/>
      <c r="J126" s="41" t="str">
        <f t="shared" si="24"/>
        <v/>
      </c>
      <c r="K126" s="12" t="str">
        <f t="shared" si="30"/>
        <v/>
      </c>
      <c r="L126" s="12" t="str">
        <f t="shared" si="31"/>
        <v/>
      </c>
      <c r="M126" s="12" t="str">
        <f t="shared" si="25"/>
        <v/>
      </c>
      <c r="N126" s="12" t="str">
        <f t="shared" si="26"/>
        <v/>
      </c>
      <c r="O126" s="12" t="str">
        <f t="shared" si="27"/>
        <v/>
      </c>
      <c r="P126" s="12" t="str">
        <f t="shared" si="28"/>
        <v/>
      </c>
      <c r="Q126" s="12" t="str">
        <f t="shared" si="32"/>
        <v/>
      </c>
      <c r="R126" s="26" t="str">
        <f t="shared" si="29"/>
        <v/>
      </c>
      <c r="S126" s="26" t="str">
        <f t="shared" si="38"/>
        <v/>
      </c>
      <c r="T126" s="26" t="str">
        <f t="shared" si="33"/>
        <v/>
      </c>
      <c r="U126" s="26" t="str">
        <f t="shared" si="34"/>
        <v/>
      </c>
      <c r="V126" s="26" t="str">
        <f t="shared" si="35"/>
        <v/>
      </c>
      <c r="W126" s="20" t="str">
        <f t="shared" si="36"/>
        <v/>
      </c>
      <c r="X126" s="20" t="str">
        <f t="shared" si="37"/>
        <v/>
      </c>
      <c r="Y126" s="86" t="str">
        <f t="shared" si="39"/>
        <v/>
      </c>
      <c r="Z126" s="31"/>
    </row>
    <row r="127" spans="2:26" outlineLevel="1">
      <c r="B127" s="14">
        <f t="shared" si="15"/>
        <v>124</v>
      </c>
      <c r="C127" s="37"/>
      <c r="D127" s="40"/>
      <c r="E127" s="39"/>
      <c r="F127" s="37"/>
      <c r="G127" s="39"/>
      <c r="H127" s="37"/>
      <c r="I127" s="37"/>
      <c r="J127" s="41" t="str">
        <f t="shared" si="24"/>
        <v/>
      </c>
      <c r="K127" s="12" t="str">
        <f t="shared" si="30"/>
        <v/>
      </c>
      <c r="L127" s="12" t="str">
        <f t="shared" si="31"/>
        <v/>
      </c>
      <c r="M127" s="12" t="str">
        <f t="shared" si="25"/>
        <v/>
      </c>
      <c r="N127" s="12" t="str">
        <f t="shared" si="26"/>
        <v/>
      </c>
      <c r="O127" s="12" t="str">
        <f t="shared" si="27"/>
        <v/>
      </c>
      <c r="P127" s="12" t="str">
        <f t="shared" si="28"/>
        <v/>
      </c>
      <c r="Q127" s="12" t="str">
        <f t="shared" si="32"/>
        <v/>
      </c>
      <c r="R127" s="26" t="str">
        <f t="shared" si="29"/>
        <v/>
      </c>
      <c r="S127" s="26" t="str">
        <f t="shared" si="38"/>
        <v/>
      </c>
      <c r="T127" s="26" t="str">
        <f t="shared" si="33"/>
        <v/>
      </c>
      <c r="U127" s="26" t="str">
        <f t="shared" si="34"/>
        <v/>
      </c>
      <c r="V127" s="26" t="str">
        <f t="shared" si="35"/>
        <v/>
      </c>
      <c r="W127" s="20" t="str">
        <f t="shared" si="36"/>
        <v/>
      </c>
      <c r="X127" s="20" t="str">
        <f t="shared" si="37"/>
        <v/>
      </c>
      <c r="Y127" s="86" t="str">
        <f t="shared" si="39"/>
        <v/>
      </c>
      <c r="Z127" s="31"/>
    </row>
    <row r="128" spans="2:26" outlineLevel="1">
      <c r="B128" s="14">
        <f t="shared" si="15"/>
        <v>125</v>
      </c>
      <c r="C128" s="37"/>
      <c r="D128" s="40"/>
      <c r="E128" s="39"/>
      <c r="F128" s="37"/>
      <c r="G128" s="39"/>
      <c r="H128" s="37"/>
      <c r="I128" s="37"/>
      <c r="J128" s="41" t="str">
        <f t="shared" si="24"/>
        <v/>
      </c>
      <c r="K128" s="12" t="str">
        <f t="shared" si="30"/>
        <v/>
      </c>
      <c r="L128" s="12" t="str">
        <f t="shared" si="31"/>
        <v/>
      </c>
      <c r="M128" s="12" t="str">
        <f t="shared" si="25"/>
        <v/>
      </c>
      <c r="N128" s="12" t="str">
        <f t="shared" si="26"/>
        <v/>
      </c>
      <c r="O128" s="12" t="str">
        <f t="shared" si="27"/>
        <v/>
      </c>
      <c r="P128" s="12" t="str">
        <f t="shared" si="28"/>
        <v/>
      </c>
      <c r="Q128" s="12" t="str">
        <f t="shared" si="32"/>
        <v/>
      </c>
      <c r="R128" s="26" t="str">
        <f t="shared" si="29"/>
        <v/>
      </c>
      <c r="S128" s="26" t="str">
        <f t="shared" si="38"/>
        <v/>
      </c>
      <c r="T128" s="26" t="str">
        <f t="shared" si="33"/>
        <v/>
      </c>
      <c r="U128" s="26" t="str">
        <f t="shared" si="34"/>
        <v/>
      </c>
      <c r="V128" s="26" t="str">
        <f t="shared" si="35"/>
        <v/>
      </c>
      <c r="W128" s="20" t="str">
        <f t="shared" si="36"/>
        <v/>
      </c>
      <c r="X128" s="20" t="str">
        <f t="shared" si="37"/>
        <v/>
      </c>
      <c r="Y128" s="86" t="str">
        <f t="shared" si="39"/>
        <v/>
      </c>
      <c r="Z128" s="31"/>
    </row>
    <row r="129" spans="2:26" outlineLevel="1">
      <c r="B129" s="14">
        <f t="shared" si="15"/>
        <v>126</v>
      </c>
      <c r="C129" s="37"/>
      <c r="D129" s="40"/>
      <c r="E129" s="39"/>
      <c r="F129" s="37"/>
      <c r="G129" s="39"/>
      <c r="H129" s="37"/>
      <c r="I129" s="37"/>
      <c r="J129" s="41" t="str">
        <f t="shared" si="24"/>
        <v/>
      </c>
      <c r="K129" s="12" t="str">
        <f t="shared" si="30"/>
        <v/>
      </c>
      <c r="L129" s="12" t="str">
        <f t="shared" si="31"/>
        <v/>
      </c>
      <c r="M129" s="12" t="str">
        <f t="shared" si="25"/>
        <v/>
      </c>
      <c r="N129" s="12" t="str">
        <f t="shared" si="26"/>
        <v/>
      </c>
      <c r="O129" s="12" t="str">
        <f t="shared" si="27"/>
        <v/>
      </c>
      <c r="P129" s="12" t="str">
        <f t="shared" si="28"/>
        <v/>
      </c>
      <c r="Q129" s="12" t="str">
        <f t="shared" si="32"/>
        <v/>
      </c>
      <c r="R129" s="26" t="str">
        <f t="shared" si="29"/>
        <v/>
      </c>
      <c r="S129" s="26" t="str">
        <f t="shared" si="38"/>
        <v/>
      </c>
      <c r="T129" s="26" t="str">
        <f t="shared" si="33"/>
        <v/>
      </c>
      <c r="U129" s="26" t="str">
        <f t="shared" si="34"/>
        <v/>
      </c>
      <c r="V129" s="26" t="str">
        <f t="shared" si="35"/>
        <v/>
      </c>
      <c r="W129" s="20" t="str">
        <f t="shared" si="36"/>
        <v/>
      </c>
      <c r="X129" s="20" t="str">
        <f t="shared" si="37"/>
        <v/>
      </c>
      <c r="Y129" s="86" t="str">
        <f t="shared" si="39"/>
        <v/>
      </c>
      <c r="Z129" s="31"/>
    </row>
    <row r="130" spans="2:26" outlineLevel="1">
      <c r="B130" s="14">
        <f t="shared" si="15"/>
        <v>127</v>
      </c>
      <c r="C130" s="37"/>
      <c r="D130" s="40"/>
      <c r="E130" s="39"/>
      <c r="F130" s="37"/>
      <c r="G130" s="39"/>
      <c r="H130" s="37"/>
      <c r="I130" s="37"/>
      <c r="J130" s="41" t="str">
        <f t="shared" si="24"/>
        <v/>
      </c>
      <c r="K130" s="12" t="str">
        <f t="shared" si="30"/>
        <v/>
      </c>
      <c r="L130" s="12" t="str">
        <f t="shared" si="31"/>
        <v/>
      </c>
      <c r="M130" s="12" t="str">
        <f t="shared" si="25"/>
        <v/>
      </c>
      <c r="N130" s="12" t="str">
        <f t="shared" si="26"/>
        <v/>
      </c>
      <c r="O130" s="12" t="str">
        <f t="shared" si="27"/>
        <v/>
      </c>
      <c r="P130" s="12" t="str">
        <f t="shared" si="28"/>
        <v/>
      </c>
      <c r="Q130" s="12" t="str">
        <f t="shared" si="32"/>
        <v/>
      </c>
      <c r="R130" s="26" t="str">
        <f t="shared" si="29"/>
        <v/>
      </c>
      <c r="S130" s="26" t="str">
        <f t="shared" si="38"/>
        <v/>
      </c>
      <c r="T130" s="26" t="str">
        <f t="shared" si="33"/>
        <v/>
      </c>
      <c r="U130" s="26" t="str">
        <f t="shared" si="34"/>
        <v/>
      </c>
      <c r="V130" s="26" t="str">
        <f t="shared" si="35"/>
        <v/>
      </c>
      <c r="W130" s="20" t="str">
        <f t="shared" si="36"/>
        <v/>
      </c>
      <c r="X130" s="20" t="str">
        <f t="shared" si="37"/>
        <v/>
      </c>
      <c r="Y130" s="86" t="str">
        <f t="shared" si="39"/>
        <v/>
      </c>
      <c r="Z130" s="31"/>
    </row>
    <row r="131" spans="2:26" outlineLevel="1">
      <c r="B131" s="14">
        <f t="shared" si="15"/>
        <v>128</v>
      </c>
      <c r="C131" s="37"/>
      <c r="D131" s="40"/>
      <c r="E131" s="39"/>
      <c r="F131" s="37"/>
      <c r="G131" s="39"/>
      <c r="H131" s="37"/>
      <c r="I131" s="37"/>
      <c r="J131" s="41" t="str">
        <f t="shared" si="24"/>
        <v/>
      </c>
      <c r="K131" s="12" t="str">
        <f t="shared" si="30"/>
        <v/>
      </c>
      <c r="L131" s="12" t="str">
        <f t="shared" si="31"/>
        <v/>
      </c>
      <c r="M131" s="12" t="str">
        <f t="shared" si="25"/>
        <v/>
      </c>
      <c r="N131" s="12" t="str">
        <f t="shared" si="26"/>
        <v/>
      </c>
      <c r="O131" s="12" t="str">
        <f t="shared" si="27"/>
        <v/>
      </c>
      <c r="P131" s="12" t="str">
        <f t="shared" si="28"/>
        <v/>
      </c>
      <c r="Q131" s="12" t="str">
        <f t="shared" si="32"/>
        <v/>
      </c>
      <c r="R131" s="26" t="str">
        <f t="shared" si="29"/>
        <v/>
      </c>
      <c r="S131" s="26" t="str">
        <f t="shared" si="38"/>
        <v/>
      </c>
      <c r="T131" s="26" t="str">
        <f t="shared" si="33"/>
        <v/>
      </c>
      <c r="U131" s="26" t="str">
        <f t="shared" si="34"/>
        <v/>
      </c>
      <c r="V131" s="26" t="str">
        <f t="shared" si="35"/>
        <v/>
      </c>
      <c r="W131" s="20" t="str">
        <f t="shared" si="36"/>
        <v/>
      </c>
      <c r="X131" s="20" t="str">
        <f t="shared" si="37"/>
        <v/>
      </c>
      <c r="Y131" s="86" t="str">
        <f t="shared" si="39"/>
        <v/>
      </c>
      <c r="Z131" s="31"/>
    </row>
    <row r="132" spans="2:26" outlineLevel="1">
      <c r="B132" s="14">
        <f t="shared" si="15"/>
        <v>129</v>
      </c>
      <c r="C132" s="37"/>
      <c r="D132" s="40"/>
      <c r="E132" s="39"/>
      <c r="F132" s="37"/>
      <c r="G132" s="39"/>
      <c r="H132" s="37"/>
      <c r="I132" s="37"/>
      <c r="J132" s="41" t="str">
        <f t="shared" ref="J132:J195" si="40">IF(D132="","",+$E$2*D132)</f>
        <v/>
      </c>
      <c r="K132" s="12" t="str">
        <f t="shared" si="30"/>
        <v/>
      </c>
      <c r="L132" s="12" t="str">
        <f t="shared" si="31"/>
        <v/>
      </c>
      <c r="M132" s="12" t="str">
        <f t="shared" ref="M132:M195" si="41">IF(E132="","",IF($L132="x",E132/12*3.14,(LEFT($E132,FIND("*",$E132)-1)+0)*12/144*2+(RIGHT($E132,LEN($E132)-FIND("*",$E132)))*12/144*2))</f>
        <v/>
      </c>
      <c r="N132" s="12" t="str">
        <f t="shared" ref="N132:N195" si="42">IF(E132="","",M132*IF(I132="y",MAX(0,J132-$AC$13),J132))</f>
        <v/>
      </c>
      <c r="O132" s="12" t="str">
        <f t="shared" ref="O132:O195" si="43">IF(E132="","",$AC$5*N132)</f>
        <v/>
      </c>
      <c r="P132" s="12" t="str">
        <f t="shared" ref="P132:P195" si="44">IF(D132="","",IFERROR(IF(ISERROR(FIND("*",$E132)),0,ROUND((O132*$AC$6),-1)),""))</f>
        <v/>
      </c>
      <c r="Q132" s="12" t="str">
        <f t="shared" si="32"/>
        <v/>
      </c>
      <c r="R132" s="26" t="str">
        <f t="shared" ref="R132:R195" si="45">IF(E132="","",IF(F132="x",N132*$AC$7,0))</f>
        <v/>
      </c>
      <c r="S132" s="26" t="str">
        <f t="shared" si="38"/>
        <v/>
      </c>
      <c r="T132" s="26" t="str">
        <f t="shared" si="33"/>
        <v/>
      </c>
      <c r="U132" s="26" t="str">
        <f t="shared" si="34"/>
        <v/>
      </c>
      <c r="V132" s="26" t="str">
        <f t="shared" si="35"/>
        <v/>
      </c>
      <c r="W132" s="20" t="str">
        <f t="shared" si="36"/>
        <v/>
      </c>
      <c r="X132" s="20" t="str">
        <f t="shared" si="37"/>
        <v/>
      </c>
      <c r="Y132" s="86" t="str">
        <f t="shared" si="39"/>
        <v/>
      </c>
      <c r="Z132" s="31"/>
    </row>
    <row r="133" spans="2:26" outlineLevel="1">
      <c r="B133" s="14">
        <f t="shared" si="15"/>
        <v>130</v>
      </c>
      <c r="C133" s="37"/>
      <c r="D133" s="40"/>
      <c r="E133" s="39"/>
      <c r="F133" s="37"/>
      <c r="G133" s="39"/>
      <c r="H133" s="37"/>
      <c r="I133" s="37"/>
      <c r="J133" s="41" t="str">
        <f t="shared" si="40"/>
        <v/>
      </c>
      <c r="K133" s="12" t="str">
        <f t="shared" ref="K133:K196" si="46">IF($D133="","",IF(ISERROR(FIND("*",$E133)),"","x"))</f>
        <v/>
      </c>
      <c r="L133" s="12" t="str">
        <f t="shared" ref="L133:L196" si="47">IF($D133="","",IF(ISERROR(FIND("*",$E133)),"x",""))</f>
        <v/>
      </c>
      <c r="M133" s="12" t="str">
        <f t="shared" si="41"/>
        <v/>
      </c>
      <c r="N133" s="12" t="str">
        <f t="shared" si="42"/>
        <v/>
      </c>
      <c r="O133" s="12" t="str">
        <f t="shared" si="43"/>
        <v/>
      </c>
      <c r="P133" s="12" t="str">
        <f t="shared" si="44"/>
        <v/>
      </c>
      <c r="Q133" s="12" t="str">
        <f t="shared" ref="Q133:Q196" si="48">IF(D133="","",IFERROR(IF(ISERROR(FIND("*",$E133)),INDEX($AP$5:$AP$16,MATCH($E133,$AL$5:$AL$16,0),1)*$J133,0),""))</f>
        <v/>
      </c>
      <c r="R133" s="26" t="str">
        <f t="shared" si="45"/>
        <v/>
      </c>
      <c r="S133" s="26" t="str">
        <f t="shared" si="38"/>
        <v/>
      </c>
      <c r="T133" s="26" t="str">
        <f t="shared" ref="T133:T196" si="49">IF(E133="","",IF(H133="x",IF(G133="x",0,25),0))</f>
        <v/>
      </c>
      <c r="U133" s="26" t="str">
        <f t="shared" ref="U133:U196" si="50">IF(D133="","",SUM(P133,R133,S133,T133)*$U$2)</f>
        <v/>
      </c>
      <c r="V133" s="26" t="str">
        <f t="shared" ref="V133:V196" si="51">IF(D133="","",SUM($Q133)*$V$2)</f>
        <v/>
      </c>
      <c r="W133" s="20" t="str">
        <f t="shared" ref="W133:W196" si="52">IF($D133="","",SUM(P133:U133))</f>
        <v/>
      </c>
      <c r="X133" s="20" t="str">
        <f t="shared" ref="X133:X196" si="53">IF(J133="","",ROUNDUP(J133*$AC$9+IF(R133=0,0,$AC$8*J133)+IF(G133="x",$AC$12,0)+IF(H133="x",0.5*25,0),-1))</f>
        <v/>
      </c>
      <c r="Y133" s="86" t="str">
        <f t="shared" si="39"/>
        <v/>
      </c>
      <c r="Z133" s="31"/>
    </row>
    <row r="134" spans="2:26" outlineLevel="1">
      <c r="B134" s="14">
        <f t="shared" si="15"/>
        <v>131</v>
      </c>
      <c r="C134" s="37"/>
      <c r="D134" s="40"/>
      <c r="E134" s="39"/>
      <c r="F134" s="37"/>
      <c r="G134" s="39"/>
      <c r="H134" s="37"/>
      <c r="I134" s="37"/>
      <c r="J134" s="41" t="str">
        <f t="shared" si="40"/>
        <v/>
      </c>
      <c r="K134" s="12" t="str">
        <f t="shared" si="46"/>
        <v/>
      </c>
      <c r="L134" s="12" t="str">
        <f t="shared" si="47"/>
        <v/>
      </c>
      <c r="M134" s="12" t="str">
        <f t="shared" si="41"/>
        <v/>
      </c>
      <c r="N134" s="12" t="str">
        <f t="shared" si="42"/>
        <v/>
      </c>
      <c r="O134" s="12" t="str">
        <f t="shared" si="43"/>
        <v/>
      </c>
      <c r="P134" s="12" t="str">
        <f t="shared" si="44"/>
        <v/>
      </c>
      <c r="Q134" s="12" t="str">
        <f t="shared" si="48"/>
        <v/>
      </c>
      <c r="R134" s="26" t="str">
        <f t="shared" si="45"/>
        <v/>
      </c>
      <c r="S134" s="26" t="str">
        <f t="shared" ref="S134:S197" si="54">IF(E134="","",IF(I134="x",$AC$13*INDEX($AN$19:$AN$30,MATCH($E134,$AL$19:$AL$30,0),1)*1.25,0))</f>
        <v/>
      </c>
      <c r="T134" s="26" t="str">
        <f t="shared" si="49"/>
        <v/>
      </c>
      <c r="U134" s="26" t="str">
        <f t="shared" si="50"/>
        <v/>
      </c>
      <c r="V134" s="26" t="str">
        <f t="shared" si="51"/>
        <v/>
      </c>
      <c r="W134" s="20" t="str">
        <f t="shared" si="52"/>
        <v/>
      </c>
      <c r="X134" s="20" t="str">
        <f t="shared" si="53"/>
        <v/>
      </c>
      <c r="Y134" s="86" t="str">
        <f t="shared" si="39"/>
        <v/>
      </c>
      <c r="Z134" s="31"/>
    </row>
    <row r="135" spans="2:26" outlineLevel="1">
      <c r="B135" s="14">
        <f t="shared" si="15"/>
        <v>132</v>
      </c>
      <c r="C135" s="37"/>
      <c r="D135" s="40"/>
      <c r="E135" s="39"/>
      <c r="F135" s="37"/>
      <c r="G135" s="39"/>
      <c r="H135" s="37"/>
      <c r="I135" s="37"/>
      <c r="J135" s="41" t="str">
        <f t="shared" si="40"/>
        <v/>
      </c>
      <c r="K135" s="12" t="str">
        <f t="shared" si="46"/>
        <v/>
      </c>
      <c r="L135" s="12" t="str">
        <f t="shared" si="47"/>
        <v/>
      </c>
      <c r="M135" s="12" t="str">
        <f t="shared" si="41"/>
        <v/>
      </c>
      <c r="N135" s="12" t="str">
        <f t="shared" si="42"/>
        <v/>
      </c>
      <c r="O135" s="12" t="str">
        <f t="shared" si="43"/>
        <v/>
      </c>
      <c r="P135" s="12" t="str">
        <f t="shared" si="44"/>
        <v/>
      </c>
      <c r="Q135" s="12" t="str">
        <f t="shared" si="48"/>
        <v/>
      </c>
      <c r="R135" s="26" t="str">
        <f t="shared" si="45"/>
        <v/>
      </c>
      <c r="S135" s="26" t="str">
        <f t="shared" si="54"/>
        <v/>
      </c>
      <c r="T135" s="26" t="str">
        <f t="shared" si="49"/>
        <v/>
      </c>
      <c r="U135" s="26" t="str">
        <f t="shared" si="50"/>
        <v/>
      </c>
      <c r="V135" s="26" t="str">
        <f t="shared" si="51"/>
        <v/>
      </c>
      <c r="W135" s="20" t="str">
        <f t="shared" si="52"/>
        <v/>
      </c>
      <c r="X135" s="20" t="str">
        <f t="shared" si="53"/>
        <v/>
      </c>
      <c r="Y135" s="86" t="str">
        <f t="shared" si="39"/>
        <v/>
      </c>
      <c r="Z135" s="31"/>
    </row>
    <row r="136" spans="2:26" outlineLevel="1">
      <c r="B136" s="14">
        <f t="shared" si="15"/>
        <v>133</v>
      </c>
      <c r="C136" s="37"/>
      <c r="D136" s="40"/>
      <c r="E136" s="39"/>
      <c r="F136" s="37"/>
      <c r="G136" s="39"/>
      <c r="H136" s="37"/>
      <c r="I136" s="37"/>
      <c r="J136" s="41" t="str">
        <f t="shared" si="40"/>
        <v/>
      </c>
      <c r="K136" s="12" t="str">
        <f t="shared" si="46"/>
        <v/>
      </c>
      <c r="L136" s="12" t="str">
        <f t="shared" si="47"/>
        <v/>
      </c>
      <c r="M136" s="12" t="str">
        <f t="shared" si="41"/>
        <v/>
      </c>
      <c r="N136" s="12" t="str">
        <f t="shared" si="42"/>
        <v/>
      </c>
      <c r="O136" s="12" t="str">
        <f t="shared" si="43"/>
        <v/>
      </c>
      <c r="P136" s="12" t="str">
        <f t="shared" si="44"/>
        <v/>
      </c>
      <c r="Q136" s="12" t="str">
        <f t="shared" si="48"/>
        <v/>
      </c>
      <c r="R136" s="26" t="str">
        <f t="shared" si="45"/>
        <v/>
      </c>
      <c r="S136" s="26" t="str">
        <f t="shared" si="54"/>
        <v/>
      </c>
      <c r="T136" s="26" t="str">
        <f t="shared" si="49"/>
        <v/>
      </c>
      <c r="U136" s="26" t="str">
        <f t="shared" si="50"/>
        <v/>
      </c>
      <c r="V136" s="26" t="str">
        <f t="shared" si="51"/>
        <v/>
      </c>
      <c r="W136" s="20" t="str">
        <f t="shared" si="52"/>
        <v/>
      </c>
      <c r="X136" s="20" t="str">
        <f t="shared" si="53"/>
        <v/>
      </c>
      <c r="Y136" s="86" t="str">
        <f t="shared" si="39"/>
        <v/>
      </c>
      <c r="Z136" s="31"/>
    </row>
    <row r="137" spans="2:26" outlineLevel="1">
      <c r="B137" s="14">
        <f t="shared" si="15"/>
        <v>134</v>
      </c>
      <c r="C137" s="37"/>
      <c r="D137" s="40"/>
      <c r="E137" s="39"/>
      <c r="F137" s="37"/>
      <c r="G137" s="39"/>
      <c r="H137" s="37"/>
      <c r="I137" s="37"/>
      <c r="J137" s="41" t="str">
        <f t="shared" si="40"/>
        <v/>
      </c>
      <c r="K137" s="12" t="str">
        <f t="shared" si="46"/>
        <v/>
      </c>
      <c r="L137" s="12" t="str">
        <f t="shared" si="47"/>
        <v/>
      </c>
      <c r="M137" s="12" t="str">
        <f t="shared" si="41"/>
        <v/>
      </c>
      <c r="N137" s="12" t="str">
        <f t="shared" si="42"/>
        <v/>
      </c>
      <c r="O137" s="12" t="str">
        <f t="shared" si="43"/>
        <v/>
      </c>
      <c r="P137" s="12" t="str">
        <f t="shared" si="44"/>
        <v/>
      </c>
      <c r="Q137" s="12" t="str">
        <f t="shared" si="48"/>
        <v/>
      </c>
      <c r="R137" s="26" t="str">
        <f t="shared" si="45"/>
        <v/>
      </c>
      <c r="S137" s="26" t="str">
        <f t="shared" si="54"/>
        <v/>
      </c>
      <c r="T137" s="26" t="str">
        <f t="shared" si="49"/>
        <v/>
      </c>
      <c r="U137" s="26" t="str">
        <f t="shared" si="50"/>
        <v/>
      </c>
      <c r="V137" s="26" t="str">
        <f t="shared" si="51"/>
        <v/>
      </c>
      <c r="W137" s="20" t="str">
        <f t="shared" si="52"/>
        <v/>
      </c>
      <c r="X137" s="20" t="str">
        <f t="shared" si="53"/>
        <v/>
      </c>
      <c r="Y137" s="86" t="str">
        <f t="shared" si="39"/>
        <v/>
      </c>
      <c r="Z137" s="31"/>
    </row>
    <row r="138" spans="2:26" outlineLevel="1">
      <c r="B138" s="14">
        <f t="shared" si="15"/>
        <v>135</v>
      </c>
      <c r="C138" s="37"/>
      <c r="D138" s="40"/>
      <c r="E138" s="39"/>
      <c r="F138" s="37"/>
      <c r="G138" s="39"/>
      <c r="H138" s="37"/>
      <c r="I138" s="37"/>
      <c r="J138" s="41" t="str">
        <f t="shared" si="40"/>
        <v/>
      </c>
      <c r="K138" s="12" t="str">
        <f t="shared" si="46"/>
        <v/>
      </c>
      <c r="L138" s="12" t="str">
        <f t="shared" si="47"/>
        <v/>
      </c>
      <c r="M138" s="12" t="str">
        <f t="shared" si="41"/>
        <v/>
      </c>
      <c r="N138" s="12" t="str">
        <f t="shared" si="42"/>
        <v/>
      </c>
      <c r="O138" s="12" t="str">
        <f t="shared" si="43"/>
        <v/>
      </c>
      <c r="P138" s="12" t="str">
        <f t="shared" si="44"/>
        <v/>
      </c>
      <c r="Q138" s="12" t="str">
        <f t="shared" si="48"/>
        <v/>
      </c>
      <c r="R138" s="26" t="str">
        <f t="shared" si="45"/>
        <v/>
      </c>
      <c r="S138" s="26" t="str">
        <f t="shared" si="54"/>
        <v/>
      </c>
      <c r="T138" s="26" t="str">
        <f t="shared" si="49"/>
        <v/>
      </c>
      <c r="U138" s="26" t="str">
        <f t="shared" si="50"/>
        <v/>
      </c>
      <c r="V138" s="26" t="str">
        <f t="shared" si="51"/>
        <v/>
      </c>
      <c r="W138" s="20" t="str">
        <f t="shared" si="52"/>
        <v/>
      </c>
      <c r="X138" s="20" t="str">
        <f t="shared" si="53"/>
        <v/>
      </c>
      <c r="Y138" s="86" t="str">
        <f t="shared" si="39"/>
        <v/>
      </c>
      <c r="Z138" s="31"/>
    </row>
    <row r="139" spans="2:26" outlineLevel="1">
      <c r="B139" s="14">
        <f t="shared" si="15"/>
        <v>136</v>
      </c>
      <c r="C139" s="37"/>
      <c r="D139" s="40"/>
      <c r="E139" s="39"/>
      <c r="F139" s="37"/>
      <c r="G139" s="39"/>
      <c r="H139" s="37"/>
      <c r="I139" s="37"/>
      <c r="J139" s="41" t="str">
        <f t="shared" si="40"/>
        <v/>
      </c>
      <c r="K139" s="12" t="str">
        <f t="shared" si="46"/>
        <v/>
      </c>
      <c r="L139" s="12" t="str">
        <f t="shared" si="47"/>
        <v/>
      </c>
      <c r="M139" s="12" t="str">
        <f t="shared" si="41"/>
        <v/>
      </c>
      <c r="N139" s="12" t="str">
        <f t="shared" si="42"/>
        <v/>
      </c>
      <c r="O139" s="12" t="str">
        <f t="shared" si="43"/>
        <v/>
      </c>
      <c r="P139" s="12" t="str">
        <f t="shared" si="44"/>
        <v/>
      </c>
      <c r="Q139" s="12" t="str">
        <f t="shared" si="48"/>
        <v/>
      </c>
      <c r="R139" s="26" t="str">
        <f t="shared" si="45"/>
        <v/>
      </c>
      <c r="S139" s="26" t="str">
        <f t="shared" si="54"/>
        <v/>
      </c>
      <c r="T139" s="26" t="str">
        <f t="shared" si="49"/>
        <v/>
      </c>
      <c r="U139" s="26" t="str">
        <f t="shared" si="50"/>
        <v/>
      </c>
      <c r="V139" s="26" t="str">
        <f t="shared" si="51"/>
        <v/>
      </c>
      <c r="W139" s="20" t="str">
        <f t="shared" si="52"/>
        <v/>
      </c>
      <c r="X139" s="20" t="str">
        <f t="shared" si="53"/>
        <v/>
      </c>
      <c r="Y139" s="86" t="str">
        <f t="shared" si="39"/>
        <v/>
      </c>
      <c r="Z139" s="31"/>
    </row>
    <row r="140" spans="2:26" outlineLevel="1">
      <c r="B140" s="14">
        <f t="shared" si="15"/>
        <v>137</v>
      </c>
      <c r="C140" s="37"/>
      <c r="D140" s="40"/>
      <c r="E140" s="39"/>
      <c r="F140" s="37"/>
      <c r="G140" s="39"/>
      <c r="H140" s="37"/>
      <c r="I140" s="37"/>
      <c r="J140" s="41" t="str">
        <f t="shared" si="40"/>
        <v/>
      </c>
      <c r="K140" s="12" t="str">
        <f t="shared" si="46"/>
        <v/>
      </c>
      <c r="L140" s="12" t="str">
        <f t="shared" si="47"/>
        <v/>
      </c>
      <c r="M140" s="12" t="str">
        <f t="shared" si="41"/>
        <v/>
      </c>
      <c r="N140" s="12" t="str">
        <f t="shared" si="42"/>
        <v/>
      </c>
      <c r="O140" s="12" t="str">
        <f t="shared" si="43"/>
        <v/>
      </c>
      <c r="P140" s="12" t="str">
        <f t="shared" si="44"/>
        <v/>
      </c>
      <c r="Q140" s="12" t="str">
        <f t="shared" si="48"/>
        <v/>
      </c>
      <c r="R140" s="26" t="str">
        <f t="shared" si="45"/>
        <v/>
      </c>
      <c r="S140" s="26" t="str">
        <f t="shared" si="54"/>
        <v/>
      </c>
      <c r="T140" s="26" t="str">
        <f t="shared" si="49"/>
        <v/>
      </c>
      <c r="U140" s="26" t="str">
        <f t="shared" si="50"/>
        <v/>
      </c>
      <c r="V140" s="26" t="str">
        <f t="shared" si="51"/>
        <v/>
      </c>
      <c r="W140" s="20" t="str">
        <f t="shared" si="52"/>
        <v/>
      </c>
      <c r="X140" s="20" t="str">
        <f t="shared" si="53"/>
        <v/>
      </c>
      <c r="Y140" s="86" t="str">
        <f t="shared" si="39"/>
        <v/>
      </c>
      <c r="Z140" s="31"/>
    </row>
    <row r="141" spans="2:26" outlineLevel="1">
      <c r="B141" s="14">
        <f t="shared" si="15"/>
        <v>138</v>
      </c>
      <c r="C141" s="37"/>
      <c r="D141" s="40"/>
      <c r="E141" s="39"/>
      <c r="F141" s="37"/>
      <c r="G141" s="39"/>
      <c r="H141" s="37"/>
      <c r="I141" s="37"/>
      <c r="J141" s="41" t="str">
        <f t="shared" si="40"/>
        <v/>
      </c>
      <c r="K141" s="12" t="str">
        <f t="shared" si="46"/>
        <v/>
      </c>
      <c r="L141" s="12" t="str">
        <f t="shared" si="47"/>
        <v/>
      </c>
      <c r="M141" s="12" t="str">
        <f t="shared" si="41"/>
        <v/>
      </c>
      <c r="N141" s="12" t="str">
        <f t="shared" si="42"/>
        <v/>
      </c>
      <c r="O141" s="12" t="str">
        <f t="shared" si="43"/>
        <v/>
      </c>
      <c r="P141" s="12" t="str">
        <f t="shared" si="44"/>
        <v/>
      </c>
      <c r="Q141" s="12" t="str">
        <f t="shared" si="48"/>
        <v/>
      </c>
      <c r="R141" s="26" t="str">
        <f t="shared" si="45"/>
        <v/>
      </c>
      <c r="S141" s="26" t="str">
        <f t="shared" si="54"/>
        <v/>
      </c>
      <c r="T141" s="26" t="str">
        <f t="shared" si="49"/>
        <v/>
      </c>
      <c r="U141" s="26" t="str">
        <f t="shared" si="50"/>
        <v/>
      </c>
      <c r="V141" s="26" t="str">
        <f t="shared" si="51"/>
        <v/>
      </c>
      <c r="W141" s="20" t="str">
        <f t="shared" si="52"/>
        <v/>
      </c>
      <c r="X141" s="20" t="str">
        <f t="shared" si="53"/>
        <v/>
      </c>
      <c r="Y141" s="86" t="str">
        <f t="shared" si="39"/>
        <v/>
      </c>
      <c r="Z141" s="31"/>
    </row>
    <row r="142" spans="2:26" outlineLevel="1">
      <c r="B142" s="14">
        <f t="shared" si="15"/>
        <v>139</v>
      </c>
      <c r="C142" s="37"/>
      <c r="D142" s="40"/>
      <c r="E142" s="39"/>
      <c r="F142" s="37"/>
      <c r="G142" s="39"/>
      <c r="H142" s="37"/>
      <c r="I142" s="37"/>
      <c r="J142" s="41" t="str">
        <f t="shared" si="40"/>
        <v/>
      </c>
      <c r="K142" s="12" t="str">
        <f t="shared" si="46"/>
        <v/>
      </c>
      <c r="L142" s="12" t="str">
        <f t="shared" si="47"/>
        <v/>
      </c>
      <c r="M142" s="12" t="str">
        <f t="shared" si="41"/>
        <v/>
      </c>
      <c r="N142" s="12" t="str">
        <f t="shared" si="42"/>
        <v/>
      </c>
      <c r="O142" s="12" t="str">
        <f t="shared" si="43"/>
        <v/>
      </c>
      <c r="P142" s="12" t="str">
        <f t="shared" si="44"/>
        <v/>
      </c>
      <c r="Q142" s="12" t="str">
        <f t="shared" si="48"/>
        <v/>
      </c>
      <c r="R142" s="26" t="str">
        <f t="shared" si="45"/>
        <v/>
      </c>
      <c r="S142" s="26" t="str">
        <f t="shared" si="54"/>
        <v/>
      </c>
      <c r="T142" s="26" t="str">
        <f t="shared" si="49"/>
        <v/>
      </c>
      <c r="U142" s="26" t="str">
        <f t="shared" si="50"/>
        <v/>
      </c>
      <c r="V142" s="26" t="str">
        <f t="shared" si="51"/>
        <v/>
      </c>
      <c r="W142" s="20" t="str">
        <f t="shared" si="52"/>
        <v/>
      </c>
      <c r="X142" s="20" t="str">
        <f t="shared" si="53"/>
        <v/>
      </c>
      <c r="Y142" s="86" t="str">
        <f t="shared" si="39"/>
        <v/>
      </c>
      <c r="Z142" s="31"/>
    </row>
    <row r="143" spans="2:26" outlineLevel="1">
      <c r="B143" s="14">
        <f t="shared" si="15"/>
        <v>140</v>
      </c>
      <c r="C143" s="37"/>
      <c r="D143" s="40"/>
      <c r="E143" s="39"/>
      <c r="F143" s="37"/>
      <c r="G143" s="39"/>
      <c r="H143" s="37"/>
      <c r="I143" s="37"/>
      <c r="J143" s="41" t="str">
        <f t="shared" si="40"/>
        <v/>
      </c>
      <c r="K143" s="12" t="str">
        <f t="shared" si="46"/>
        <v/>
      </c>
      <c r="L143" s="12" t="str">
        <f t="shared" si="47"/>
        <v/>
      </c>
      <c r="M143" s="12" t="str">
        <f t="shared" si="41"/>
        <v/>
      </c>
      <c r="N143" s="12" t="str">
        <f t="shared" si="42"/>
        <v/>
      </c>
      <c r="O143" s="12" t="str">
        <f t="shared" si="43"/>
        <v/>
      </c>
      <c r="P143" s="12" t="str">
        <f t="shared" si="44"/>
        <v/>
      </c>
      <c r="Q143" s="12" t="str">
        <f t="shared" si="48"/>
        <v/>
      </c>
      <c r="R143" s="26" t="str">
        <f t="shared" si="45"/>
        <v/>
      </c>
      <c r="S143" s="26" t="str">
        <f t="shared" si="54"/>
        <v/>
      </c>
      <c r="T143" s="26" t="str">
        <f t="shared" si="49"/>
        <v/>
      </c>
      <c r="U143" s="26" t="str">
        <f t="shared" si="50"/>
        <v/>
      </c>
      <c r="V143" s="26" t="str">
        <f t="shared" si="51"/>
        <v/>
      </c>
      <c r="W143" s="20" t="str">
        <f t="shared" si="52"/>
        <v/>
      </c>
      <c r="X143" s="20" t="str">
        <f t="shared" si="53"/>
        <v/>
      </c>
      <c r="Y143" s="86" t="str">
        <f t="shared" si="39"/>
        <v/>
      </c>
      <c r="Z143" s="31"/>
    </row>
    <row r="144" spans="2:26" outlineLevel="1">
      <c r="B144" s="14">
        <f t="shared" si="15"/>
        <v>141</v>
      </c>
      <c r="C144" s="37"/>
      <c r="D144" s="40"/>
      <c r="E144" s="39"/>
      <c r="F144" s="37"/>
      <c r="G144" s="39"/>
      <c r="H144" s="37"/>
      <c r="I144" s="37"/>
      <c r="J144" s="41" t="str">
        <f t="shared" si="40"/>
        <v/>
      </c>
      <c r="K144" s="12" t="str">
        <f t="shared" si="46"/>
        <v/>
      </c>
      <c r="L144" s="12" t="str">
        <f t="shared" si="47"/>
        <v/>
      </c>
      <c r="M144" s="12" t="str">
        <f t="shared" si="41"/>
        <v/>
      </c>
      <c r="N144" s="12" t="str">
        <f t="shared" si="42"/>
        <v/>
      </c>
      <c r="O144" s="12" t="str">
        <f t="shared" si="43"/>
        <v/>
      </c>
      <c r="P144" s="12" t="str">
        <f t="shared" si="44"/>
        <v/>
      </c>
      <c r="Q144" s="12" t="str">
        <f t="shared" si="48"/>
        <v/>
      </c>
      <c r="R144" s="26" t="str">
        <f t="shared" si="45"/>
        <v/>
      </c>
      <c r="S144" s="26" t="str">
        <f t="shared" si="54"/>
        <v/>
      </c>
      <c r="T144" s="26" t="str">
        <f t="shared" si="49"/>
        <v/>
      </c>
      <c r="U144" s="26" t="str">
        <f t="shared" si="50"/>
        <v/>
      </c>
      <c r="V144" s="26" t="str">
        <f t="shared" si="51"/>
        <v/>
      </c>
      <c r="W144" s="20" t="str">
        <f t="shared" si="52"/>
        <v/>
      </c>
      <c r="X144" s="20" t="str">
        <f t="shared" si="53"/>
        <v/>
      </c>
      <c r="Y144" s="86" t="str">
        <f t="shared" ref="Y144:Y207" si="55">IFERROR(+W144+X144,"")</f>
        <v/>
      </c>
      <c r="Z144" s="31"/>
    </row>
    <row r="145" spans="2:26" outlineLevel="1">
      <c r="B145" s="14">
        <f t="shared" si="15"/>
        <v>142</v>
      </c>
      <c r="C145" s="37"/>
      <c r="D145" s="40"/>
      <c r="E145" s="39"/>
      <c r="F145" s="37"/>
      <c r="G145" s="39"/>
      <c r="H145" s="37"/>
      <c r="I145" s="37"/>
      <c r="J145" s="41" t="str">
        <f t="shared" si="40"/>
        <v/>
      </c>
      <c r="K145" s="12" t="str">
        <f t="shared" si="46"/>
        <v/>
      </c>
      <c r="L145" s="12" t="str">
        <f t="shared" si="47"/>
        <v/>
      </c>
      <c r="M145" s="12" t="str">
        <f t="shared" si="41"/>
        <v/>
      </c>
      <c r="N145" s="12" t="str">
        <f t="shared" si="42"/>
        <v/>
      </c>
      <c r="O145" s="12" t="str">
        <f t="shared" si="43"/>
        <v/>
      </c>
      <c r="P145" s="12" t="str">
        <f t="shared" si="44"/>
        <v/>
      </c>
      <c r="Q145" s="12" t="str">
        <f t="shared" si="48"/>
        <v/>
      </c>
      <c r="R145" s="26" t="str">
        <f t="shared" si="45"/>
        <v/>
      </c>
      <c r="S145" s="26" t="str">
        <f t="shared" si="54"/>
        <v/>
      </c>
      <c r="T145" s="26" t="str">
        <f t="shared" si="49"/>
        <v/>
      </c>
      <c r="U145" s="26" t="str">
        <f t="shared" si="50"/>
        <v/>
      </c>
      <c r="V145" s="26" t="str">
        <f t="shared" si="51"/>
        <v/>
      </c>
      <c r="W145" s="20" t="str">
        <f t="shared" si="52"/>
        <v/>
      </c>
      <c r="X145" s="20" t="str">
        <f t="shared" si="53"/>
        <v/>
      </c>
      <c r="Y145" s="86" t="str">
        <f t="shared" si="55"/>
        <v/>
      </c>
      <c r="Z145" s="31"/>
    </row>
    <row r="146" spans="2:26" outlineLevel="1">
      <c r="B146" s="14">
        <f t="shared" si="15"/>
        <v>143</v>
      </c>
      <c r="C146" s="37"/>
      <c r="D146" s="40"/>
      <c r="E146" s="39"/>
      <c r="F146" s="37"/>
      <c r="G146" s="39"/>
      <c r="H146" s="37"/>
      <c r="I146" s="37"/>
      <c r="J146" s="41" t="str">
        <f t="shared" si="40"/>
        <v/>
      </c>
      <c r="K146" s="12" t="str">
        <f t="shared" si="46"/>
        <v/>
      </c>
      <c r="L146" s="12" t="str">
        <f t="shared" si="47"/>
        <v/>
      </c>
      <c r="M146" s="12" t="str">
        <f t="shared" si="41"/>
        <v/>
      </c>
      <c r="N146" s="12" t="str">
        <f t="shared" si="42"/>
        <v/>
      </c>
      <c r="O146" s="12" t="str">
        <f t="shared" si="43"/>
        <v/>
      </c>
      <c r="P146" s="12" t="str">
        <f t="shared" si="44"/>
        <v/>
      </c>
      <c r="Q146" s="12" t="str">
        <f t="shared" si="48"/>
        <v/>
      </c>
      <c r="R146" s="26" t="str">
        <f t="shared" si="45"/>
        <v/>
      </c>
      <c r="S146" s="26" t="str">
        <f t="shared" si="54"/>
        <v/>
      </c>
      <c r="T146" s="26" t="str">
        <f t="shared" si="49"/>
        <v/>
      </c>
      <c r="U146" s="26" t="str">
        <f t="shared" si="50"/>
        <v/>
      </c>
      <c r="V146" s="26" t="str">
        <f t="shared" si="51"/>
        <v/>
      </c>
      <c r="W146" s="20" t="str">
        <f t="shared" si="52"/>
        <v/>
      </c>
      <c r="X146" s="20" t="str">
        <f t="shared" si="53"/>
        <v/>
      </c>
      <c r="Y146" s="86" t="str">
        <f t="shared" si="55"/>
        <v/>
      </c>
      <c r="Z146" s="31"/>
    </row>
    <row r="147" spans="2:26" outlineLevel="1">
      <c r="B147" s="14">
        <f t="shared" si="15"/>
        <v>144</v>
      </c>
      <c r="C147" s="37"/>
      <c r="D147" s="40"/>
      <c r="E147" s="39"/>
      <c r="F147" s="37"/>
      <c r="G147" s="39"/>
      <c r="H147" s="37"/>
      <c r="I147" s="37"/>
      <c r="J147" s="41" t="str">
        <f t="shared" si="40"/>
        <v/>
      </c>
      <c r="K147" s="12" t="str">
        <f t="shared" si="46"/>
        <v/>
      </c>
      <c r="L147" s="12" t="str">
        <f t="shared" si="47"/>
        <v/>
      </c>
      <c r="M147" s="12" t="str">
        <f t="shared" si="41"/>
        <v/>
      </c>
      <c r="N147" s="12" t="str">
        <f t="shared" si="42"/>
        <v/>
      </c>
      <c r="O147" s="12" t="str">
        <f t="shared" si="43"/>
        <v/>
      </c>
      <c r="P147" s="12" t="str">
        <f t="shared" si="44"/>
        <v/>
      </c>
      <c r="Q147" s="12" t="str">
        <f t="shared" si="48"/>
        <v/>
      </c>
      <c r="R147" s="26" t="str">
        <f t="shared" si="45"/>
        <v/>
      </c>
      <c r="S147" s="26" t="str">
        <f t="shared" si="54"/>
        <v/>
      </c>
      <c r="T147" s="26" t="str">
        <f t="shared" si="49"/>
        <v/>
      </c>
      <c r="U147" s="26" t="str">
        <f t="shared" si="50"/>
        <v/>
      </c>
      <c r="V147" s="26" t="str">
        <f t="shared" si="51"/>
        <v/>
      </c>
      <c r="W147" s="20" t="str">
        <f t="shared" si="52"/>
        <v/>
      </c>
      <c r="X147" s="20" t="str">
        <f t="shared" si="53"/>
        <v/>
      </c>
      <c r="Y147" s="86" t="str">
        <f t="shared" si="55"/>
        <v/>
      </c>
      <c r="Z147" s="31"/>
    </row>
    <row r="148" spans="2:26" outlineLevel="1">
      <c r="B148" s="14">
        <f t="shared" si="15"/>
        <v>145</v>
      </c>
      <c r="C148" s="37"/>
      <c r="D148" s="40"/>
      <c r="E148" s="39"/>
      <c r="F148" s="37"/>
      <c r="G148" s="39"/>
      <c r="H148" s="37"/>
      <c r="I148" s="37"/>
      <c r="J148" s="41" t="str">
        <f t="shared" si="40"/>
        <v/>
      </c>
      <c r="K148" s="12" t="str">
        <f t="shared" si="46"/>
        <v/>
      </c>
      <c r="L148" s="12" t="str">
        <f t="shared" si="47"/>
        <v/>
      </c>
      <c r="M148" s="12" t="str">
        <f t="shared" si="41"/>
        <v/>
      </c>
      <c r="N148" s="12" t="str">
        <f t="shared" si="42"/>
        <v/>
      </c>
      <c r="O148" s="12" t="str">
        <f t="shared" si="43"/>
        <v/>
      </c>
      <c r="P148" s="12" t="str">
        <f t="shared" si="44"/>
        <v/>
      </c>
      <c r="Q148" s="12" t="str">
        <f t="shared" si="48"/>
        <v/>
      </c>
      <c r="R148" s="26" t="str">
        <f t="shared" si="45"/>
        <v/>
      </c>
      <c r="S148" s="26" t="str">
        <f t="shared" si="54"/>
        <v/>
      </c>
      <c r="T148" s="26" t="str">
        <f t="shared" si="49"/>
        <v/>
      </c>
      <c r="U148" s="26" t="str">
        <f t="shared" si="50"/>
        <v/>
      </c>
      <c r="V148" s="26" t="str">
        <f t="shared" si="51"/>
        <v/>
      </c>
      <c r="W148" s="20" t="str">
        <f t="shared" si="52"/>
        <v/>
      </c>
      <c r="X148" s="20" t="str">
        <f t="shared" si="53"/>
        <v/>
      </c>
      <c r="Y148" s="86" t="str">
        <f t="shared" si="55"/>
        <v/>
      </c>
      <c r="Z148" s="31"/>
    </row>
    <row r="149" spans="2:26" outlineLevel="1">
      <c r="B149" s="14">
        <f t="shared" si="15"/>
        <v>146</v>
      </c>
      <c r="C149" s="37"/>
      <c r="D149" s="40"/>
      <c r="E149" s="39"/>
      <c r="F149" s="37"/>
      <c r="G149" s="39"/>
      <c r="H149" s="37"/>
      <c r="I149" s="37"/>
      <c r="J149" s="41" t="str">
        <f t="shared" si="40"/>
        <v/>
      </c>
      <c r="K149" s="12" t="str">
        <f t="shared" si="46"/>
        <v/>
      </c>
      <c r="L149" s="12" t="str">
        <f t="shared" si="47"/>
        <v/>
      </c>
      <c r="M149" s="12" t="str">
        <f t="shared" si="41"/>
        <v/>
      </c>
      <c r="N149" s="12" t="str">
        <f t="shared" si="42"/>
        <v/>
      </c>
      <c r="O149" s="12" t="str">
        <f t="shared" si="43"/>
        <v/>
      </c>
      <c r="P149" s="12" t="str">
        <f t="shared" si="44"/>
        <v/>
      </c>
      <c r="Q149" s="12" t="str">
        <f t="shared" si="48"/>
        <v/>
      </c>
      <c r="R149" s="26" t="str">
        <f t="shared" si="45"/>
        <v/>
      </c>
      <c r="S149" s="26" t="str">
        <f t="shared" si="54"/>
        <v/>
      </c>
      <c r="T149" s="26" t="str">
        <f t="shared" si="49"/>
        <v/>
      </c>
      <c r="U149" s="26" t="str">
        <f t="shared" si="50"/>
        <v/>
      </c>
      <c r="V149" s="26" t="str">
        <f t="shared" si="51"/>
        <v/>
      </c>
      <c r="W149" s="20" t="str">
        <f t="shared" si="52"/>
        <v/>
      </c>
      <c r="X149" s="20" t="str">
        <f t="shared" si="53"/>
        <v/>
      </c>
      <c r="Y149" s="86" t="str">
        <f t="shared" si="55"/>
        <v/>
      </c>
      <c r="Z149" s="31"/>
    </row>
    <row r="150" spans="2:26" outlineLevel="1">
      <c r="B150" s="14">
        <f t="shared" si="15"/>
        <v>147</v>
      </c>
      <c r="C150" s="37"/>
      <c r="D150" s="40"/>
      <c r="E150" s="39"/>
      <c r="F150" s="37"/>
      <c r="G150" s="39"/>
      <c r="H150" s="37"/>
      <c r="I150" s="37"/>
      <c r="J150" s="41" t="str">
        <f t="shared" si="40"/>
        <v/>
      </c>
      <c r="K150" s="12" t="str">
        <f t="shared" si="46"/>
        <v/>
      </c>
      <c r="L150" s="12" t="str">
        <f t="shared" si="47"/>
        <v/>
      </c>
      <c r="M150" s="12" t="str">
        <f t="shared" si="41"/>
        <v/>
      </c>
      <c r="N150" s="12" t="str">
        <f t="shared" si="42"/>
        <v/>
      </c>
      <c r="O150" s="12" t="str">
        <f t="shared" si="43"/>
        <v/>
      </c>
      <c r="P150" s="12" t="str">
        <f t="shared" si="44"/>
        <v/>
      </c>
      <c r="Q150" s="12" t="str">
        <f t="shared" si="48"/>
        <v/>
      </c>
      <c r="R150" s="26" t="str">
        <f t="shared" si="45"/>
        <v/>
      </c>
      <c r="S150" s="26" t="str">
        <f t="shared" si="54"/>
        <v/>
      </c>
      <c r="T150" s="26" t="str">
        <f t="shared" si="49"/>
        <v/>
      </c>
      <c r="U150" s="26" t="str">
        <f t="shared" si="50"/>
        <v/>
      </c>
      <c r="V150" s="26" t="str">
        <f t="shared" si="51"/>
        <v/>
      </c>
      <c r="W150" s="20" t="str">
        <f t="shared" si="52"/>
        <v/>
      </c>
      <c r="X150" s="20" t="str">
        <f t="shared" si="53"/>
        <v/>
      </c>
      <c r="Y150" s="86" t="str">
        <f t="shared" si="55"/>
        <v/>
      </c>
      <c r="Z150" s="31"/>
    </row>
    <row r="151" spans="2:26" outlineLevel="1">
      <c r="B151" s="14">
        <f t="shared" si="15"/>
        <v>148</v>
      </c>
      <c r="C151" s="37"/>
      <c r="D151" s="40"/>
      <c r="E151" s="39"/>
      <c r="F151" s="37"/>
      <c r="G151" s="39"/>
      <c r="H151" s="37"/>
      <c r="I151" s="37"/>
      <c r="J151" s="41" t="str">
        <f t="shared" si="40"/>
        <v/>
      </c>
      <c r="K151" s="12" t="str">
        <f t="shared" si="46"/>
        <v/>
      </c>
      <c r="L151" s="12" t="str">
        <f t="shared" si="47"/>
        <v/>
      </c>
      <c r="M151" s="12" t="str">
        <f t="shared" si="41"/>
        <v/>
      </c>
      <c r="N151" s="12" t="str">
        <f t="shared" si="42"/>
        <v/>
      </c>
      <c r="O151" s="12" t="str">
        <f t="shared" si="43"/>
        <v/>
      </c>
      <c r="P151" s="12" t="str">
        <f t="shared" si="44"/>
        <v/>
      </c>
      <c r="Q151" s="12" t="str">
        <f t="shared" si="48"/>
        <v/>
      </c>
      <c r="R151" s="26" t="str">
        <f t="shared" si="45"/>
        <v/>
      </c>
      <c r="S151" s="26" t="str">
        <f t="shared" si="54"/>
        <v/>
      </c>
      <c r="T151" s="26" t="str">
        <f t="shared" si="49"/>
        <v/>
      </c>
      <c r="U151" s="26" t="str">
        <f t="shared" si="50"/>
        <v/>
      </c>
      <c r="V151" s="26" t="str">
        <f t="shared" si="51"/>
        <v/>
      </c>
      <c r="W151" s="20" t="str">
        <f t="shared" si="52"/>
        <v/>
      </c>
      <c r="X151" s="20" t="str">
        <f t="shared" si="53"/>
        <v/>
      </c>
      <c r="Y151" s="86" t="str">
        <f t="shared" si="55"/>
        <v/>
      </c>
      <c r="Z151" s="31"/>
    </row>
    <row r="152" spans="2:26" outlineLevel="1">
      <c r="B152" s="14">
        <f t="shared" si="15"/>
        <v>149</v>
      </c>
      <c r="C152" s="37"/>
      <c r="D152" s="40"/>
      <c r="E152" s="39"/>
      <c r="F152" s="37"/>
      <c r="G152" s="39"/>
      <c r="H152" s="37"/>
      <c r="I152" s="37"/>
      <c r="J152" s="41" t="str">
        <f t="shared" si="40"/>
        <v/>
      </c>
      <c r="K152" s="12" t="str">
        <f t="shared" si="46"/>
        <v/>
      </c>
      <c r="L152" s="12" t="str">
        <f t="shared" si="47"/>
        <v/>
      </c>
      <c r="M152" s="12" t="str">
        <f t="shared" si="41"/>
        <v/>
      </c>
      <c r="N152" s="12" t="str">
        <f t="shared" si="42"/>
        <v/>
      </c>
      <c r="O152" s="12" t="str">
        <f t="shared" si="43"/>
        <v/>
      </c>
      <c r="P152" s="12" t="str">
        <f t="shared" si="44"/>
        <v/>
      </c>
      <c r="Q152" s="12" t="str">
        <f t="shared" si="48"/>
        <v/>
      </c>
      <c r="R152" s="26" t="str">
        <f t="shared" si="45"/>
        <v/>
      </c>
      <c r="S152" s="26" t="str">
        <f t="shared" si="54"/>
        <v/>
      </c>
      <c r="T152" s="26" t="str">
        <f t="shared" si="49"/>
        <v/>
      </c>
      <c r="U152" s="26" t="str">
        <f t="shared" si="50"/>
        <v/>
      </c>
      <c r="V152" s="26" t="str">
        <f t="shared" si="51"/>
        <v/>
      </c>
      <c r="W152" s="20" t="str">
        <f t="shared" si="52"/>
        <v/>
      </c>
      <c r="X152" s="20" t="str">
        <f t="shared" si="53"/>
        <v/>
      </c>
      <c r="Y152" s="86" t="str">
        <f t="shared" si="55"/>
        <v/>
      </c>
      <c r="Z152" s="31"/>
    </row>
    <row r="153" spans="2:26" outlineLevel="1">
      <c r="B153" s="14">
        <f t="shared" si="15"/>
        <v>150</v>
      </c>
      <c r="C153" s="37"/>
      <c r="D153" s="40"/>
      <c r="E153" s="39"/>
      <c r="F153" s="37"/>
      <c r="G153" s="39"/>
      <c r="H153" s="37"/>
      <c r="I153" s="37"/>
      <c r="J153" s="41" t="str">
        <f t="shared" si="40"/>
        <v/>
      </c>
      <c r="K153" s="12" t="str">
        <f t="shared" si="46"/>
        <v/>
      </c>
      <c r="L153" s="12" t="str">
        <f t="shared" si="47"/>
        <v/>
      </c>
      <c r="M153" s="12" t="str">
        <f t="shared" si="41"/>
        <v/>
      </c>
      <c r="N153" s="12" t="str">
        <f t="shared" si="42"/>
        <v/>
      </c>
      <c r="O153" s="12" t="str">
        <f t="shared" si="43"/>
        <v/>
      </c>
      <c r="P153" s="12" t="str">
        <f t="shared" si="44"/>
        <v/>
      </c>
      <c r="Q153" s="12" t="str">
        <f t="shared" si="48"/>
        <v/>
      </c>
      <c r="R153" s="26" t="str">
        <f t="shared" si="45"/>
        <v/>
      </c>
      <c r="S153" s="26" t="str">
        <f t="shared" si="54"/>
        <v/>
      </c>
      <c r="T153" s="26" t="str">
        <f t="shared" si="49"/>
        <v/>
      </c>
      <c r="U153" s="26" t="str">
        <f t="shared" si="50"/>
        <v/>
      </c>
      <c r="V153" s="26" t="str">
        <f t="shared" si="51"/>
        <v/>
      </c>
      <c r="W153" s="20" t="str">
        <f t="shared" si="52"/>
        <v/>
      </c>
      <c r="X153" s="20" t="str">
        <f t="shared" si="53"/>
        <v/>
      </c>
      <c r="Y153" s="86" t="str">
        <f t="shared" si="55"/>
        <v/>
      </c>
      <c r="Z153" s="31"/>
    </row>
    <row r="154" spans="2:26" outlineLevel="1">
      <c r="B154" s="14">
        <f t="shared" si="15"/>
        <v>151</v>
      </c>
      <c r="C154" s="37"/>
      <c r="D154" s="40"/>
      <c r="E154" s="39"/>
      <c r="F154" s="37"/>
      <c r="G154" s="39"/>
      <c r="H154" s="37"/>
      <c r="I154" s="37"/>
      <c r="J154" s="41" t="str">
        <f t="shared" si="40"/>
        <v/>
      </c>
      <c r="K154" s="12" t="str">
        <f t="shared" si="46"/>
        <v/>
      </c>
      <c r="L154" s="12" t="str">
        <f t="shared" si="47"/>
        <v/>
      </c>
      <c r="M154" s="12" t="str">
        <f t="shared" si="41"/>
        <v/>
      </c>
      <c r="N154" s="12" t="str">
        <f t="shared" si="42"/>
        <v/>
      </c>
      <c r="O154" s="12" t="str">
        <f t="shared" si="43"/>
        <v/>
      </c>
      <c r="P154" s="12" t="str">
        <f t="shared" si="44"/>
        <v/>
      </c>
      <c r="Q154" s="12" t="str">
        <f t="shared" si="48"/>
        <v/>
      </c>
      <c r="R154" s="26" t="str">
        <f t="shared" si="45"/>
        <v/>
      </c>
      <c r="S154" s="26" t="str">
        <f t="shared" si="54"/>
        <v/>
      </c>
      <c r="T154" s="26" t="str">
        <f t="shared" si="49"/>
        <v/>
      </c>
      <c r="U154" s="26" t="str">
        <f t="shared" si="50"/>
        <v/>
      </c>
      <c r="V154" s="26" t="str">
        <f t="shared" si="51"/>
        <v/>
      </c>
      <c r="W154" s="20" t="str">
        <f t="shared" si="52"/>
        <v/>
      </c>
      <c r="X154" s="20" t="str">
        <f t="shared" si="53"/>
        <v/>
      </c>
      <c r="Y154" s="86" t="str">
        <f t="shared" si="55"/>
        <v/>
      </c>
      <c r="Z154" s="31"/>
    </row>
    <row r="155" spans="2:26" outlineLevel="1">
      <c r="B155" s="14">
        <f t="shared" si="15"/>
        <v>152</v>
      </c>
      <c r="C155" s="37"/>
      <c r="D155" s="40"/>
      <c r="E155" s="39"/>
      <c r="F155" s="37"/>
      <c r="G155" s="39"/>
      <c r="H155" s="37"/>
      <c r="I155" s="37"/>
      <c r="J155" s="41" t="str">
        <f t="shared" si="40"/>
        <v/>
      </c>
      <c r="K155" s="12" t="str">
        <f t="shared" si="46"/>
        <v/>
      </c>
      <c r="L155" s="12" t="str">
        <f t="shared" si="47"/>
        <v/>
      </c>
      <c r="M155" s="12" t="str">
        <f t="shared" si="41"/>
        <v/>
      </c>
      <c r="N155" s="12" t="str">
        <f t="shared" si="42"/>
        <v/>
      </c>
      <c r="O155" s="12" t="str">
        <f t="shared" si="43"/>
        <v/>
      </c>
      <c r="P155" s="12" t="str">
        <f t="shared" si="44"/>
        <v/>
      </c>
      <c r="Q155" s="12" t="str">
        <f t="shared" si="48"/>
        <v/>
      </c>
      <c r="R155" s="26" t="str">
        <f t="shared" si="45"/>
        <v/>
      </c>
      <c r="S155" s="26" t="str">
        <f t="shared" si="54"/>
        <v/>
      </c>
      <c r="T155" s="26" t="str">
        <f t="shared" si="49"/>
        <v/>
      </c>
      <c r="U155" s="26" t="str">
        <f t="shared" si="50"/>
        <v/>
      </c>
      <c r="V155" s="26" t="str">
        <f t="shared" si="51"/>
        <v/>
      </c>
      <c r="W155" s="20" t="str">
        <f t="shared" si="52"/>
        <v/>
      </c>
      <c r="X155" s="20" t="str">
        <f t="shared" si="53"/>
        <v/>
      </c>
      <c r="Y155" s="86" t="str">
        <f t="shared" si="55"/>
        <v/>
      </c>
      <c r="Z155" s="31"/>
    </row>
    <row r="156" spans="2:26" outlineLevel="1">
      <c r="B156" s="14">
        <f t="shared" si="15"/>
        <v>153</v>
      </c>
      <c r="C156" s="37"/>
      <c r="D156" s="40"/>
      <c r="E156" s="39"/>
      <c r="F156" s="37"/>
      <c r="G156" s="39"/>
      <c r="H156" s="37"/>
      <c r="I156" s="37"/>
      <c r="J156" s="41" t="str">
        <f t="shared" si="40"/>
        <v/>
      </c>
      <c r="K156" s="12" t="str">
        <f t="shared" si="46"/>
        <v/>
      </c>
      <c r="L156" s="12" t="str">
        <f t="shared" si="47"/>
        <v/>
      </c>
      <c r="M156" s="12" t="str">
        <f t="shared" si="41"/>
        <v/>
      </c>
      <c r="N156" s="12" t="str">
        <f t="shared" si="42"/>
        <v/>
      </c>
      <c r="O156" s="12" t="str">
        <f t="shared" si="43"/>
        <v/>
      </c>
      <c r="P156" s="12" t="str">
        <f t="shared" si="44"/>
        <v/>
      </c>
      <c r="Q156" s="12" t="str">
        <f t="shared" si="48"/>
        <v/>
      </c>
      <c r="R156" s="26" t="str">
        <f t="shared" si="45"/>
        <v/>
      </c>
      <c r="S156" s="26" t="str">
        <f t="shared" si="54"/>
        <v/>
      </c>
      <c r="T156" s="26" t="str">
        <f t="shared" si="49"/>
        <v/>
      </c>
      <c r="U156" s="26" t="str">
        <f t="shared" si="50"/>
        <v/>
      </c>
      <c r="V156" s="26" t="str">
        <f t="shared" si="51"/>
        <v/>
      </c>
      <c r="W156" s="20" t="str">
        <f t="shared" si="52"/>
        <v/>
      </c>
      <c r="X156" s="20" t="str">
        <f t="shared" si="53"/>
        <v/>
      </c>
      <c r="Y156" s="86" t="str">
        <f t="shared" si="55"/>
        <v/>
      </c>
      <c r="Z156" s="31"/>
    </row>
    <row r="157" spans="2:26" outlineLevel="1">
      <c r="B157" s="14">
        <f t="shared" si="15"/>
        <v>154</v>
      </c>
      <c r="C157" s="37"/>
      <c r="D157" s="40"/>
      <c r="E157" s="39"/>
      <c r="F157" s="37"/>
      <c r="G157" s="39"/>
      <c r="H157" s="37"/>
      <c r="I157" s="37"/>
      <c r="J157" s="41" t="str">
        <f t="shared" si="40"/>
        <v/>
      </c>
      <c r="K157" s="12" t="str">
        <f t="shared" si="46"/>
        <v/>
      </c>
      <c r="L157" s="12" t="str">
        <f t="shared" si="47"/>
        <v/>
      </c>
      <c r="M157" s="12" t="str">
        <f t="shared" si="41"/>
        <v/>
      </c>
      <c r="N157" s="12" t="str">
        <f t="shared" si="42"/>
        <v/>
      </c>
      <c r="O157" s="12" t="str">
        <f t="shared" si="43"/>
        <v/>
      </c>
      <c r="P157" s="12" t="str">
        <f t="shared" si="44"/>
        <v/>
      </c>
      <c r="Q157" s="12" t="str">
        <f t="shared" si="48"/>
        <v/>
      </c>
      <c r="R157" s="26" t="str">
        <f t="shared" si="45"/>
        <v/>
      </c>
      <c r="S157" s="26" t="str">
        <f t="shared" si="54"/>
        <v/>
      </c>
      <c r="T157" s="26" t="str">
        <f t="shared" si="49"/>
        <v/>
      </c>
      <c r="U157" s="26" t="str">
        <f t="shared" si="50"/>
        <v/>
      </c>
      <c r="V157" s="26" t="str">
        <f t="shared" si="51"/>
        <v/>
      </c>
      <c r="W157" s="20" t="str">
        <f t="shared" si="52"/>
        <v/>
      </c>
      <c r="X157" s="20" t="str">
        <f t="shared" si="53"/>
        <v/>
      </c>
      <c r="Y157" s="86" t="str">
        <f t="shared" si="55"/>
        <v/>
      </c>
      <c r="Z157" s="31"/>
    </row>
    <row r="158" spans="2:26" outlineLevel="1">
      <c r="B158" s="14">
        <f t="shared" si="15"/>
        <v>155</v>
      </c>
      <c r="C158" s="37"/>
      <c r="D158" s="40"/>
      <c r="E158" s="39"/>
      <c r="F158" s="37"/>
      <c r="G158" s="39"/>
      <c r="H158" s="37"/>
      <c r="I158" s="37"/>
      <c r="J158" s="41" t="str">
        <f t="shared" si="40"/>
        <v/>
      </c>
      <c r="K158" s="12" t="str">
        <f t="shared" si="46"/>
        <v/>
      </c>
      <c r="L158" s="12" t="str">
        <f t="shared" si="47"/>
        <v/>
      </c>
      <c r="M158" s="12" t="str">
        <f t="shared" si="41"/>
        <v/>
      </c>
      <c r="N158" s="12" t="str">
        <f t="shared" si="42"/>
        <v/>
      </c>
      <c r="O158" s="12" t="str">
        <f t="shared" si="43"/>
        <v/>
      </c>
      <c r="P158" s="12" t="str">
        <f t="shared" si="44"/>
        <v/>
      </c>
      <c r="Q158" s="12" t="str">
        <f t="shared" si="48"/>
        <v/>
      </c>
      <c r="R158" s="26" t="str">
        <f t="shared" si="45"/>
        <v/>
      </c>
      <c r="S158" s="26" t="str">
        <f t="shared" si="54"/>
        <v/>
      </c>
      <c r="T158" s="26" t="str">
        <f t="shared" si="49"/>
        <v/>
      </c>
      <c r="U158" s="26" t="str">
        <f t="shared" si="50"/>
        <v/>
      </c>
      <c r="V158" s="26" t="str">
        <f t="shared" si="51"/>
        <v/>
      </c>
      <c r="W158" s="20" t="str">
        <f t="shared" si="52"/>
        <v/>
      </c>
      <c r="X158" s="20" t="str">
        <f t="shared" si="53"/>
        <v/>
      </c>
      <c r="Y158" s="86" t="str">
        <f t="shared" si="55"/>
        <v/>
      </c>
      <c r="Z158" s="31"/>
    </row>
    <row r="159" spans="2:26" outlineLevel="1">
      <c r="B159" s="14">
        <f t="shared" si="15"/>
        <v>156</v>
      </c>
      <c r="C159" s="37"/>
      <c r="D159" s="40"/>
      <c r="E159" s="39"/>
      <c r="F159" s="37"/>
      <c r="G159" s="39"/>
      <c r="H159" s="37"/>
      <c r="I159" s="37"/>
      <c r="J159" s="41" t="str">
        <f t="shared" si="40"/>
        <v/>
      </c>
      <c r="K159" s="12" t="str">
        <f t="shared" si="46"/>
        <v/>
      </c>
      <c r="L159" s="12" t="str">
        <f t="shared" si="47"/>
        <v/>
      </c>
      <c r="M159" s="12" t="str">
        <f t="shared" si="41"/>
        <v/>
      </c>
      <c r="N159" s="12" t="str">
        <f t="shared" si="42"/>
        <v/>
      </c>
      <c r="O159" s="12" t="str">
        <f t="shared" si="43"/>
        <v/>
      </c>
      <c r="P159" s="12" t="str">
        <f t="shared" si="44"/>
        <v/>
      </c>
      <c r="Q159" s="12" t="str">
        <f t="shared" si="48"/>
        <v/>
      </c>
      <c r="R159" s="26" t="str">
        <f t="shared" si="45"/>
        <v/>
      </c>
      <c r="S159" s="26" t="str">
        <f t="shared" si="54"/>
        <v/>
      </c>
      <c r="T159" s="26" t="str">
        <f t="shared" si="49"/>
        <v/>
      </c>
      <c r="U159" s="26" t="str">
        <f t="shared" si="50"/>
        <v/>
      </c>
      <c r="V159" s="26" t="str">
        <f t="shared" si="51"/>
        <v/>
      </c>
      <c r="W159" s="20" t="str">
        <f t="shared" si="52"/>
        <v/>
      </c>
      <c r="X159" s="20" t="str">
        <f t="shared" si="53"/>
        <v/>
      </c>
      <c r="Y159" s="86" t="str">
        <f t="shared" si="55"/>
        <v/>
      </c>
      <c r="Z159" s="31"/>
    </row>
    <row r="160" spans="2:26" outlineLevel="1">
      <c r="B160" s="14">
        <f t="shared" si="15"/>
        <v>157</v>
      </c>
      <c r="C160" s="37"/>
      <c r="D160" s="40"/>
      <c r="E160" s="39"/>
      <c r="F160" s="37"/>
      <c r="G160" s="39"/>
      <c r="H160" s="37"/>
      <c r="I160" s="37"/>
      <c r="J160" s="41" t="str">
        <f t="shared" si="40"/>
        <v/>
      </c>
      <c r="K160" s="12" t="str">
        <f t="shared" si="46"/>
        <v/>
      </c>
      <c r="L160" s="12" t="str">
        <f t="shared" si="47"/>
        <v/>
      </c>
      <c r="M160" s="12" t="str">
        <f t="shared" si="41"/>
        <v/>
      </c>
      <c r="N160" s="12" t="str">
        <f t="shared" si="42"/>
        <v/>
      </c>
      <c r="O160" s="12" t="str">
        <f t="shared" si="43"/>
        <v/>
      </c>
      <c r="P160" s="12" t="str">
        <f t="shared" si="44"/>
        <v/>
      </c>
      <c r="Q160" s="12" t="str">
        <f t="shared" si="48"/>
        <v/>
      </c>
      <c r="R160" s="26" t="str">
        <f t="shared" si="45"/>
        <v/>
      </c>
      <c r="S160" s="26" t="str">
        <f t="shared" si="54"/>
        <v/>
      </c>
      <c r="T160" s="26" t="str">
        <f t="shared" si="49"/>
        <v/>
      </c>
      <c r="U160" s="26" t="str">
        <f t="shared" si="50"/>
        <v/>
      </c>
      <c r="V160" s="26" t="str">
        <f t="shared" si="51"/>
        <v/>
      </c>
      <c r="W160" s="20" t="str">
        <f t="shared" si="52"/>
        <v/>
      </c>
      <c r="X160" s="20" t="str">
        <f t="shared" si="53"/>
        <v/>
      </c>
      <c r="Y160" s="86" t="str">
        <f t="shared" si="55"/>
        <v/>
      </c>
      <c r="Z160" s="31"/>
    </row>
    <row r="161" spans="2:26" outlineLevel="1">
      <c r="B161" s="14">
        <f t="shared" si="15"/>
        <v>158</v>
      </c>
      <c r="C161" s="37"/>
      <c r="D161" s="40"/>
      <c r="E161" s="39"/>
      <c r="F161" s="37"/>
      <c r="G161" s="39"/>
      <c r="H161" s="37"/>
      <c r="I161" s="37"/>
      <c r="J161" s="41" t="str">
        <f t="shared" si="40"/>
        <v/>
      </c>
      <c r="K161" s="12" t="str">
        <f t="shared" si="46"/>
        <v/>
      </c>
      <c r="L161" s="12" t="str">
        <f t="shared" si="47"/>
        <v/>
      </c>
      <c r="M161" s="12" t="str">
        <f t="shared" si="41"/>
        <v/>
      </c>
      <c r="N161" s="12" t="str">
        <f t="shared" si="42"/>
        <v/>
      </c>
      <c r="O161" s="12" t="str">
        <f t="shared" si="43"/>
        <v/>
      </c>
      <c r="P161" s="12" t="str">
        <f t="shared" si="44"/>
        <v/>
      </c>
      <c r="Q161" s="12" t="str">
        <f t="shared" si="48"/>
        <v/>
      </c>
      <c r="R161" s="26" t="str">
        <f t="shared" si="45"/>
        <v/>
      </c>
      <c r="S161" s="26" t="str">
        <f t="shared" si="54"/>
        <v/>
      </c>
      <c r="T161" s="26" t="str">
        <f t="shared" si="49"/>
        <v/>
      </c>
      <c r="U161" s="26" t="str">
        <f t="shared" si="50"/>
        <v/>
      </c>
      <c r="V161" s="26" t="str">
        <f t="shared" si="51"/>
        <v/>
      </c>
      <c r="W161" s="20" t="str">
        <f t="shared" si="52"/>
        <v/>
      </c>
      <c r="X161" s="20" t="str">
        <f t="shared" si="53"/>
        <v/>
      </c>
      <c r="Y161" s="86" t="str">
        <f t="shared" si="55"/>
        <v/>
      </c>
      <c r="Z161" s="31"/>
    </row>
    <row r="162" spans="2:26" outlineLevel="1">
      <c r="B162" s="14">
        <f t="shared" si="15"/>
        <v>159</v>
      </c>
      <c r="C162" s="37"/>
      <c r="D162" s="40"/>
      <c r="E162" s="39"/>
      <c r="F162" s="37"/>
      <c r="G162" s="39"/>
      <c r="H162" s="37"/>
      <c r="I162" s="37"/>
      <c r="J162" s="41" t="str">
        <f t="shared" si="40"/>
        <v/>
      </c>
      <c r="K162" s="12" t="str">
        <f t="shared" si="46"/>
        <v/>
      </c>
      <c r="L162" s="12" t="str">
        <f t="shared" si="47"/>
        <v/>
      </c>
      <c r="M162" s="12" t="str">
        <f t="shared" si="41"/>
        <v/>
      </c>
      <c r="N162" s="12" t="str">
        <f t="shared" si="42"/>
        <v/>
      </c>
      <c r="O162" s="12" t="str">
        <f t="shared" si="43"/>
        <v/>
      </c>
      <c r="P162" s="12" t="str">
        <f t="shared" si="44"/>
        <v/>
      </c>
      <c r="Q162" s="12" t="str">
        <f t="shared" si="48"/>
        <v/>
      </c>
      <c r="R162" s="26" t="str">
        <f t="shared" si="45"/>
        <v/>
      </c>
      <c r="S162" s="26" t="str">
        <f t="shared" si="54"/>
        <v/>
      </c>
      <c r="T162" s="26" t="str">
        <f t="shared" si="49"/>
        <v/>
      </c>
      <c r="U162" s="26" t="str">
        <f t="shared" si="50"/>
        <v/>
      </c>
      <c r="V162" s="26" t="str">
        <f t="shared" si="51"/>
        <v/>
      </c>
      <c r="W162" s="20" t="str">
        <f t="shared" si="52"/>
        <v/>
      </c>
      <c r="X162" s="20" t="str">
        <f t="shared" si="53"/>
        <v/>
      </c>
      <c r="Y162" s="86" t="str">
        <f t="shared" si="55"/>
        <v/>
      </c>
      <c r="Z162" s="31"/>
    </row>
    <row r="163" spans="2:26" outlineLevel="1">
      <c r="B163" s="14">
        <f t="shared" si="15"/>
        <v>160</v>
      </c>
      <c r="C163" s="37"/>
      <c r="D163" s="40"/>
      <c r="E163" s="39"/>
      <c r="F163" s="37"/>
      <c r="G163" s="39"/>
      <c r="H163" s="37"/>
      <c r="I163" s="37"/>
      <c r="J163" s="41" t="str">
        <f t="shared" si="40"/>
        <v/>
      </c>
      <c r="K163" s="12" t="str">
        <f t="shared" si="46"/>
        <v/>
      </c>
      <c r="L163" s="12" t="str">
        <f t="shared" si="47"/>
        <v/>
      </c>
      <c r="M163" s="12" t="str">
        <f t="shared" si="41"/>
        <v/>
      </c>
      <c r="N163" s="12" t="str">
        <f t="shared" si="42"/>
        <v/>
      </c>
      <c r="O163" s="12" t="str">
        <f t="shared" si="43"/>
        <v/>
      </c>
      <c r="P163" s="12" t="str">
        <f t="shared" si="44"/>
        <v/>
      </c>
      <c r="Q163" s="12" t="str">
        <f t="shared" si="48"/>
        <v/>
      </c>
      <c r="R163" s="26" t="str">
        <f t="shared" si="45"/>
        <v/>
      </c>
      <c r="S163" s="26" t="str">
        <f t="shared" si="54"/>
        <v/>
      </c>
      <c r="T163" s="26" t="str">
        <f t="shared" si="49"/>
        <v/>
      </c>
      <c r="U163" s="26" t="str">
        <f t="shared" si="50"/>
        <v/>
      </c>
      <c r="V163" s="26" t="str">
        <f t="shared" si="51"/>
        <v/>
      </c>
      <c r="W163" s="20" t="str">
        <f t="shared" si="52"/>
        <v/>
      </c>
      <c r="X163" s="20" t="str">
        <f t="shared" si="53"/>
        <v/>
      </c>
      <c r="Y163" s="86" t="str">
        <f t="shared" si="55"/>
        <v/>
      </c>
      <c r="Z163" s="31"/>
    </row>
    <row r="164" spans="2:26" outlineLevel="1">
      <c r="B164" s="14">
        <f t="shared" si="15"/>
        <v>161</v>
      </c>
      <c r="C164" s="37"/>
      <c r="D164" s="40"/>
      <c r="E164" s="39"/>
      <c r="F164" s="37"/>
      <c r="G164" s="39"/>
      <c r="H164" s="37"/>
      <c r="I164" s="37"/>
      <c r="J164" s="41" t="str">
        <f t="shared" si="40"/>
        <v/>
      </c>
      <c r="K164" s="12" t="str">
        <f t="shared" si="46"/>
        <v/>
      </c>
      <c r="L164" s="12" t="str">
        <f t="shared" si="47"/>
        <v/>
      </c>
      <c r="M164" s="12" t="str">
        <f t="shared" si="41"/>
        <v/>
      </c>
      <c r="N164" s="12" t="str">
        <f t="shared" si="42"/>
        <v/>
      </c>
      <c r="O164" s="12" t="str">
        <f t="shared" si="43"/>
        <v/>
      </c>
      <c r="P164" s="12" t="str">
        <f t="shared" si="44"/>
        <v/>
      </c>
      <c r="Q164" s="12" t="str">
        <f t="shared" si="48"/>
        <v/>
      </c>
      <c r="R164" s="26" t="str">
        <f t="shared" si="45"/>
        <v/>
      </c>
      <c r="S164" s="26" t="str">
        <f t="shared" si="54"/>
        <v/>
      </c>
      <c r="T164" s="26" t="str">
        <f t="shared" si="49"/>
        <v/>
      </c>
      <c r="U164" s="26" t="str">
        <f t="shared" si="50"/>
        <v/>
      </c>
      <c r="V164" s="26" t="str">
        <f t="shared" si="51"/>
        <v/>
      </c>
      <c r="W164" s="20" t="str">
        <f t="shared" si="52"/>
        <v/>
      </c>
      <c r="X164" s="20" t="str">
        <f t="shared" si="53"/>
        <v/>
      </c>
      <c r="Y164" s="86" t="str">
        <f t="shared" si="55"/>
        <v/>
      </c>
      <c r="Z164" s="31"/>
    </row>
    <row r="165" spans="2:26" outlineLevel="1">
      <c r="B165" s="14">
        <f t="shared" si="15"/>
        <v>162</v>
      </c>
      <c r="C165" s="37"/>
      <c r="D165" s="40"/>
      <c r="E165" s="39"/>
      <c r="F165" s="37"/>
      <c r="G165" s="39"/>
      <c r="H165" s="37"/>
      <c r="I165" s="37"/>
      <c r="J165" s="41" t="str">
        <f t="shared" si="40"/>
        <v/>
      </c>
      <c r="K165" s="12" t="str">
        <f t="shared" si="46"/>
        <v/>
      </c>
      <c r="L165" s="12" t="str">
        <f t="shared" si="47"/>
        <v/>
      </c>
      <c r="M165" s="12" t="str">
        <f t="shared" si="41"/>
        <v/>
      </c>
      <c r="N165" s="12" t="str">
        <f t="shared" si="42"/>
        <v/>
      </c>
      <c r="O165" s="12" t="str">
        <f t="shared" si="43"/>
        <v/>
      </c>
      <c r="P165" s="12" t="str">
        <f t="shared" si="44"/>
        <v/>
      </c>
      <c r="Q165" s="12" t="str">
        <f t="shared" si="48"/>
        <v/>
      </c>
      <c r="R165" s="26" t="str">
        <f t="shared" si="45"/>
        <v/>
      </c>
      <c r="S165" s="26" t="str">
        <f t="shared" si="54"/>
        <v/>
      </c>
      <c r="T165" s="26" t="str">
        <f t="shared" si="49"/>
        <v/>
      </c>
      <c r="U165" s="26" t="str">
        <f t="shared" si="50"/>
        <v/>
      </c>
      <c r="V165" s="26" t="str">
        <f t="shared" si="51"/>
        <v/>
      </c>
      <c r="W165" s="20" t="str">
        <f t="shared" si="52"/>
        <v/>
      </c>
      <c r="X165" s="20" t="str">
        <f t="shared" si="53"/>
        <v/>
      </c>
      <c r="Y165" s="86" t="str">
        <f t="shared" si="55"/>
        <v/>
      </c>
      <c r="Z165" s="31"/>
    </row>
    <row r="166" spans="2:26" outlineLevel="1">
      <c r="B166" s="14">
        <f t="shared" si="15"/>
        <v>163</v>
      </c>
      <c r="C166" s="37"/>
      <c r="D166" s="40"/>
      <c r="E166" s="39"/>
      <c r="F166" s="37"/>
      <c r="G166" s="39"/>
      <c r="H166" s="37"/>
      <c r="I166" s="37"/>
      <c r="J166" s="41" t="str">
        <f t="shared" si="40"/>
        <v/>
      </c>
      <c r="K166" s="12" t="str">
        <f t="shared" si="46"/>
        <v/>
      </c>
      <c r="L166" s="12" t="str">
        <f t="shared" si="47"/>
        <v/>
      </c>
      <c r="M166" s="12" t="str">
        <f t="shared" si="41"/>
        <v/>
      </c>
      <c r="N166" s="12" t="str">
        <f t="shared" si="42"/>
        <v/>
      </c>
      <c r="O166" s="12" t="str">
        <f t="shared" si="43"/>
        <v/>
      </c>
      <c r="P166" s="12" t="str">
        <f t="shared" si="44"/>
        <v/>
      </c>
      <c r="Q166" s="12" t="str">
        <f t="shared" si="48"/>
        <v/>
      </c>
      <c r="R166" s="26" t="str">
        <f t="shared" si="45"/>
        <v/>
      </c>
      <c r="S166" s="26" t="str">
        <f t="shared" si="54"/>
        <v/>
      </c>
      <c r="T166" s="26" t="str">
        <f t="shared" si="49"/>
        <v/>
      </c>
      <c r="U166" s="26" t="str">
        <f t="shared" si="50"/>
        <v/>
      </c>
      <c r="V166" s="26" t="str">
        <f t="shared" si="51"/>
        <v/>
      </c>
      <c r="W166" s="20" t="str">
        <f t="shared" si="52"/>
        <v/>
      </c>
      <c r="X166" s="20" t="str">
        <f t="shared" si="53"/>
        <v/>
      </c>
      <c r="Y166" s="86" t="str">
        <f t="shared" si="55"/>
        <v/>
      </c>
      <c r="Z166" s="31"/>
    </row>
    <row r="167" spans="2:26" outlineLevel="1">
      <c r="B167" s="14">
        <f t="shared" si="15"/>
        <v>164</v>
      </c>
      <c r="C167" s="37"/>
      <c r="D167" s="40"/>
      <c r="E167" s="39"/>
      <c r="F167" s="37"/>
      <c r="G167" s="39"/>
      <c r="H167" s="37"/>
      <c r="I167" s="37"/>
      <c r="J167" s="41" t="str">
        <f t="shared" si="40"/>
        <v/>
      </c>
      <c r="K167" s="12" t="str">
        <f t="shared" si="46"/>
        <v/>
      </c>
      <c r="L167" s="12" t="str">
        <f t="shared" si="47"/>
        <v/>
      </c>
      <c r="M167" s="12" t="str">
        <f t="shared" si="41"/>
        <v/>
      </c>
      <c r="N167" s="12" t="str">
        <f t="shared" si="42"/>
        <v/>
      </c>
      <c r="O167" s="12" t="str">
        <f t="shared" si="43"/>
        <v/>
      </c>
      <c r="P167" s="12" t="str">
        <f t="shared" si="44"/>
        <v/>
      </c>
      <c r="Q167" s="12" t="str">
        <f t="shared" si="48"/>
        <v/>
      </c>
      <c r="R167" s="26" t="str">
        <f t="shared" si="45"/>
        <v/>
      </c>
      <c r="S167" s="26" t="str">
        <f t="shared" si="54"/>
        <v/>
      </c>
      <c r="T167" s="26" t="str">
        <f t="shared" si="49"/>
        <v/>
      </c>
      <c r="U167" s="26" t="str">
        <f t="shared" si="50"/>
        <v/>
      </c>
      <c r="V167" s="26" t="str">
        <f t="shared" si="51"/>
        <v/>
      </c>
      <c r="W167" s="20" t="str">
        <f t="shared" si="52"/>
        <v/>
      </c>
      <c r="X167" s="20" t="str">
        <f t="shared" si="53"/>
        <v/>
      </c>
      <c r="Y167" s="86" t="str">
        <f t="shared" si="55"/>
        <v/>
      </c>
      <c r="Z167" s="31"/>
    </row>
    <row r="168" spans="2:26" outlineLevel="1">
      <c r="B168" s="14">
        <f t="shared" si="15"/>
        <v>165</v>
      </c>
      <c r="C168" s="37"/>
      <c r="D168" s="40"/>
      <c r="E168" s="39"/>
      <c r="F168" s="37"/>
      <c r="G168" s="39"/>
      <c r="H168" s="37"/>
      <c r="I168" s="37"/>
      <c r="J168" s="41" t="str">
        <f t="shared" si="40"/>
        <v/>
      </c>
      <c r="K168" s="12" t="str">
        <f t="shared" si="46"/>
        <v/>
      </c>
      <c r="L168" s="12" t="str">
        <f t="shared" si="47"/>
        <v/>
      </c>
      <c r="M168" s="12" t="str">
        <f t="shared" si="41"/>
        <v/>
      </c>
      <c r="N168" s="12" t="str">
        <f t="shared" si="42"/>
        <v/>
      </c>
      <c r="O168" s="12" t="str">
        <f t="shared" si="43"/>
        <v/>
      </c>
      <c r="P168" s="12" t="str">
        <f t="shared" si="44"/>
        <v/>
      </c>
      <c r="Q168" s="12" t="str">
        <f t="shared" si="48"/>
        <v/>
      </c>
      <c r="R168" s="26" t="str">
        <f t="shared" si="45"/>
        <v/>
      </c>
      <c r="S168" s="26" t="str">
        <f t="shared" si="54"/>
        <v/>
      </c>
      <c r="T168" s="26" t="str">
        <f t="shared" si="49"/>
        <v/>
      </c>
      <c r="U168" s="26" t="str">
        <f t="shared" si="50"/>
        <v/>
      </c>
      <c r="V168" s="26" t="str">
        <f t="shared" si="51"/>
        <v/>
      </c>
      <c r="W168" s="20" t="str">
        <f t="shared" si="52"/>
        <v/>
      </c>
      <c r="X168" s="20" t="str">
        <f t="shared" si="53"/>
        <v/>
      </c>
      <c r="Y168" s="86" t="str">
        <f t="shared" si="55"/>
        <v/>
      </c>
      <c r="Z168" s="31"/>
    </row>
    <row r="169" spans="2:26" outlineLevel="1">
      <c r="B169" s="14">
        <f t="shared" si="15"/>
        <v>166</v>
      </c>
      <c r="C169" s="37"/>
      <c r="D169" s="40"/>
      <c r="E169" s="39"/>
      <c r="F169" s="37"/>
      <c r="G169" s="39"/>
      <c r="H169" s="37"/>
      <c r="I169" s="37"/>
      <c r="J169" s="41" t="str">
        <f t="shared" si="40"/>
        <v/>
      </c>
      <c r="K169" s="12" t="str">
        <f t="shared" si="46"/>
        <v/>
      </c>
      <c r="L169" s="12" t="str">
        <f t="shared" si="47"/>
        <v/>
      </c>
      <c r="M169" s="12" t="str">
        <f t="shared" si="41"/>
        <v/>
      </c>
      <c r="N169" s="12" t="str">
        <f t="shared" si="42"/>
        <v/>
      </c>
      <c r="O169" s="12" t="str">
        <f t="shared" si="43"/>
        <v/>
      </c>
      <c r="P169" s="12" t="str">
        <f t="shared" si="44"/>
        <v/>
      </c>
      <c r="Q169" s="12" t="str">
        <f t="shared" si="48"/>
        <v/>
      </c>
      <c r="R169" s="26" t="str">
        <f t="shared" si="45"/>
        <v/>
      </c>
      <c r="S169" s="26" t="str">
        <f t="shared" si="54"/>
        <v/>
      </c>
      <c r="T169" s="26" t="str">
        <f t="shared" si="49"/>
        <v/>
      </c>
      <c r="U169" s="26" t="str">
        <f t="shared" si="50"/>
        <v/>
      </c>
      <c r="V169" s="26" t="str">
        <f t="shared" si="51"/>
        <v/>
      </c>
      <c r="W169" s="20" t="str">
        <f t="shared" si="52"/>
        <v/>
      </c>
      <c r="X169" s="20" t="str">
        <f t="shared" si="53"/>
        <v/>
      </c>
      <c r="Y169" s="86" t="str">
        <f t="shared" si="55"/>
        <v/>
      </c>
      <c r="Z169" s="31"/>
    </row>
    <row r="170" spans="2:26" outlineLevel="1">
      <c r="B170" s="14">
        <f t="shared" si="15"/>
        <v>167</v>
      </c>
      <c r="C170" s="37"/>
      <c r="D170" s="40"/>
      <c r="E170" s="39"/>
      <c r="F170" s="37"/>
      <c r="G170" s="39"/>
      <c r="H170" s="37"/>
      <c r="I170" s="37"/>
      <c r="J170" s="41" t="str">
        <f t="shared" si="40"/>
        <v/>
      </c>
      <c r="K170" s="12" t="str">
        <f t="shared" si="46"/>
        <v/>
      </c>
      <c r="L170" s="12" t="str">
        <f t="shared" si="47"/>
        <v/>
      </c>
      <c r="M170" s="12" t="str">
        <f t="shared" si="41"/>
        <v/>
      </c>
      <c r="N170" s="12" t="str">
        <f t="shared" si="42"/>
        <v/>
      </c>
      <c r="O170" s="12" t="str">
        <f t="shared" si="43"/>
        <v/>
      </c>
      <c r="P170" s="12" t="str">
        <f t="shared" si="44"/>
        <v/>
      </c>
      <c r="Q170" s="12" t="str">
        <f t="shared" si="48"/>
        <v/>
      </c>
      <c r="R170" s="26" t="str">
        <f t="shared" si="45"/>
        <v/>
      </c>
      <c r="S170" s="26" t="str">
        <f t="shared" si="54"/>
        <v/>
      </c>
      <c r="T170" s="26" t="str">
        <f t="shared" si="49"/>
        <v/>
      </c>
      <c r="U170" s="26" t="str">
        <f t="shared" si="50"/>
        <v/>
      </c>
      <c r="V170" s="26" t="str">
        <f t="shared" si="51"/>
        <v/>
      </c>
      <c r="W170" s="20" t="str">
        <f t="shared" si="52"/>
        <v/>
      </c>
      <c r="X170" s="20" t="str">
        <f t="shared" si="53"/>
        <v/>
      </c>
      <c r="Y170" s="86" t="str">
        <f t="shared" si="55"/>
        <v/>
      </c>
      <c r="Z170" s="31"/>
    </row>
    <row r="171" spans="2:26" outlineLevel="1">
      <c r="B171" s="14">
        <f t="shared" si="15"/>
        <v>168</v>
      </c>
      <c r="C171" s="37"/>
      <c r="D171" s="40"/>
      <c r="E171" s="39"/>
      <c r="F171" s="37"/>
      <c r="G171" s="39"/>
      <c r="H171" s="37"/>
      <c r="I171" s="37"/>
      <c r="J171" s="41" t="str">
        <f t="shared" si="40"/>
        <v/>
      </c>
      <c r="K171" s="12" t="str">
        <f t="shared" si="46"/>
        <v/>
      </c>
      <c r="L171" s="12" t="str">
        <f t="shared" si="47"/>
        <v/>
      </c>
      <c r="M171" s="12" t="str">
        <f t="shared" si="41"/>
        <v/>
      </c>
      <c r="N171" s="12" t="str">
        <f t="shared" si="42"/>
        <v/>
      </c>
      <c r="O171" s="12" t="str">
        <f t="shared" si="43"/>
        <v/>
      </c>
      <c r="P171" s="12" t="str">
        <f t="shared" si="44"/>
        <v/>
      </c>
      <c r="Q171" s="12" t="str">
        <f t="shared" si="48"/>
        <v/>
      </c>
      <c r="R171" s="26" t="str">
        <f t="shared" si="45"/>
        <v/>
      </c>
      <c r="S171" s="26" t="str">
        <f t="shared" si="54"/>
        <v/>
      </c>
      <c r="T171" s="26" t="str">
        <f t="shared" si="49"/>
        <v/>
      </c>
      <c r="U171" s="26" t="str">
        <f t="shared" si="50"/>
        <v/>
      </c>
      <c r="V171" s="26" t="str">
        <f t="shared" si="51"/>
        <v/>
      </c>
      <c r="W171" s="20" t="str">
        <f t="shared" si="52"/>
        <v/>
      </c>
      <c r="X171" s="20" t="str">
        <f t="shared" si="53"/>
        <v/>
      </c>
      <c r="Y171" s="86" t="str">
        <f t="shared" si="55"/>
        <v/>
      </c>
      <c r="Z171" s="31"/>
    </row>
    <row r="172" spans="2:26" outlineLevel="1">
      <c r="B172" s="14">
        <f t="shared" si="15"/>
        <v>169</v>
      </c>
      <c r="C172" s="37"/>
      <c r="D172" s="40"/>
      <c r="E172" s="39"/>
      <c r="F172" s="37"/>
      <c r="G172" s="39"/>
      <c r="H172" s="37"/>
      <c r="I172" s="37"/>
      <c r="J172" s="41" t="str">
        <f t="shared" si="40"/>
        <v/>
      </c>
      <c r="K172" s="12" t="str">
        <f t="shared" si="46"/>
        <v/>
      </c>
      <c r="L172" s="12" t="str">
        <f t="shared" si="47"/>
        <v/>
      </c>
      <c r="M172" s="12" t="str">
        <f t="shared" si="41"/>
        <v/>
      </c>
      <c r="N172" s="12" t="str">
        <f t="shared" si="42"/>
        <v/>
      </c>
      <c r="O172" s="12" t="str">
        <f t="shared" si="43"/>
        <v/>
      </c>
      <c r="P172" s="12" t="str">
        <f t="shared" si="44"/>
        <v/>
      </c>
      <c r="Q172" s="12" t="str">
        <f t="shared" si="48"/>
        <v/>
      </c>
      <c r="R172" s="26" t="str">
        <f t="shared" si="45"/>
        <v/>
      </c>
      <c r="S172" s="26" t="str">
        <f t="shared" si="54"/>
        <v/>
      </c>
      <c r="T172" s="26" t="str">
        <f t="shared" si="49"/>
        <v/>
      </c>
      <c r="U172" s="26" t="str">
        <f t="shared" si="50"/>
        <v/>
      </c>
      <c r="V172" s="26" t="str">
        <f t="shared" si="51"/>
        <v/>
      </c>
      <c r="W172" s="20" t="str">
        <f t="shared" si="52"/>
        <v/>
      </c>
      <c r="X172" s="20" t="str">
        <f t="shared" si="53"/>
        <v/>
      </c>
      <c r="Y172" s="86" t="str">
        <f t="shared" si="55"/>
        <v/>
      </c>
      <c r="Z172" s="31"/>
    </row>
    <row r="173" spans="2:26" outlineLevel="1">
      <c r="B173" s="14">
        <f t="shared" si="15"/>
        <v>170</v>
      </c>
      <c r="C173" s="37"/>
      <c r="D173" s="40"/>
      <c r="E173" s="39"/>
      <c r="F173" s="37"/>
      <c r="G173" s="39"/>
      <c r="H173" s="37"/>
      <c r="I173" s="37"/>
      <c r="J173" s="41" t="str">
        <f t="shared" si="40"/>
        <v/>
      </c>
      <c r="K173" s="12" t="str">
        <f t="shared" si="46"/>
        <v/>
      </c>
      <c r="L173" s="12" t="str">
        <f t="shared" si="47"/>
        <v/>
      </c>
      <c r="M173" s="12" t="str">
        <f t="shared" si="41"/>
        <v/>
      </c>
      <c r="N173" s="12" t="str">
        <f t="shared" si="42"/>
        <v/>
      </c>
      <c r="O173" s="12" t="str">
        <f t="shared" si="43"/>
        <v/>
      </c>
      <c r="P173" s="12" t="str">
        <f t="shared" si="44"/>
        <v/>
      </c>
      <c r="Q173" s="12" t="str">
        <f t="shared" si="48"/>
        <v/>
      </c>
      <c r="R173" s="26" t="str">
        <f t="shared" si="45"/>
        <v/>
      </c>
      <c r="S173" s="26" t="str">
        <f t="shared" si="54"/>
        <v/>
      </c>
      <c r="T173" s="26" t="str">
        <f t="shared" si="49"/>
        <v/>
      </c>
      <c r="U173" s="26" t="str">
        <f t="shared" si="50"/>
        <v/>
      </c>
      <c r="V173" s="26" t="str">
        <f t="shared" si="51"/>
        <v/>
      </c>
      <c r="W173" s="20" t="str">
        <f t="shared" si="52"/>
        <v/>
      </c>
      <c r="X173" s="20" t="str">
        <f t="shared" si="53"/>
        <v/>
      </c>
      <c r="Y173" s="86" t="str">
        <f t="shared" si="55"/>
        <v/>
      </c>
      <c r="Z173" s="31"/>
    </row>
    <row r="174" spans="2:26" outlineLevel="1">
      <c r="B174" s="14">
        <f t="shared" si="15"/>
        <v>171</v>
      </c>
      <c r="C174" s="37"/>
      <c r="D174" s="40"/>
      <c r="E174" s="39"/>
      <c r="F174" s="37"/>
      <c r="G174" s="39"/>
      <c r="H174" s="37"/>
      <c r="I174" s="37"/>
      <c r="J174" s="41" t="str">
        <f t="shared" si="40"/>
        <v/>
      </c>
      <c r="K174" s="12" t="str">
        <f t="shared" si="46"/>
        <v/>
      </c>
      <c r="L174" s="12" t="str">
        <f t="shared" si="47"/>
        <v/>
      </c>
      <c r="M174" s="12" t="str">
        <f t="shared" si="41"/>
        <v/>
      </c>
      <c r="N174" s="12" t="str">
        <f t="shared" si="42"/>
        <v/>
      </c>
      <c r="O174" s="12" t="str">
        <f t="shared" si="43"/>
        <v/>
      </c>
      <c r="P174" s="12" t="str">
        <f t="shared" si="44"/>
        <v/>
      </c>
      <c r="Q174" s="12" t="str">
        <f t="shared" si="48"/>
        <v/>
      </c>
      <c r="R174" s="26" t="str">
        <f t="shared" si="45"/>
        <v/>
      </c>
      <c r="S174" s="26" t="str">
        <f t="shared" si="54"/>
        <v/>
      </c>
      <c r="T174" s="26" t="str">
        <f t="shared" si="49"/>
        <v/>
      </c>
      <c r="U174" s="26" t="str">
        <f t="shared" si="50"/>
        <v/>
      </c>
      <c r="V174" s="26" t="str">
        <f t="shared" si="51"/>
        <v/>
      </c>
      <c r="W174" s="20" t="str">
        <f t="shared" si="52"/>
        <v/>
      </c>
      <c r="X174" s="20" t="str">
        <f t="shared" si="53"/>
        <v/>
      </c>
      <c r="Y174" s="86" t="str">
        <f t="shared" si="55"/>
        <v/>
      </c>
      <c r="Z174" s="31"/>
    </row>
    <row r="175" spans="2:26" outlineLevel="1">
      <c r="B175" s="14">
        <f t="shared" si="15"/>
        <v>172</v>
      </c>
      <c r="C175" s="37"/>
      <c r="D175" s="40"/>
      <c r="E175" s="39"/>
      <c r="F175" s="37"/>
      <c r="G175" s="39"/>
      <c r="H175" s="37"/>
      <c r="I175" s="37"/>
      <c r="J175" s="41" t="str">
        <f t="shared" si="40"/>
        <v/>
      </c>
      <c r="K175" s="12" t="str">
        <f t="shared" si="46"/>
        <v/>
      </c>
      <c r="L175" s="12" t="str">
        <f t="shared" si="47"/>
        <v/>
      </c>
      <c r="M175" s="12" t="str">
        <f t="shared" si="41"/>
        <v/>
      </c>
      <c r="N175" s="12" t="str">
        <f t="shared" si="42"/>
        <v/>
      </c>
      <c r="O175" s="12" t="str">
        <f t="shared" si="43"/>
        <v/>
      </c>
      <c r="P175" s="12" t="str">
        <f t="shared" si="44"/>
        <v/>
      </c>
      <c r="Q175" s="12" t="str">
        <f t="shared" si="48"/>
        <v/>
      </c>
      <c r="R175" s="26" t="str">
        <f t="shared" si="45"/>
        <v/>
      </c>
      <c r="S175" s="26" t="str">
        <f t="shared" si="54"/>
        <v/>
      </c>
      <c r="T175" s="26" t="str">
        <f t="shared" si="49"/>
        <v/>
      </c>
      <c r="U175" s="26" t="str">
        <f t="shared" si="50"/>
        <v/>
      </c>
      <c r="V175" s="26" t="str">
        <f t="shared" si="51"/>
        <v/>
      </c>
      <c r="W175" s="20" t="str">
        <f t="shared" si="52"/>
        <v/>
      </c>
      <c r="X175" s="20" t="str">
        <f t="shared" si="53"/>
        <v/>
      </c>
      <c r="Y175" s="86" t="str">
        <f t="shared" si="55"/>
        <v/>
      </c>
      <c r="Z175" s="31"/>
    </row>
    <row r="176" spans="2:26" outlineLevel="1">
      <c r="B176" s="14">
        <f t="shared" si="15"/>
        <v>173</v>
      </c>
      <c r="C176" s="37"/>
      <c r="D176" s="40"/>
      <c r="E176" s="39"/>
      <c r="F176" s="37"/>
      <c r="G176" s="39"/>
      <c r="H176" s="37"/>
      <c r="I176" s="37"/>
      <c r="J176" s="41" t="str">
        <f t="shared" si="40"/>
        <v/>
      </c>
      <c r="K176" s="12" t="str">
        <f t="shared" si="46"/>
        <v/>
      </c>
      <c r="L176" s="12" t="str">
        <f t="shared" si="47"/>
        <v/>
      </c>
      <c r="M176" s="12" t="str">
        <f t="shared" si="41"/>
        <v/>
      </c>
      <c r="N176" s="12" t="str">
        <f t="shared" si="42"/>
        <v/>
      </c>
      <c r="O176" s="12" t="str">
        <f t="shared" si="43"/>
        <v/>
      </c>
      <c r="P176" s="12" t="str">
        <f t="shared" si="44"/>
        <v/>
      </c>
      <c r="Q176" s="12" t="str">
        <f t="shared" si="48"/>
        <v/>
      </c>
      <c r="R176" s="26" t="str">
        <f t="shared" si="45"/>
        <v/>
      </c>
      <c r="S176" s="26" t="str">
        <f t="shared" si="54"/>
        <v/>
      </c>
      <c r="T176" s="26" t="str">
        <f t="shared" si="49"/>
        <v/>
      </c>
      <c r="U176" s="26" t="str">
        <f t="shared" si="50"/>
        <v/>
      </c>
      <c r="V176" s="26" t="str">
        <f t="shared" si="51"/>
        <v/>
      </c>
      <c r="W176" s="20" t="str">
        <f t="shared" si="52"/>
        <v/>
      </c>
      <c r="X176" s="20" t="str">
        <f t="shared" si="53"/>
        <v/>
      </c>
      <c r="Y176" s="86" t="str">
        <f t="shared" si="55"/>
        <v/>
      </c>
      <c r="Z176" s="31"/>
    </row>
    <row r="177" spans="2:26" outlineLevel="1">
      <c r="B177" s="14">
        <f t="shared" si="15"/>
        <v>174</v>
      </c>
      <c r="C177" s="37"/>
      <c r="D177" s="40"/>
      <c r="E177" s="39"/>
      <c r="F177" s="37"/>
      <c r="G177" s="39"/>
      <c r="H177" s="37"/>
      <c r="I177" s="37"/>
      <c r="J177" s="41" t="str">
        <f t="shared" si="40"/>
        <v/>
      </c>
      <c r="K177" s="12" t="str">
        <f t="shared" si="46"/>
        <v/>
      </c>
      <c r="L177" s="12" t="str">
        <f t="shared" si="47"/>
        <v/>
      </c>
      <c r="M177" s="12" t="str">
        <f t="shared" si="41"/>
        <v/>
      </c>
      <c r="N177" s="12" t="str">
        <f t="shared" si="42"/>
        <v/>
      </c>
      <c r="O177" s="12" t="str">
        <f t="shared" si="43"/>
        <v/>
      </c>
      <c r="P177" s="12" t="str">
        <f t="shared" si="44"/>
        <v/>
      </c>
      <c r="Q177" s="12" t="str">
        <f t="shared" si="48"/>
        <v/>
      </c>
      <c r="R177" s="26" t="str">
        <f t="shared" si="45"/>
        <v/>
      </c>
      <c r="S177" s="26" t="str">
        <f t="shared" si="54"/>
        <v/>
      </c>
      <c r="T177" s="26" t="str">
        <f t="shared" si="49"/>
        <v/>
      </c>
      <c r="U177" s="26" t="str">
        <f t="shared" si="50"/>
        <v/>
      </c>
      <c r="V177" s="26" t="str">
        <f t="shared" si="51"/>
        <v/>
      </c>
      <c r="W177" s="20" t="str">
        <f t="shared" si="52"/>
        <v/>
      </c>
      <c r="X177" s="20" t="str">
        <f t="shared" si="53"/>
        <v/>
      </c>
      <c r="Y177" s="86" t="str">
        <f t="shared" si="55"/>
        <v/>
      </c>
      <c r="Z177" s="31"/>
    </row>
    <row r="178" spans="2:26" outlineLevel="1">
      <c r="B178" s="14">
        <f t="shared" si="15"/>
        <v>175</v>
      </c>
      <c r="C178" s="37"/>
      <c r="D178" s="40"/>
      <c r="E178" s="39"/>
      <c r="F178" s="37"/>
      <c r="G178" s="39"/>
      <c r="H178" s="37"/>
      <c r="I178" s="37"/>
      <c r="J178" s="41" t="str">
        <f t="shared" si="40"/>
        <v/>
      </c>
      <c r="K178" s="12" t="str">
        <f t="shared" si="46"/>
        <v/>
      </c>
      <c r="L178" s="12" t="str">
        <f t="shared" si="47"/>
        <v/>
      </c>
      <c r="M178" s="12" t="str">
        <f t="shared" si="41"/>
        <v/>
      </c>
      <c r="N178" s="12" t="str">
        <f t="shared" si="42"/>
        <v/>
      </c>
      <c r="O178" s="12" t="str">
        <f t="shared" si="43"/>
        <v/>
      </c>
      <c r="P178" s="12" t="str">
        <f t="shared" si="44"/>
        <v/>
      </c>
      <c r="Q178" s="12" t="str">
        <f t="shared" si="48"/>
        <v/>
      </c>
      <c r="R178" s="26" t="str">
        <f t="shared" si="45"/>
        <v/>
      </c>
      <c r="S178" s="26" t="str">
        <f t="shared" si="54"/>
        <v/>
      </c>
      <c r="T178" s="26" t="str">
        <f t="shared" si="49"/>
        <v/>
      </c>
      <c r="U178" s="26" t="str">
        <f t="shared" si="50"/>
        <v/>
      </c>
      <c r="V178" s="26" t="str">
        <f t="shared" si="51"/>
        <v/>
      </c>
      <c r="W178" s="20" t="str">
        <f t="shared" si="52"/>
        <v/>
      </c>
      <c r="X178" s="20" t="str">
        <f t="shared" si="53"/>
        <v/>
      </c>
      <c r="Y178" s="86" t="str">
        <f t="shared" si="55"/>
        <v/>
      </c>
      <c r="Z178" s="31"/>
    </row>
    <row r="179" spans="2:26" outlineLevel="1">
      <c r="B179" s="14">
        <f t="shared" si="15"/>
        <v>176</v>
      </c>
      <c r="C179" s="37"/>
      <c r="D179" s="40"/>
      <c r="E179" s="39"/>
      <c r="F179" s="37"/>
      <c r="G179" s="39"/>
      <c r="H179" s="37"/>
      <c r="I179" s="37"/>
      <c r="J179" s="41" t="str">
        <f t="shared" si="40"/>
        <v/>
      </c>
      <c r="K179" s="12" t="str">
        <f t="shared" si="46"/>
        <v/>
      </c>
      <c r="L179" s="12" t="str">
        <f t="shared" si="47"/>
        <v/>
      </c>
      <c r="M179" s="12" t="str">
        <f t="shared" si="41"/>
        <v/>
      </c>
      <c r="N179" s="12" t="str">
        <f t="shared" si="42"/>
        <v/>
      </c>
      <c r="O179" s="12" t="str">
        <f t="shared" si="43"/>
        <v/>
      </c>
      <c r="P179" s="12" t="str">
        <f t="shared" si="44"/>
        <v/>
      </c>
      <c r="Q179" s="12" t="str">
        <f t="shared" si="48"/>
        <v/>
      </c>
      <c r="R179" s="26" t="str">
        <f t="shared" si="45"/>
        <v/>
      </c>
      <c r="S179" s="26" t="str">
        <f t="shared" si="54"/>
        <v/>
      </c>
      <c r="T179" s="26" t="str">
        <f t="shared" si="49"/>
        <v/>
      </c>
      <c r="U179" s="26" t="str">
        <f t="shared" si="50"/>
        <v/>
      </c>
      <c r="V179" s="26" t="str">
        <f t="shared" si="51"/>
        <v/>
      </c>
      <c r="W179" s="20" t="str">
        <f t="shared" si="52"/>
        <v/>
      </c>
      <c r="X179" s="20" t="str">
        <f t="shared" si="53"/>
        <v/>
      </c>
      <c r="Y179" s="86" t="str">
        <f t="shared" si="55"/>
        <v/>
      </c>
      <c r="Z179" s="31"/>
    </row>
    <row r="180" spans="2:26" outlineLevel="1">
      <c r="B180" s="14">
        <f t="shared" si="15"/>
        <v>177</v>
      </c>
      <c r="C180" s="37"/>
      <c r="D180" s="40"/>
      <c r="E180" s="39"/>
      <c r="F180" s="37"/>
      <c r="G180" s="39"/>
      <c r="H180" s="37"/>
      <c r="I180" s="37"/>
      <c r="J180" s="41" t="str">
        <f t="shared" si="40"/>
        <v/>
      </c>
      <c r="K180" s="12" t="str">
        <f t="shared" si="46"/>
        <v/>
      </c>
      <c r="L180" s="12" t="str">
        <f t="shared" si="47"/>
        <v/>
      </c>
      <c r="M180" s="12" t="str">
        <f t="shared" si="41"/>
        <v/>
      </c>
      <c r="N180" s="12" t="str">
        <f t="shared" si="42"/>
        <v/>
      </c>
      <c r="O180" s="12" t="str">
        <f t="shared" si="43"/>
        <v/>
      </c>
      <c r="P180" s="12" t="str">
        <f t="shared" si="44"/>
        <v/>
      </c>
      <c r="Q180" s="12" t="str">
        <f t="shared" si="48"/>
        <v/>
      </c>
      <c r="R180" s="26" t="str">
        <f t="shared" si="45"/>
        <v/>
      </c>
      <c r="S180" s="26" t="str">
        <f t="shared" si="54"/>
        <v/>
      </c>
      <c r="T180" s="26" t="str">
        <f t="shared" si="49"/>
        <v/>
      </c>
      <c r="U180" s="26" t="str">
        <f t="shared" si="50"/>
        <v/>
      </c>
      <c r="V180" s="26" t="str">
        <f t="shared" si="51"/>
        <v/>
      </c>
      <c r="W180" s="20" t="str">
        <f t="shared" si="52"/>
        <v/>
      </c>
      <c r="X180" s="20" t="str">
        <f t="shared" si="53"/>
        <v/>
      </c>
      <c r="Y180" s="86" t="str">
        <f t="shared" si="55"/>
        <v/>
      </c>
      <c r="Z180" s="31"/>
    </row>
    <row r="181" spans="2:26" outlineLevel="1">
      <c r="B181" s="14">
        <f t="shared" si="15"/>
        <v>178</v>
      </c>
      <c r="C181" s="37"/>
      <c r="D181" s="40"/>
      <c r="E181" s="39"/>
      <c r="F181" s="37"/>
      <c r="G181" s="39"/>
      <c r="H181" s="37"/>
      <c r="I181" s="37"/>
      <c r="J181" s="41" t="str">
        <f t="shared" si="40"/>
        <v/>
      </c>
      <c r="K181" s="12" t="str">
        <f t="shared" si="46"/>
        <v/>
      </c>
      <c r="L181" s="12" t="str">
        <f t="shared" si="47"/>
        <v/>
      </c>
      <c r="M181" s="12" t="str">
        <f t="shared" si="41"/>
        <v/>
      </c>
      <c r="N181" s="12" t="str">
        <f t="shared" si="42"/>
        <v/>
      </c>
      <c r="O181" s="12" t="str">
        <f t="shared" si="43"/>
        <v/>
      </c>
      <c r="P181" s="12" t="str">
        <f t="shared" si="44"/>
        <v/>
      </c>
      <c r="Q181" s="12" t="str">
        <f t="shared" si="48"/>
        <v/>
      </c>
      <c r="R181" s="26" t="str">
        <f t="shared" si="45"/>
        <v/>
      </c>
      <c r="S181" s="26" t="str">
        <f t="shared" si="54"/>
        <v/>
      </c>
      <c r="T181" s="26" t="str">
        <f t="shared" si="49"/>
        <v/>
      </c>
      <c r="U181" s="26" t="str">
        <f t="shared" si="50"/>
        <v/>
      </c>
      <c r="V181" s="26" t="str">
        <f t="shared" si="51"/>
        <v/>
      </c>
      <c r="W181" s="20" t="str">
        <f t="shared" si="52"/>
        <v/>
      </c>
      <c r="X181" s="20" t="str">
        <f t="shared" si="53"/>
        <v/>
      </c>
      <c r="Y181" s="86" t="str">
        <f t="shared" si="55"/>
        <v/>
      </c>
      <c r="Z181" s="31"/>
    </row>
    <row r="182" spans="2:26" outlineLevel="1">
      <c r="B182" s="14">
        <f t="shared" si="15"/>
        <v>179</v>
      </c>
      <c r="C182" s="37"/>
      <c r="D182" s="40"/>
      <c r="E182" s="39"/>
      <c r="F182" s="37"/>
      <c r="G182" s="39"/>
      <c r="H182" s="37"/>
      <c r="I182" s="37"/>
      <c r="J182" s="41" t="str">
        <f t="shared" si="40"/>
        <v/>
      </c>
      <c r="K182" s="12" t="str">
        <f t="shared" si="46"/>
        <v/>
      </c>
      <c r="L182" s="12" t="str">
        <f t="shared" si="47"/>
        <v/>
      </c>
      <c r="M182" s="12" t="str">
        <f t="shared" si="41"/>
        <v/>
      </c>
      <c r="N182" s="12" t="str">
        <f t="shared" si="42"/>
        <v/>
      </c>
      <c r="O182" s="12" t="str">
        <f t="shared" si="43"/>
        <v/>
      </c>
      <c r="P182" s="12" t="str">
        <f t="shared" si="44"/>
        <v/>
      </c>
      <c r="Q182" s="12" t="str">
        <f t="shared" si="48"/>
        <v/>
      </c>
      <c r="R182" s="26" t="str">
        <f t="shared" si="45"/>
        <v/>
      </c>
      <c r="S182" s="26" t="str">
        <f t="shared" si="54"/>
        <v/>
      </c>
      <c r="T182" s="26" t="str">
        <f t="shared" si="49"/>
        <v/>
      </c>
      <c r="U182" s="26" t="str">
        <f t="shared" si="50"/>
        <v/>
      </c>
      <c r="V182" s="26" t="str">
        <f t="shared" si="51"/>
        <v/>
      </c>
      <c r="W182" s="20" t="str">
        <f t="shared" si="52"/>
        <v/>
      </c>
      <c r="X182" s="20" t="str">
        <f t="shared" si="53"/>
        <v/>
      </c>
      <c r="Y182" s="86" t="str">
        <f t="shared" si="55"/>
        <v/>
      </c>
      <c r="Z182" s="31"/>
    </row>
    <row r="183" spans="2:26" outlineLevel="1">
      <c r="B183" s="14">
        <f t="shared" si="15"/>
        <v>180</v>
      </c>
      <c r="C183" s="37"/>
      <c r="D183" s="40"/>
      <c r="E183" s="39"/>
      <c r="F183" s="37"/>
      <c r="G183" s="39"/>
      <c r="H183" s="37"/>
      <c r="I183" s="37"/>
      <c r="J183" s="41" t="str">
        <f t="shared" si="40"/>
        <v/>
      </c>
      <c r="K183" s="12" t="str">
        <f t="shared" si="46"/>
        <v/>
      </c>
      <c r="L183" s="12" t="str">
        <f t="shared" si="47"/>
        <v/>
      </c>
      <c r="M183" s="12" t="str">
        <f t="shared" si="41"/>
        <v/>
      </c>
      <c r="N183" s="12" t="str">
        <f t="shared" si="42"/>
        <v/>
      </c>
      <c r="O183" s="12" t="str">
        <f t="shared" si="43"/>
        <v/>
      </c>
      <c r="P183" s="12" t="str">
        <f t="shared" si="44"/>
        <v/>
      </c>
      <c r="Q183" s="12" t="str">
        <f t="shared" si="48"/>
        <v/>
      </c>
      <c r="R183" s="26" t="str">
        <f t="shared" si="45"/>
        <v/>
      </c>
      <c r="S183" s="26" t="str">
        <f t="shared" si="54"/>
        <v/>
      </c>
      <c r="T183" s="26" t="str">
        <f t="shared" si="49"/>
        <v/>
      </c>
      <c r="U183" s="26" t="str">
        <f t="shared" si="50"/>
        <v/>
      </c>
      <c r="V183" s="26" t="str">
        <f t="shared" si="51"/>
        <v/>
      </c>
      <c r="W183" s="20" t="str">
        <f t="shared" si="52"/>
        <v/>
      </c>
      <c r="X183" s="20" t="str">
        <f t="shared" si="53"/>
        <v/>
      </c>
      <c r="Y183" s="86" t="str">
        <f t="shared" si="55"/>
        <v/>
      </c>
      <c r="Z183" s="31"/>
    </row>
    <row r="184" spans="2:26" outlineLevel="1">
      <c r="B184" s="14">
        <f t="shared" si="15"/>
        <v>181</v>
      </c>
      <c r="C184" s="37"/>
      <c r="D184" s="40"/>
      <c r="E184" s="39"/>
      <c r="F184" s="37"/>
      <c r="G184" s="39"/>
      <c r="H184" s="37"/>
      <c r="I184" s="37"/>
      <c r="J184" s="41" t="str">
        <f t="shared" si="40"/>
        <v/>
      </c>
      <c r="K184" s="12" t="str">
        <f t="shared" si="46"/>
        <v/>
      </c>
      <c r="L184" s="12" t="str">
        <f t="shared" si="47"/>
        <v/>
      </c>
      <c r="M184" s="12" t="str">
        <f t="shared" si="41"/>
        <v/>
      </c>
      <c r="N184" s="12" t="str">
        <f t="shared" si="42"/>
        <v/>
      </c>
      <c r="O184" s="12" t="str">
        <f t="shared" si="43"/>
        <v/>
      </c>
      <c r="P184" s="12" t="str">
        <f t="shared" si="44"/>
        <v/>
      </c>
      <c r="Q184" s="12" t="str">
        <f t="shared" si="48"/>
        <v/>
      </c>
      <c r="R184" s="26" t="str">
        <f t="shared" si="45"/>
        <v/>
      </c>
      <c r="S184" s="26" t="str">
        <f t="shared" si="54"/>
        <v/>
      </c>
      <c r="T184" s="26" t="str">
        <f t="shared" si="49"/>
        <v/>
      </c>
      <c r="U184" s="26" t="str">
        <f t="shared" si="50"/>
        <v/>
      </c>
      <c r="V184" s="26" t="str">
        <f t="shared" si="51"/>
        <v/>
      </c>
      <c r="W184" s="20" t="str">
        <f t="shared" si="52"/>
        <v/>
      </c>
      <c r="X184" s="20" t="str">
        <f t="shared" si="53"/>
        <v/>
      </c>
      <c r="Y184" s="86" t="str">
        <f t="shared" si="55"/>
        <v/>
      </c>
      <c r="Z184" s="31"/>
    </row>
    <row r="185" spans="2:26" outlineLevel="1">
      <c r="B185" s="14">
        <f t="shared" si="15"/>
        <v>182</v>
      </c>
      <c r="C185" s="37"/>
      <c r="D185" s="40"/>
      <c r="E185" s="39"/>
      <c r="F185" s="37"/>
      <c r="G185" s="39"/>
      <c r="H185" s="37"/>
      <c r="I185" s="37"/>
      <c r="J185" s="41" t="str">
        <f t="shared" si="40"/>
        <v/>
      </c>
      <c r="K185" s="12" t="str">
        <f t="shared" si="46"/>
        <v/>
      </c>
      <c r="L185" s="12" t="str">
        <f t="shared" si="47"/>
        <v/>
      </c>
      <c r="M185" s="12" t="str">
        <f t="shared" si="41"/>
        <v/>
      </c>
      <c r="N185" s="12" t="str">
        <f t="shared" si="42"/>
        <v/>
      </c>
      <c r="O185" s="12" t="str">
        <f t="shared" si="43"/>
        <v/>
      </c>
      <c r="P185" s="12" t="str">
        <f t="shared" si="44"/>
        <v/>
      </c>
      <c r="Q185" s="12" t="str">
        <f t="shared" si="48"/>
        <v/>
      </c>
      <c r="R185" s="26" t="str">
        <f t="shared" si="45"/>
        <v/>
      </c>
      <c r="S185" s="26" t="str">
        <f t="shared" si="54"/>
        <v/>
      </c>
      <c r="T185" s="26" t="str">
        <f t="shared" si="49"/>
        <v/>
      </c>
      <c r="U185" s="26" t="str">
        <f t="shared" si="50"/>
        <v/>
      </c>
      <c r="V185" s="26" t="str">
        <f t="shared" si="51"/>
        <v/>
      </c>
      <c r="W185" s="20" t="str">
        <f t="shared" si="52"/>
        <v/>
      </c>
      <c r="X185" s="20" t="str">
        <f t="shared" si="53"/>
        <v/>
      </c>
      <c r="Y185" s="86" t="str">
        <f t="shared" si="55"/>
        <v/>
      </c>
      <c r="Z185" s="31"/>
    </row>
    <row r="186" spans="2:26" outlineLevel="1">
      <c r="B186" s="14">
        <f t="shared" si="15"/>
        <v>183</v>
      </c>
      <c r="C186" s="37"/>
      <c r="D186" s="40"/>
      <c r="E186" s="39"/>
      <c r="F186" s="37"/>
      <c r="G186" s="39"/>
      <c r="H186" s="37"/>
      <c r="I186" s="37"/>
      <c r="J186" s="41" t="str">
        <f t="shared" si="40"/>
        <v/>
      </c>
      <c r="K186" s="12" t="str">
        <f t="shared" si="46"/>
        <v/>
      </c>
      <c r="L186" s="12" t="str">
        <f t="shared" si="47"/>
        <v/>
      </c>
      <c r="M186" s="12" t="str">
        <f t="shared" si="41"/>
        <v/>
      </c>
      <c r="N186" s="12" t="str">
        <f t="shared" si="42"/>
        <v/>
      </c>
      <c r="O186" s="12" t="str">
        <f t="shared" si="43"/>
        <v/>
      </c>
      <c r="P186" s="12" t="str">
        <f t="shared" si="44"/>
        <v/>
      </c>
      <c r="Q186" s="12" t="str">
        <f t="shared" si="48"/>
        <v/>
      </c>
      <c r="R186" s="26" t="str">
        <f t="shared" si="45"/>
        <v/>
      </c>
      <c r="S186" s="26" t="str">
        <f t="shared" si="54"/>
        <v/>
      </c>
      <c r="T186" s="26" t="str">
        <f t="shared" si="49"/>
        <v/>
      </c>
      <c r="U186" s="26" t="str">
        <f t="shared" si="50"/>
        <v/>
      </c>
      <c r="V186" s="26" t="str">
        <f t="shared" si="51"/>
        <v/>
      </c>
      <c r="W186" s="20" t="str">
        <f t="shared" si="52"/>
        <v/>
      </c>
      <c r="X186" s="20" t="str">
        <f t="shared" si="53"/>
        <v/>
      </c>
      <c r="Y186" s="86" t="str">
        <f t="shared" si="55"/>
        <v/>
      </c>
      <c r="Z186" s="31"/>
    </row>
    <row r="187" spans="2:26" outlineLevel="1">
      <c r="B187" s="14">
        <f t="shared" si="15"/>
        <v>184</v>
      </c>
      <c r="C187" s="37"/>
      <c r="D187" s="40"/>
      <c r="E187" s="39"/>
      <c r="F187" s="37"/>
      <c r="G187" s="39"/>
      <c r="H187" s="37"/>
      <c r="I187" s="37"/>
      <c r="J187" s="41" t="str">
        <f t="shared" si="40"/>
        <v/>
      </c>
      <c r="K187" s="12" t="str">
        <f t="shared" si="46"/>
        <v/>
      </c>
      <c r="L187" s="12" t="str">
        <f t="shared" si="47"/>
        <v/>
      </c>
      <c r="M187" s="12" t="str">
        <f t="shared" si="41"/>
        <v/>
      </c>
      <c r="N187" s="12" t="str">
        <f t="shared" si="42"/>
        <v/>
      </c>
      <c r="O187" s="12" t="str">
        <f t="shared" si="43"/>
        <v/>
      </c>
      <c r="P187" s="12" t="str">
        <f t="shared" si="44"/>
        <v/>
      </c>
      <c r="Q187" s="12" t="str">
        <f t="shared" si="48"/>
        <v/>
      </c>
      <c r="R187" s="26" t="str">
        <f t="shared" si="45"/>
        <v/>
      </c>
      <c r="S187" s="26" t="str">
        <f t="shared" si="54"/>
        <v/>
      </c>
      <c r="T187" s="26" t="str">
        <f t="shared" si="49"/>
        <v/>
      </c>
      <c r="U187" s="26" t="str">
        <f t="shared" si="50"/>
        <v/>
      </c>
      <c r="V187" s="26" t="str">
        <f t="shared" si="51"/>
        <v/>
      </c>
      <c r="W187" s="20" t="str">
        <f t="shared" si="52"/>
        <v/>
      </c>
      <c r="X187" s="20" t="str">
        <f t="shared" si="53"/>
        <v/>
      </c>
      <c r="Y187" s="86" t="str">
        <f t="shared" si="55"/>
        <v/>
      </c>
      <c r="Z187" s="31"/>
    </row>
    <row r="188" spans="2:26" outlineLevel="1">
      <c r="B188" s="14">
        <f t="shared" si="15"/>
        <v>185</v>
      </c>
      <c r="C188" s="37"/>
      <c r="D188" s="40"/>
      <c r="E188" s="39"/>
      <c r="F188" s="37"/>
      <c r="G188" s="39"/>
      <c r="H188" s="37"/>
      <c r="I188" s="37"/>
      <c r="J188" s="41" t="str">
        <f t="shared" si="40"/>
        <v/>
      </c>
      <c r="K188" s="12" t="str">
        <f t="shared" si="46"/>
        <v/>
      </c>
      <c r="L188" s="12" t="str">
        <f t="shared" si="47"/>
        <v/>
      </c>
      <c r="M188" s="12" t="str">
        <f t="shared" si="41"/>
        <v/>
      </c>
      <c r="N188" s="12" t="str">
        <f t="shared" si="42"/>
        <v/>
      </c>
      <c r="O188" s="12" t="str">
        <f t="shared" si="43"/>
        <v/>
      </c>
      <c r="P188" s="12" t="str">
        <f t="shared" si="44"/>
        <v/>
      </c>
      <c r="Q188" s="12" t="str">
        <f t="shared" si="48"/>
        <v/>
      </c>
      <c r="R188" s="26" t="str">
        <f t="shared" si="45"/>
        <v/>
      </c>
      <c r="S188" s="26" t="str">
        <f t="shared" si="54"/>
        <v/>
      </c>
      <c r="T188" s="26" t="str">
        <f t="shared" si="49"/>
        <v/>
      </c>
      <c r="U188" s="26" t="str">
        <f t="shared" si="50"/>
        <v/>
      </c>
      <c r="V188" s="26" t="str">
        <f t="shared" si="51"/>
        <v/>
      </c>
      <c r="W188" s="20" t="str">
        <f t="shared" si="52"/>
        <v/>
      </c>
      <c r="X188" s="20" t="str">
        <f t="shared" si="53"/>
        <v/>
      </c>
      <c r="Y188" s="86" t="str">
        <f t="shared" si="55"/>
        <v/>
      </c>
      <c r="Z188" s="31"/>
    </row>
    <row r="189" spans="2:26" outlineLevel="1">
      <c r="B189" s="14">
        <f t="shared" si="15"/>
        <v>186</v>
      </c>
      <c r="C189" s="37"/>
      <c r="D189" s="40"/>
      <c r="E189" s="39"/>
      <c r="F189" s="37"/>
      <c r="G189" s="39"/>
      <c r="H189" s="37"/>
      <c r="I189" s="37"/>
      <c r="J189" s="41" t="str">
        <f t="shared" si="40"/>
        <v/>
      </c>
      <c r="K189" s="12" t="str">
        <f t="shared" si="46"/>
        <v/>
      </c>
      <c r="L189" s="12" t="str">
        <f t="shared" si="47"/>
        <v/>
      </c>
      <c r="M189" s="12" t="str">
        <f t="shared" si="41"/>
        <v/>
      </c>
      <c r="N189" s="12" t="str">
        <f t="shared" si="42"/>
        <v/>
      </c>
      <c r="O189" s="12" t="str">
        <f t="shared" si="43"/>
        <v/>
      </c>
      <c r="P189" s="12" t="str">
        <f t="shared" si="44"/>
        <v/>
      </c>
      <c r="Q189" s="12" t="str">
        <f t="shared" si="48"/>
        <v/>
      </c>
      <c r="R189" s="26" t="str">
        <f t="shared" si="45"/>
        <v/>
      </c>
      <c r="S189" s="26" t="str">
        <f t="shared" si="54"/>
        <v/>
      </c>
      <c r="T189" s="26" t="str">
        <f t="shared" si="49"/>
        <v/>
      </c>
      <c r="U189" s="26" t="str">
        <f t="shared" si="50"/>
        <v/>
      </c>
      <c r="V189" s="26" t="str">
        <f t="shared" si="51"/>
        <v/>
      </c>
      <c r="W189" s="20" t="str">
        <f t="shared" si="52"/>
        <v/>
      </c>
      <c r="X189" s="20" t="str">
        <f t="shared" si="53"/>
        <v/>
      </c>
      <c r="Y189" s="86" t="str">
        <f t="shared" si="55"/>
        <v/>
      </c>
      <c r="Z189" s="31"/>
    </row>
    <row r="190" spans="2:26" outlineLevel="1">
      <c r="B190" s="14">
        <f t="shared" si="15"/>
        <v>187</v>
      </c>
      <c r="C190" s="37"/>
      <c r="D190" s="40"/>
      <c r="E190" s="39"/>
      <c r="F190" s="37"/>
      <c r="G190" s="39"/>
      <c r="H190" s="37"/>
      <c r="I190" s="37"/>
      <c r="J190" s="41" t="str">
        <f t="shared" si="40"/>
        <v/>
      </c>
      <c r="K190" s="12" t="str">
        <f t="shared" si="46"/>
        <v/>
      </c>
      <c r="L190" s="12" t="str">
        <f t="shared" si="47"/>
        <v/>
      </c>
      <c r="M190" s="12" t="str">
        <f t="shared" si="41"/>
        <v/>
      </c>
      <c r="N190" s="12" t="str">
        <f t="shared" si="42"/>
        <v/>
      </c>
      <c r="O190" s="12" t="str">
        <f t="shared" si="43"/>
        <v/>
      </c>
      <c r="P190" s="12" t="str">
        <f t="shared" si="44"/>
        <v/>
      </c>
      <c r="Q190" s="12" t="str">
        <f t="shared" si="48"/>
        <v/>
      </c>
      <c r="R190" s="26" t="str">
        <f t="shared" si="45"/>
        <v/>
      </c>
      <c r="S190" s="26" t="str">
        <f t="shared" si="54"/>
        <v/>
      </c>
      <c r="T190" s="26" t="str">
        <f t="shared" si="49"/>
        <v/>
      </c>
      <c r="U190" s="26" t="str">
        <f t="shared" si="50"/>
        <v/>
      </c>
      <c r="V190" s="26" t="str">
        <f t="shared" si="51"/>
        <v/>
      </c>
      <c r="W190" s="20" t="str">
        <f t="shared" si="52"/>
        <v/>
      </c>
      <c r="X190" s="20" t="str">
        <f t="shared" si="53"/>
        <v/>
      </c>
      <c r="Y190" s="86" t="str">
        <f t="shared" si="55"/>
        <v/>
      </c>
      <c r="Z190" s="31"/>
    </row>
    <row r="191" spans="2:26" outlineLevel="1">
      <c r="B191" s="14">
        <f t="shared" si="15"/>
        <v>188</v>
      </c>
      <c r="C191" s="37"/>
      <c r="D191" s="40"/>
      <c r="E191" s="39"/>
      <c r="F191" s="37"/>
      <c r="G191" s="39"/>
      <c r="H191" s="37"/>
      <c r="I191" s="37"/>
      <c r="J191" s="41" t="str">
        <f t="shared" si="40"/>
        <v/>
      </c>
      <c r="K191" s="12" t="str">
        <f t="shared" si="46"/>
        <v/>
      </c>
      <c r="L191" s="12" t="str">
        <f t="shared" si="47"/>
        <v/>
      </c>
      <c r="M191" s="12" t="str">
        <f t="shared" si="41"/>
        <v/>
      </c>
      <c r="N191" s="12" t="str">
        <f t="shared" si="42"/>
        <v/>
      </c>
      <c r="O191" s="12" t="str">
        <f t="shared" si="43"/>
        <v/>
      </c>
      <c r="P191" s="12" t="str">
        <f t="shared" si="44"/>
        <v/>
      </c>
      <c r="Q191" s="12" t="str">
        <f t="shared" si="48"/>
        <v/>
      </c>
      <c r="R191" s="26" t="str">
        <f t="shared" si="45"/>
        <v/>
      </c>
      <c r="S191" s="26" t="str">
        <f t="shared" si="54"/>
        <v/>
      </c>
      <c r="T191" s="26" t="str">
        <f t="shared" si="49"/>
        <v/>
      </c>
      <c r="U191" s="26" t="str">
        <f t="shared" si="50"/>
        <v/>
      </c>
      <c r="V191" s="26" t="str">
        <f t="shared" si="51"/>
        <v/>
      </c>
      <c r="W191" s="20" t="str">
        <f t="shared" si="52"/>
        <v/>
      </c>
      <c r="X191" s="20" t="str">
        <f t="shared" si="53"/>
        <v/>
      </c>
      <c r="Y191" s="86" t="str">
        <f t="shared" si="55"/>
        <v/>
      </c>
      <c r="Z191" s="31"/>
    </row>
    <row r="192" spans="2:26" outlineLevel="1">
      <c r="B192" s="14">
        <f t="shared" si="15"/>
        <v>189</v>
      </c>
      <c r="C192" s="37"/>
      <c r="D192" s="40"/>
      <c r="E192" s="39"/>
      <c r="F192" s="37"/>
      <c r="G192" s="39"/>
      <c r="H192" s="37"/>
      <c r="I192" s="37"/>
      <c r="J192" s="41" t="str">
        <f t="shared" si="40"/>
        <v/>
      </c>
      <c r="K192" s="12" t="str">
        <f t="shared" si="46"/>
        <v/>
      </c>
      <c r="L192" s="12" t="str">
        <f t="shared" si="47"/>
        <v/>
      </c>
      <c r="M192" s="12" t="str">
        <f t="shared" si="41"/>
        <v/>
      </c>
      <c r="N192" s="12" t="str">
        <f t="shared" si="42"/>
        <v/>
      </c>
      <c r="O192" s="12" t="str">
        <f t="shared" si="43"/>
        <v/>
      </c>
      <c r="P192" s="12" t="str">
        <f t="shared" si="44"/>
        <v/>
      </c>
      <c r="Q192" s="12" t="str">
        <f t="shared" si="48"/>
        <v/>
      </c>
      <c r="R192" s="26" t="str">
        <f t="shared" si="45"/>
        <v/>
      </c>
      <c r="S192" s="26" t="str">
        <f t="shared" si="54"/>
        <v/>
      </c>
      <c r="T192" s="26" t="str">
        <f t="shared" si="49"/>
        <v/>
      </c>
      <c r="U192" s="26" t="str">
        <f t="shared" si="50"/>
        <v/>
      </c>
      <c r="V192" s="26" t="str">
        <f t="shared" si="51"/>
        <v/>
      </c>
      <c r="W192" s="20" t="str">
        <f t="shared" si="52"/>
        <v/>
      </c>
      <c r="X192" s="20" t="str">
        <f t="shared" si="53"/>
        <v/>
      </c>
      <c r="Y192" s="86" t="str">
        <f t="shared" si="55"/>
        <v/>
      </c>
      <c r="Z192" s="31"/>
    </row>
    <row r="193" spans="2:26" outlineLevel="1">
      <c r="B193" s="14">
        <f t="shared" si="15"/>
        <v>190</v>
      </c>
      <c r="C193" s="37"/>
      <c r="D193" s="40"/>
      <c r="E193" s="39"/>
      <c r="F193" s="37"/>
      <c r="G193" s="39"/>
      <c r="H193" s="37"/>
      <c r="I193" s="37"/>
      <c r="J193" s="41" t="str">
        <f t="shared" si="40"/>
        <v/>
      </c>
      <c r="K193" s="12" t="str">
        <f t="shared" si="46"/>
        <v/>
      </c>
      <c r="L193" s="12" t="str">
        <f t="shared" si="47"/>
        <v/>
      </c>
      <c r="M193" s="12" t="str">
        <f t="shared" si="41"/>
        <v/>
      </c>
      <c r="N193" s="12" t="str">
        <f t="shared" si="42"/>
        <v/>
      </c>
      <c r="O193" s="12" t="str">
        <f t="shared" si="43"/>
        <v/>
      </c>
      <c r="P193" s="12" t="str">
        <f t="shared" si="44"/>
        <v/>
      </c>
      <c r="Q193" s="12" t="str">
        <f t="shared" si="48"/>
        <v/>
      </c>
      <c r="R193" s="26" t="str">
        <f t="shared" si="45"/>
        <v/>
      </c>
      <c r="S193" s="26" t="str">
        <f t="shared" si="54"/>
        <v/>
      </c>
      <c r="T193" s="26" t="str">
        <f t="shared" si="49"/>
        <v/>
      </c>
      <c r="U193" s="26" t="str">
        <f t="shared" si="50"/>
        <v/>
      </c>
      <c r="V193" s="26" t="str">
        <f t="shared" si="51"/>
        <v/>
      </c>
      <c r="W193" s="20" t="str">
        <f t="shared" si="52"/>
        <v/>
      </c>
      <c r="X193" s="20" t="str">
        <f t="shared" si="53"/>
        <v/>
      </c>
      <c r="Y193" s="86" t="str">
        <f t="shared" si="55"/>
        <v/>
      </c>
      <c r="Z193" s="31"/>
    </row>
    <row r="194" spans="2:26" outlineLevel="1">
      <c r="B194" s="14">
        <f t="shared" ref="B194:B257" si="56">1+B193</f>
        <v>191</v>
      </c>
      <c r="C194" s="37"/>
      <c r="D194" s="40"/>
      <c r="E194" s="39"/>
      <c r="F194" s="37"/>
      <c r="G194" s="39"/>
      <c r="H194" s="37"/>
      <c r="I194" s="37"/>
      <c r="J194" s="41" t="str">
        <f t="shared" si="40"/>
        <v/>
      </c>
      <c r="K194" s="12" t="str">
        <f t="shared" si="46"/>
        <v/>
      </c>
      <c r="L194" s="12" t="str">
        <f t="shared" si="47"/>
        <v/>
      </c>
      <c r="M194" s="12" t="str">
        <f t="shared" si="41"/>
        <v/>
      </c>
      <c r="N194" s="12" t="str">
        <f t="shared" si="42"/>
        <v/>
      </c>
      <c r="O194" s="12" t="str">
        <f t="shared" si="43"/>
        <v/>
      </c>
      <c r="P194" s="12" t="str">
        <f t="shared" si="44"/>
        <v/>
      </c>
      <c r="Q194" s="12" t="str">
        <f t="shared" si="48"/>
        <v/>
      </c>
      <c r="R194" s="26" t="str">
        <f t="shared" si="45"/>
        <v/>
      </c>
      <c r="S194" s="26" t="str">
        <f t="shared" si="54"/>
        <v/>
      </c>
      <c r="T194" s="26" t="str">
        <f t="shared" si="49"/>
        <v/>
      </c>
      <c r="U194" s="26" t="str">
        <f t="shared" si="50"/>
        <v/>
      </c>
      <c r="V194" s="26" t="str">
        <f t="shared" si="51"/>
        <v/>
      </c>
      <c r="W194" s="20" t="str">
        <f t="shared" si="52"/>
        <v/>
      </c>
      <c r="X194" s="20" t="str">
        <f t="shared" si="53"/>
        <v/>
      </c>
      <c r="Y194" s="86" t="str">
        <f t="shared" si="55"/>
        <v/>
      </c>
      <c r="Z194" s="31"/>
    </row>
    <row r="195" spans="2:26" outlineLevel="1">
      <c r="B195" s="14">
        <f t="shared" si="56"/>
        <v>192</v>
      </c>
      <c r="C195" s="37"/>
      <c r="D195" s="40"/>
      <c r="E195" s="39"/>
      <c r="F195" s="37"/>
      <c r="G195" s="39"/>
      <c r="H195" s="37"/>
      <c r="I195" s="37"/>
      <c r="J195" s="41" t="str">
        <f t="shared" si="40"/>
        <v/>
      </c>
      <c r="K195" s="12" t="str">
        <f t="shared" si="46"/>
        <v/>
      </c>
      <c r="L195" s="12" t="str">
        <f t="shared" si="47"/>
        <v/>
      </c>
      <c r="M195" s="12" t="str">
        <f t="shared" si="41"/>
        <v/>
      </c>
      <c r="N195" s="12" t="str">
        <f t="shared" si="42"/>
        <v/>
      </c>
      <c r="O195" s="12" t="str">
        <f t="shared" si="43"/>
        <v/>
      </c>
      <c r="P195" s="12" t="str">
        <f t="shared" si="44"/>
        <v/>
      </c>
      <c r="Q195" s="12" t="str">
        <f t="shared" si="48"/>
        <v/>
      </c>
      <c r="R195" s="26" t="str">
        <f t="shared" si="45"/>
        <v/>
      </c>
      <c r="S195" s="26" t="str">
        <f t="shared" si="54"/>
        <v/>
      </c>
      <c r="T195" s="26" t="str">
        <f t="shared" si="49"/>
        <v/>
      </c>
      <c r="U195" s="26" t="str">
        <f t="shared" si="50"/>
        <v/>
      </c>
      <c r="V195" s="26" t="str">
        <f t="shared" si="51"/>
        <v/>
      </c>
      <c r="W195" s="20" t="str">
        <f t="shared" si="52"/>
        <v/>
      </c>
      <c r="X195" s="20" t="str">
        <f t="shared" si="53"/>
        <v/>
      </c>
      <c r="Y195" s="86" t="str">
        <f t="shared" si="55"/>
        <v/>
      </c>
      <c r="Z195" s="31"/>
    </row>
    <row r="196" spans="2:26" outlineLevel="1">
      <c r="B196" s="14">
        <f t="shared" si="56"/>
        <v>193</v>
      </c>
      <c r="C196" s="37"/>
      <c r="D196" s="40"/>
      <c r="E196" s="39"/>
      <c r="F196" s="37"/>
      <c r="G196" s="39"/>
      <c r="H196" s="37"/>
      <c r="I196" s="37"/>
      <c r="J196" s="41" t="str">
        <f t="shared" ref="J196:J259" si="57">IF(D196="","",+$E$2*D196)</f>
        <v/>
      </c>
      <c r="K196" s="12" t="str">
        <f t="shared" si="46"/>
        <v/>
      </c>
      <c r="L196" s="12" t="str">
        <f t="shared" si="47"/>
        <v/>
      </c>
      <c r="M196" s="12" t="str">
        <f t="shared" ref="M196:M259" si="58">IF(E196="","",IF($L196="x",E196/12*3.14,(LEFT($E196,FIND("*",$E196)-1)+0)*12/144*2+(RIGHT($E196,LEN($E196)-FIND("*",$E196)))*12/144*2))</f>
        <v/>
      </c>
      <c r="N196" s="12" t="str">
        <f t="shared" ref="N196:N259" si="59">IF(E196="","",M196*IF(I196="y",MAX(0,J196-$AC$13),J196))</f>
        <v/>
      </c>
      <c r="O196" s="12" t="str">
        <f t="shared" ref="O196:O259" si="60">IF(E196="","",$AC$5*N196)</f>
        <v/>
      </c>
      <c r="P196" s="12" t="str">
        <f t="shared" ref="P196:P259" si="61">IF(D196="","",IFERROR(IF(ISERROR(FIND("*",$E196)),0,ROUND((O196*$AC$6),-1)),""))</f>
        <v/>
      </c>
      <c r="Q196" s="12" t="str">
        <f t="shared" si="48"/>
        <v/>
      </c>
      <c r="R196" s="26" t="str">
        <f t="shared" ref="R196:R259" si="62">IF(E196="","",IF(F196="x",N196*$AC$7,0))</f>
        <v/>
      </c>
      <c r="S196" s="26" t="str">
        <f t="shared" si="54"/>
        <v/>
      </c>
      <c r="T196" s="26" t="str">
        <f t="shared" si="49"/>
        <v/>
      </c>
      <c r="U196" s="26" t="str">
        <f t="shared" si="50"/>
        <v/>
      </c>
      <c r="V196" s="26" t="str">
        <f t="shared" si="51"/>
        <v/>
      </c>
      <c r="W196" s="20" t="str">
        <f t="shared" si="52"/>
        <v/>
      </c>
      <c r="X196" s="20" t="str">
        <f t="shared" si="53"/>
        <v/>
      </c>
      <c r="Y196" s="86" t="str">
        <f t="shared" si="55"/>
        <v/>
      </c>
      <c r="Z196" s="31"/>
    </row>
    <row r="197" spans="2:26" outlineLevel="1">
      <c r="B197" s="14">
        <f t="shared" si="56"/>
        <v>194</v>
      </c>
      <c r="C197" s="37"/>
      <c r="D197" s="40"/>
      <c r="E197" s="39"/>
      <c r="F197" s="37"/>
      <c r="G197" s="39"/>
      <c r="H197" s="37"/>
      <c r="I197" s="37"/>
      <c r="J197" s="41" t="str">
        <f t="shared" si="57"/>
        <v/>
      </c>
      <c r="K197" s="12" t="str">
        <f t="shared" ref="K197:K260" si="63">IF($D197="","",IF(ISERROR(FIND("*",$E197)),"","x"))</f>
        <v/>
      </c>
      <c r="L197" s="12" t="str">
        <f t="shared" ref="L197:L260" si="64">IF($D197="","",IF(ISERROR(FIND("*",$E197)),"x",""))</f>
        <v/>
      </c>
      <c r="M197" s="12" t="str">
        <f t="shared" si="58"/>
        <v/>
      </c>
      <c r="N197" s="12" t="str">
        <f t="shared" si="59"/>
        <v/>
      </c>
      <c r="O197" s="12" t="str">
        <f t="shared" si="60"/>
        <v/>
      </c>
      <c r="P197" s="12" t="str">
        <f t="shared" si="61"/>
        <v/>
      </c>
      <c r="Q197" s="12" t="str">
        <f t="shared" ref="Q197:Q260" si="65">IF(D197="","",IFERROR(IF(ISERROR(FIND("*",$E197)),INDEX($AP$5:$AP$16,MATCH($E197,$AL$5:$AL$16,0),1)*$J197,0),""))</f>
        <v/>
      </c>
      <c r="R197" s="26" t="str">
        <f t="shared" si="62"/>
        <v/>
      </c>
      <c r="S197" s="26" t="str">
        <f t="shared" si="54"/>
        <v/>
      </c>
      <c r="T197" s="26" t="str">
        <f t="shared" ref="T197:T260" si="66">IF(E197="","",IF(H197="x",IF(G197="x",0,25),0))</f>
        <v/>
      </c>
      <c r="U197" s="26" t="str">
        <f t="shared" ref="U197:U260" si="67">IF(D197="","",SUM(P197,R197,S197,T197)*$U$2)</f>
        <v/>
      </c>
      <c r="V197" s="26" t="str">
        <f t="shared" ref="V197:V260" si="68">IF(D197="","",SUM($Q197)*$V$2)</f>
        <v/>
      </c>
      <c r="W197" s="20" t="str">
        <f t="shared" ref="W197:W260" si="69">IF($D197="","",SUM(P197:U197))</f>
        <v/>
      </c>
      <c r="X197" s="20" t="str">
        <f t="shared" ref="X197:X260" si="70">IF(J197="","",ROUNDUP(J197*$AC$9+IF(R197=0,0,$AC$8*J197)+IF(G197="x",$AC$12,0)+IF(H197="x",0.5*25,0),-1))</f>
        <v/>
      </c>
      <c r="Y197" s="86" t="str">
        <f t="shared" si="55"/>
        <v/>
      </c>
      <c r="Z197" s="31"/>
    </row>
    <row r="198" spans="2:26" outlineLevel="1">
      <c r="B198" s="14">
        <f t="shared" si="56"/>
        <v>195</v>
      </c>
      <c r="C198" s="37"/>
      <c r="D198" s="40"/>
      <c r="E198" s="39"/>
      <c r="F198" s="37"/>
      <c r="G198" s="39"/>
      <c r="H198" s="37"/>
      <c r="I198" s="37"/>
      <c r="J198" s="41" t="str">
        <f t="shared" si="57"/>
        <v/>
      </c>
      <c r="K198" s="12" t="str">
        <f t="shared" si="63"/>
        <v/>
      </c>
      <c r="L198" s="12" t="str">
        <f t="shared" si="64"/>
        <v/>
      </c>
      <c r="M198" s="12" t="str">
        <f t="shared" si="58"/>
        <v/>
      </c>
      <c r="N198" s="12" t="str">
        <f t="shared" si="59"/>
        <v/>
      </c>
      <c r="O198" s="12" t="str">
        <f t="shared" si="60"/>
        <v/>
      </c>
      <c r="P198" s="12" t="str">
        <f t="shared" si="61"/>
        <v/>
      </c>
      <c r="Q198" s="12" t="str">
        <f t="shared" si="65"/>
        <v/>
      </c>
      <c r="R198" s="26" t="str">
        <f t="shared" si="62"/>
        <v/>
      </c>
      <c r="S198" s="26" t="str">
        <f t="shared" ref="S198:S261" si="71">IF(E198="","",IF(I198="x",$AC$13*INDEX($AN$19:$AN$30,MATCH($E198,$AL$19:$AL$30,0),1)*1.25,0))</f>
        <v/>
      </c>
      <c r="T198" s="26" t="str">
        <f t="shared" si="66"/>
        <v/>
      </c>
      <c r="U198" s="26" t="str">
        <f t="shared" si="67"/>
        <v/>
      </c>
      <c r="V198" s="26" t="str">
        <f t="shared" si="68"/>
        <v/>
      </c>
      <c r="W198" s="20" t="str">
        <f t="shared" si="69"/>
        <v/>
      </c>
      <c r="X198" s="20" t="str">
        <f t="shared" si="70"/>
        <v/>
      </c>
      <c r="Y198" s="86" t="str">
        <f t="shared" si="55"/>
        <v/>
      </c>
      <c r="Z198" s="31"/>
    </row>
    <row r="199" spans="2:26" outlineLevel="1">
      <c r="B199" s="14">
        <f t="shared" si="56"/>
        <v>196</v>
      </c>
      <c r="C199" s="37"/>
      <c r="D199" s="40"/>
      <c r="E199" s="39"/>
      <c r="F199" s="37"/>
      <c r="G199" s="39"/>
      <c r="H199" s="37"/>
      <c r="I199" s="37"/>
      <c r="J199" s="41" t="str">
        <f t="shared" si="57"/>
        <v/>
      </c>
      <c r="K199" s="12" t="str">
        <f t="shared" si="63"/>
        <v/>
      </c>
      <c r="L199" s="12" t="str">
        <f t="shared" si="64"/>
        <v/>
      </c>
      <c r="M199" s="12" t="str">
        <f t="shared" si="58"/>
        <v/>
      </c>
      <c r="N199" s="12" t="str">
        <f t="shared" si="59"/>
        <v/>
      </c>
      <c r="O199" s="12" t="str">
        <f t="shared" si="60"/>
        <v/>
      </c>
      <c r="P199" s="12" t="str">
        <f t="shared" si="61"/>
        <v/>
      </c>
      <c r="Q199" s="12" t="str">
        <f t="shared" si="65"/>
        <v/>
      </c>
      <c r="R199" s="26" t="str">
        <f t="shared" si="62"/>
        <v/>
      </c>
      <c r="S199" s="26" t="str">
        <f t="shared" si="71"/>
        <v/>
      </c>
      <c r="T199" s="26" t="str">
        <f t="shared" si="66"/>
        <v/>
      </c>
      <c r="U199" s="26" t="str">
        <f t="shared" si="67"/>
        <v/>
      </c>
      <c r="V199" s="26" t="str">
        <f t="shared" si="68"/>
        <v/>
      </c>
      <c r="W199" s="20" t="str">
        <f t="shared" si="69"/>
        <v/>
      </c>
      <c r="X199" s="20" t="str">
        <f t="shared" si="70"/>
        <v/>
      </c>
      <c r="Y199" s="86" t="str">
        <f t="shared" si="55"/>
        <v/>
      </c>
      <c r="Z199" s="31"/>
    </row>
    <row r="200" spans="2:26" outlineLevel="1">
      <c r="B200" s="14">
        <f t="shared" si="56"/>
        <v>197</v>
      </c>
      <c r="C200" s="37"/>
      <c r="D200" s="40"/>
      <c r="E200" s="39"/>
      <c r="F200" s="37"/>
      <c r="G200" s="39"/>
      <c r="H200" s="37"/>
      <c r="I200" s="37"/>
      <c r="J200" s="41" t="str">
        <f t="shared" si="57"/>
        <v/>
      </c>
      <c r="K200" s="12" t="str">
        <f t="shared" si="63"/>
        <v/>
      </c>
      <c r="L200" s="12" t="str">
        <f t="shared" si="64"/>
        <v/>
      </c>
      <c r="M200" s="12" t="str">
        <f t="shared" si="58"/>
        <v/>
      </c>
      <c r="N200" s="12" t="str">
        <f t="shared" si="59"/>
        <v/>
      </c>
      <c r="O200" s="12" t="str">
        <f t="shared" si="60"/>
        <v/>
      </c>
      <c r="P200" s="12" t="str">
        <f t="shared" si="61"/>
        <v/>
      </c>
      <c r="Q200" s="12" t="str">
        <f t="shared" si="65"/>
        <v/>
      </c>
      <c r="R200" s="26" t="str">
        <f t="shared" si="62"/>
        <v/>
      </c>
      <c r="S200" s="26" t="str">
        <f t="shared" si="71"/>
        <v/>
      </c>
      <c r="T200" s="26" t="str">
        <f t="shared" si="66"/>
        <v/>
      </c>
      <c r="U200" s="26" t="str">
        <f t="shared" si="67"/>
        <v/>
      </c>
      <c r="V200" s="26" t="str">
        <f t="shared" si="68"/>
        <v/>
      </c>
      <c r="W200" s="20" t="str">
        <f t="shared" si="69"/>
        <v/>
      </c>
      <c r="X200" s="20" t="str">
        <f t="shared" si="70"/>
        <v/>
      </c>
      <c r="Y200" s="86" t="str">
        <f t="shared" si="55"/>
        <v/>
      </c>
      <c r="Z200" s="31"/>
    </row>
    <row r="201" spans="2:26" outlineLevel="1">
      <c r="B201" s="14">
        <f t="shared" si="56"/>
        <v>198</v>
      </c>
      <c r="C201" s="37"/>
      <c r="D201" s="40"/>
      <c r="E201" s="39"/>
      <c r="F201" s="37"/>
      <c r="G201" s="39"/>
      <c r="H201" s="37"/>
      <c r="I201" s="37"/>
      <c r="J201" s="41" t="str">
        <f t="shared" si="57"/>
        <v/>
      </c>
      <c r="K201" s="12" t="str">
        <f t="shared" si="63"/>
        <v/>
      </c>
      <c r="L201" s="12" t="str">
        <f t="shared" si="64"/>
        <v/>
      </c>
      <c r="M201" s="12" t="str">
        <f t="shared" si="58"/>
        <v/>
      </c>
      <c r="N201" s="12" t="str">
        <f t="shared" si="59"/>
        <v/>
      </c>
      <c r="O201" s="12" t="str">
        <f t="shared" si="60"/>
        <v/>
      </c>
      <c r="P201" s="12" t="str">
        <f t="shared" si="61"/>
        <v/>
      </c>
      <c r="Q201" s="12" t="str">
        <f t="shared" si="65"/>
        <v/>
      </c>
      <c r="R201" s="26" t="str">
        <f t="shared" si="62"/>
        <v/>
      </c>
      <c r="S201" s="26" t="str">
        <f t="shared" si="71"/>
        <v/>
      </c>
      <c r="T201" s="26" t="str">
        <f t="shared" si="66"/>
        <v/>
      </c>
      <c r="U201" s="26" t="str">
        <f t="shared" si="67"/>
        <v/>
      </c>
      <c r="V201" s="26" t="str">
        <f t="shared" si="68"/>
        <v/>
      </c>
      <c r="W201" s="20" t="str">
        <f t="shared" si="69"/>
        <v/>
      </c>
      <c r="X201" s="20" t="str">
        <f t="shared" si="70"/>
        <v/>
      </c>
      <c r="Y201" s="86" t="str">
        <f t="shared" si="55"/>
        <v/>
      </c>
      <c r="Z201" s="31"/>
    </row>
    <row r="202" spans="2:26" outlineLevel="1">
      <c r="B202" s="14">
        <f t="shared" si="56"/>
        <v>199</v>
      </c>
      <c r="C202" s="37"/>
      <c r="D202" s="40"/>
      <c r="E202" s="39"/>
      <c r="F202" s="37"/>
      <c r="G202" s="39"/>
      <c r="H202" s="37"/>
      <c r="I202" s="37"/>
      <c r="J202" s="41" t="str">
        <f t="shared" si="57"/>
        <v/>
      </c>
      <c r="K202" s="12" t="str">
        <f t="shared" si="63"/>
        <v/>
      </c>
      <c r="L202" s="12" t="str">
        <f t="shared" si="64"/>
        <v/>
      </c>
      <c r="M202" s="12" t="str">
        <f t="shared" si="58"/>
        <v/>
      </c>
      <c r="N202" s="12" t="str">
        <f t="shared" si="59"/>
        <v/>
      </c>
      <c r="O202" s="12" t="str">
        <f t="shared" si="60"/>
        <v/>
      </c>
      <c r="P202" s="12" t="str">
        <f t="shared" si="61"/>
        <v/>
      </c>
      <c r="Q202" s="12" t="str">
        <f t="shared" si="65"/>
        <v/>
      </c>
      <c r="R202" s="26" t="str">
        <f t="shared" si="62"/>
        <v/>
      </c>
      <c r="S202" s="26" t="str">
        <f t="shared" si="71"/>
        <v/>
      </c>
      <c r="T202" s="26" t="str">
        <f t="shared" si="66"/>
        <v/>
      </c>
      <c r="U202" s="26" t="str">
        <f t="shared" si="67"/>
        <v/>
      </c>
      <c r="V202" s="26" t="str">
        <f t="shared" si="68"/>
        <v/>
      </c>
      <c r="W202" s="20" t="str">
        <f t="shared" si="69"/>
        <v/>
      </c>
      <c r="X202" s="20" t="str">
        <f t="shared" si="70"/>
        <v/>
      </c>
      <c r="Y202" s="86" t="str">
        <f t="shared" si="55"/>
        <v/>
      </c>
      <c r="Z202" s="31"/>
    </row>
    <row r="203" spans="2:26" outlineLevel="1">
      <c r="B203" s="14">
        <f t="shared" si="56"/>
        <v>200</v>
      </c>
      <c r="C203" s="37"/>
      <c r="D203" s="40"/>
      <c r="E203" s="39"/>
      <c r="F203" s="37"/>
      <c r="G203" s="39"/>
      <c r="H203" s="37"/>
      <c r="I203" s="37"/>
      <c r="J203" s="41" t="str">
        <f t="shared" si="57"/>
        <v/>
      </c>
      <c r="K203" s="12" t="str">
        <f t="shared" si="63"/>
        <v/>
      </c>
      <c r="L203" s="12" t="str">
        <f t="shared" si="64"/>
        <v/>
      </c>
      <c r="M203" s="12" t="str">
        <f t="shared" si="58"/>
        <v/>
      </c>
      <c r="N203" s="12" t="str">
        <f t="shared" si="59"/>
        <v/>
      </c>
      <c r="O203" s="12" t="str">
        <f t="shared" si="60"/>
        <v/>
      </c>
      <c r="P203" s="12" t="str">
        <f t="shared" si="61"/>
        <v/>
      </c>
      <c r="Q203" s="12" t="str">
        <f t="shared" si="65"/>
        <v/>
      </c>
      <c r="R203" s="26" t="str">
        <f t="shared" si="62"/>
        <v/>
      </c>
      <c r="S203" s="26" t="str">
        <f t="shared" si="71"/>
        <v/>
      </c>
      <c r="T203" s="26" t="str">
        <f t="shared" si="66"/>
        <v/>
      </c>
      <c r="U203" s="26" t="str">
        <f t="shared" si="67"/>
        <v/>
      </c>
      <c r="V203" s="26" t="str">
        <f t="shared" si="68"/>
        <v/>
      </c>
      <c r="W203" s="20" t="str">
        <f t="shared" si="69"/>
        <v/>
      </c>
      <c r="X203" s="20" t="str">
        <f t="shared" si="70"/>
        <v/>
      </c>
      <c r="Y203" s="86" t="str">
        <f t="shared" si="55"/>
        <v/>
      </c>
      <c r="Z203" s="31"/>
    </row>
    <row r="204" spans="2:26" outlineLevel="1">
      <c r="B204" s="14">
        <f t="shared" si="56"/>
        <v>201</v>
      </c>
      <c r="C204" s="37"/>
      <c r="D204" s="40"/>
      <c r="E204" s="39"/>
      <c r="F204" s="37"/>
      <c r="G204" s="39"/>
      <c r="H204" s="37"/>
      <c r="I204" s="37"/>
      <c r="J204" s="41" t="str">
        <f t="shared" si="57"/>
        <v/>
      </c>
      <c r="K204" s="12" t="str">
        <f t="shared" si="63"/>
        <v/>
      </c>
      <c r="L204" s="12" t="str">
        <f t="shared" si="64"/>
        <v/>
      </c>
      <c r="M204" s="12" t="str">
        <f t="shared" si="58"/>
        <v/>
      </c>
      <c r="N204" s="12" t="str">
        <f t="shared" si="59"/>
        <v/>
      </c>
      <c r="O204" s="12" t="str">
        <f t="shared" si="60"/>
        <v/>
      </c>
      <c r="P204" s="12" t="str">
        <f t="shared" si="61"/>
        <v/>
      </c>
      <c r="Q204" s="12" t="str">
        <f t="shared" si="65"/>
        <v/>
      </c>
      <c r="R204" s="26" t="str">
        <f t="shared" si="62"/>
        <v/>
      </c>
      <c r="S204" s="26" t="str">
        <f t="shared" si="71"/>
        <v/>
      </c>
      <c r="T204" s="26" t="str">
        <f t="shared" si="66"/>
        <v/>
      </c>
      <c r="U204" s="26" t="str">
        <f t="shared" si="67"/>
        <v/>
      </c>
      <c r="V204" s="26" t="str">
        <f t="shared" si="68"/>
        <v/>
      </c>
      <c r="W204" s="20" t="str">
        <f t="shared" si="69"/>
        <v/>
      </c>
      <c r="X204" s="20" t="str">
        <f t="shared" si="70"/>
        <v/>
      </c>
      <c r="Y204" s="86" t="str">
        <f t="shared" si="55"/>
        <v/>
      </c>
      <c r="Z204" s="31"/>
    </row>
    <row r="205" spans="2:26" outlineLevel="1">
      <c r="B205" s="14">
        <f t="shared" si="56"/>
        <v>202</v>
      </c>
      <c r="C205" s="37"/>
      <c r="D205" s="40"/>
      <c r="E205" s="39"/>
      <c r="F205" s="37"/>
      <c r="G205" s="39"/>
      <c r="H205" s="37"/>
      <c r="I205" s="37"/>
      <c r="J205" s="41" t="str">
        <f t="shared" si="57"/>
        <v/>
      </c>
      <c r="K205" s="12" t="str">
        <f t="shared" si="63"/>
        <v/>
      </c>
      <c r="L205" s="12" t="str">
        <f t="shared" si="64"/>
        <v/>
      </c>
      <c r="M205" s="12" t="str">
        <f t="shared" si="58"/>
        <v/>
      </c>
      <c r="N205" s="12" t="str">
        <f t="shared" si="59"/>
        <v/>
      </c>
      <c r="O205" s="12" t="str">
        <f t="shared" si="60"/>
        <v/>
      </c>
      <c r="P205" s="12" t="str">
        <f t="shared" si="61"/>
        <v/>
      </c>
      <c r="Q205" s="12" t="str">
        <f t="shared" si="65"/>
        <v/>
      </c>
      <c r="R205" s="26" t="str">
        <f t="shared" si="62"/>
        <v/>
      </c>
      <c r="S205" s="26" t="str">
        <f t="shared" si="71"/>
        <v/>
      </c>
      <c r="T205" s="26" t="str">
        <f t="shared" si="66"/>
        <v/>
      </c>
      <c r="U205" s="26" t="str">
        <f t="shared" si="67"/>
        <v/>
      </c>
      <c r="V205" s="26" t="str">
        <f t="shared" si="68"/>
        <v/>
      </c>
      <c r="W205" s="20" t="str">
        <f t="shared" si="69"/>
        <v/>
      </c>
      <c r="X205" s="20" t="str">
        <f t="shared" si="70"/>
        <v/>
      </c>
      <c r="Y205" s="86" t="str">
        <f t="shared" si="55"/>
        <v/>
      </c>
      <c r="Z205" s="31"/>
    </row>
    <row r="206" spans="2:26" outlineLevel="1">
      <c r="B206" s="14">
        <f t="shared" si="56"/>
        <v>203</v>
      </c>
      <c r="C206" s="37"/>
      <c r="D206" s="40"/>
      <c r="E206" s="39"/>
      <c r="F206" s="37"/>
      <c r="G206" s="39"/>
      <c r="H206" s="37"/>
      <c r="I206" s="37"/>
      <c r="J206" s="41" t="str">
        <f t="shared" si="57"/>
        <v/>
      </c>
      <c r="K206" s="12" t="str">
        <f t="shared" si="63"/>
        <v/>
      </c>
      <c r="L206" s="12" t="str">
        <f t="shared" si="64"/>
        <v/>
      </c>
      <c r="M206" s="12" t="str">
        <f t="shared" si="58"/>
        <v/>
      </c>
      <c r="N206" s="12" t="str">
        <f t="shared" si="59"/>
        <v/>
      </c>
      <c r="O206" s="12" t="str">
        <f t="shared" si="60"/>
        <v/>
      </c>
      <c r="P206" s="12" t="str">
        <f t="shared" si="61"/>
        <v/>
      </c>
      <c r="Q206" s="12" t="str">
        <f t="shared" si="65"/>
        <v/>
      </c>
      <c r="R206" s="26" t="str">
        <f t="shared" si="62"/>
        <v/>
      </c>
      <c r="S206" s="26" t="str">
        <f t="shared" si="71"/>
        <v/>
      </c>
      <c r="T206" s="26" t="str">
        <f t="shared" si="66"/>
        <v/>
      </c>
      <c r="U206" s="26" t="str">
        <f t="shared" si="67"/>
        <v/>
      </c>
      <c r="V206" s="26" t="str">
        <f t="shared" si="68"/>
        <v/>
      </c>
      <c r="W206" s="20" t="str">
        <f t="shared" si="69"/>
        <v/>
      </c>
      <c r="X206" s="20" t="str">
        <f t="shared" si="70"/>
        <v/>
      </c>
      <c r="Y206" s="86" t="str">
        <f t="shared" si="55"/>
        <v/>
      </c>
      <c r="Z206" s="31"/>
    </row>
    <row r="207" spans="2:26" outlineLevel="1">
      <c r="B207" s="14">
        <f t="shared" si="56"/>
        <v>204</v>
      </c>
      <c r="C207" s="37"/>
      <c r="D207" s="40"/>
      <c r="E207" s="39"/>
      <c r="F207" s="37"/>
      <c r="G207" s="39"/>
      <c r="H207" s="37"/>
      <c r="I207" s="37"/>
      <c r="J207" s="41" t="str">
        <f t="shared" si="57"/>
        <v/>
      </c>
      <c r="K207" s="12" t="str">
        <f t="shared" si="63"/>
        <v/>
      </c>
      <c r="L207" s="12" t="str">
        <f t="shared" si="64"/>
        <v/>
      </c>
      <c r="M207" s="12" t="str">
        <f t="shared" si="58"/>
        <v/>
      </c>
      <c r="N207" s="12" t="str">
        <f t="shared" si="59"/>
        <v/>
      </c>
      <c r="O207" s="12" t="str">
        <f t="shared" si="60"/>
        <v/>
      </c>
      <c r="P207" s="12" t="str">
        <f t="shared" si="61"/>
        <v/>
      </c>
      <c r="Q207" s="12" t="str">
        <f t="shared" si="65"/>
        <v/>
      </c>
      <c r="R207" s="26" t="str">
        <f t="shared" si="62"/>
        <v/>
      </c>
      <c r="S207" s="26" t="str">
        <f t="shared" si="71"/>
        <v/>
      </c>
      <c r="T207" s="26" t="str">
        <f t="shared" si="66"/>
        <v/>
      </c>
      <c r="U207" s="26" t="str">
        <f t="shared" si="67"/>
        <v/>
      </c>
      <c r="V207" s="26" t="str">
        <f t="shared" si="68"/>
        <v/>
      </c>
      <c r="W207" s="20" t="str">
        <f t="shared" si="69"/>
        <v/>
      </c>
      <c r="X207" s="20" t="str">
        <f t="shared" si="70"/>
        <v/>
      </c>
      <c r="Y207" s="86" t="str">
        <f t="shared" si="55"/>
        <v/>
      </c>
      <c r="Z207" s="31"/>
    </row>
    <row r="208" spans="2:26" outlineLevel="1">
      <c r="B208" s="14">
        <f t="shared" si="56"/>
        <v>205</v>
      </c>
      <c r="C208" s="37"/>
      <c r="D208" s="40"/>
      <c r="E208" s="39"/>
      <c r="F208" s="37"/>
      <c r="G208" s="39"/>
      <c r="H208" s="37"/>
      <c r="I208" s="37"/>
      <c r="J208" s="41" t="str">
        <f t="shared" si="57"/>
        <v/>
      </c>
      <c r="K208" s="12" t="str">
        <f t="shared" si="63"/>
        <v/>
      </c>
      <c r="L208" s="12" t="str">
        <f t="shared" si="64"/>
        <v/>
      </c>
      <c r="M208" s="12" t="str">
        <f t="shared" si="58"/>
        <v/>
      </c>
      <c r="N208" s="12" t="str">
        <f t="shared" si="59"/>
        <v/>
      </c>
      <c r="O208" s="12" t="str">
        <f t="shared" si="60"/>
        <v/>
      </c>
      <c r="P208" s="12" t="str">
        <f t="shared" si="61"/>
        <v/>
      </c>
      <c r="Q208" s="12" t="str">
        <f t="shared" si="65"/>
        <v/>
      </c>
      <c r="R208" s="26" t="str">
        <f t="shared" si="62"/>
        <v/>
      </c>
      <c r="S208" s="26" t="str">
        <f t="shared" si="71"/>
        <v/>
      </c>
      <c r="T208" s="26" t="str">
        <f t="shared" si="66"/>
        <v/>
      </c>
      <c r="U208" s="26" t="str">
        <f t="shared" si="67"/>
        <v/>
      </c>
      <c r="V208" s="26" t="str">
        <f t="shared" si="68"/>
        <v/>
      </c>
      <c r="W208" s="20" t="str">
        <f t="shared" si="69"/>
        <v/>
      </c>
      <c r="X208" s="20" t="str">
        <f t="shared" si="70"/>
        <v/>
      </c>
      <c r="Y208" s="86" t="str">
        <f t="shared" ref="Y208:Y271" si="72">IFERROR(+W208+X208,"")</f>
        <v/>
      </c>
      <c r="Z208" s="31"/>
    </row>
    <row r="209" spans="2:26" outlineLevel="1">
      <c r="B209" s="14">
        <f t="shared" si="56"/>
        <v>206</v>
      </c>
      <c r="C209" s="37"/>
      <c r="D209" s="40"/>
      <c r="E209" s="39"/>
      <c r="F209" s="37"/>
      <c r="G209" s="39"/>
      <c r="H209" s="37"/>
      <c r="I209" s="37"/>
      <c r="J209" s="41" t="str">
        <f t="shared" si="57"/>
        <v/>
      </c>
      <c r="K209" s="12" t="str">
        <f t="shared" si="63"/>
        <v/>
      </c>
      <c r="L209" s="12" t="str">
        <f t="shared" si="64"/>
        <v/>
      </c>
      <c r="M209" s="12" t="str">
        <f t="shared" si="58"/>
        <v/>
      </c>
      <c r="N209" s="12" t="str">
        <f t="shared" si="59"/>
        <v/>
      </c>
      <c r="O209" s="12" t="str">
        <f t="shared" si="60"/>
        <v/>
      </c>
      <c r="P209" s="12" t="str">
        <f t="shared" si="61"/>
        <v/>
      </c>
      <c r="Q209" s="12" t="str">
        <f t="shared" si="65"/>
        <v/>
      </c>
      <c r="R209" s="26" t="str">
        <f t="shared" si="62"/>
        <v/>
      </c>
      <c r="S209" s="26" t="str">
        <f t="shared" si="71"/>
        <v/>
      </c>
      <c r="T209" s="26" t="str">
        <f t="shared" si="66"/>
        <v/>
      </c>
      <c r="U209" s="26" t="str">
        <f t="shared" si="67"/>
        <v/>
      </c>
      <c r="V209" s="26" t="str">
        <f t="shared" si="68"/>
        <v/>
      </c>
      <c r="W209" s="20" t="str">
        <f t="shared" si="69"/>
        <v/>
      </c>
      <c r="X209" s="20" t="str">
        <f t="shared" si="70"/>
        <v/>
      </c>
      <c r="Y209" s="86" t="str">
        <f t="shared" si="72"/>
        <v/>
      </c>
      <c r="Z209" s="31"/>
    </row>
    <row r="210" spans="2:26" outlineLevel="1">
      <c r="B210" s="14">
        <f t="shared" si="56"/>
        <v>207</v>
      </c>
      <c r="C210" s="37"/>
      <c r="D210" s="40"/>
      <c r="E210" s="39"/>
      <c r="F210" s="37"/>
      <c r="G210" s="39"/>
      <c r="H210" s="37"/>
      <c r="I210" s="37"/>
      <c r="J210" s="41" t="str">
        <f t="shared" si="57"/>
        <v/>
      </c>
      <c r="K210" s="12" t="str">
        <f t="shared" si="63"/>
        <v/>
      </c>
      <c r="L210" s="12" t="str">
        <f t="shared" si="64"/>
        <v/>
      </c>
      <c r="M210" s="12" t="str">
        <f t="shared" si="58"/>
        <v/>
      </c>
      <c r="N210" s="12" t="str">
        <f t="shared" si="59"/>
        <v/>
      </c>
      <c r="O210" s="12" t="str">
        <f t="shared" si="60"/>
        <v/>
      </c>
      <c r="P210" s="12" t="str">
        <f t="shared" si="61"/>
        <v/>
      </c>
      <c r="Q210" s="12" t="str">
        <f t="shared" si="65"/>
        <v/>
      </c>
      <c r="R210" s="26" t="str">
        <f t="shared" si="62"/>
        <v/>
      </c>
      <c r="S210" s="26" t="str">
        <f t="shared" si="71"/>
        <v/>
      </c>
      <c r="T210" s="26" t="str">
        <f t="shared" si="66"/>
        <v/>
      </c>
      <c r="U210" s="26" t="str">
        <f t="shared" si="67"/>
        <v/>
      </c>
      <c r="V210" s="26" t="str">
        <f t="shared" si="68"/>
        <v/>
      </c>
      <c r="W210" s="20" t="str">
        <f t="shared" si="69"/>
        <v/>
      </c>
      <c r="X210" s="20" t="str">
        <f t="shared" si="70"/>
        <v/>
      </c>
      <c r="Y210" s="86" t="str">
        <f t="shared" si="72"/>
        <v/>
      </c>
      <c r="Z210" s="31"/>
    </row>
    <row r="211" spans="2:26" outlineLevel="1">
      <c r="B211" s="14">
        <f t="shared" si="56"/>
        <v>208</v>
      </c>
      <c r="C211" s="37"/>
      <c r="D211" s="40"/>
      <c r="E211" s="39"/>
      <c r="F211" s="37"/>
      <c r="G211" s="39"/>
      <c r="H211" s="37"/>
      <c r="I211" s="37"/>
      <c r="J211" s="41" t="str">
        <f t="shared" si="57"/>
        <v/>
      </c>
      <c r="K211" s="12" t="str">
        <f t="shared" si="63"/>
        <v/>
      </c>
      <c r="L211" s="12" t="str">
        <f t="shared" si="64"/>
        <v/>
      </c>
      <c r="M211" s="12" t="str">
        <f t="shared" si="58"/>
        <v/>
      </c>
      <c r="N211" s="12" t="str">
        <f t="shared" si="59"/>
        <v/>
      </c>
      <c r="O211" s="12" t="str">
        <f t="shared" si="60"/>
        <v/>
      </c>
      <c r="P211" s="12" t="str">
        <f t="shared" si="61"/>
        <v/>
      </c>
      <c r="Q211" s="12" t="str">
        <f t="shared" si="65"/>
        <v/>
      </c>
      <c r="R211" s="26" t="str">
        <f t="shared" si="62"/>
        <v/>
      </c>
      <c r="S211" s="26" t="str">
        <f t="shared" si="71"/>
        <v/>
      </c>
      <c r="T211" s="26" t="str">
        <f t="shared" si="66"/>
        <v/>
      </c>
      <c r="U211" s="26" t="str">
        <f t="shared" si="67"/>
        <v/>
      </c>
      <c r="V211" s="26" t="str">
        <f t="shared" si="68"/>
        <v/>
      </c>
      <c r="W211" s="20" t="str">
        <f t="shared" si="69"/>
        <v/>
      </c>
      <c r="X211" s="20" t="str">
        <f t="shared" si="70"/>
        <v/>
      </c>
      <c r="Y211" s="86" t="str">
        <f t="shared" si="72"/>
        <v/>
      </c>
      <c r="Z211" s="31"/>
    </row>
    <row r="212" spans="2:26" outlineLevel="1">
      <c r="B212" s="14">
        <f t="shared" si="56"/>
        <v>209</v>
      </c>
      <c r="C212" s="37"/>
      <c r="D212" s="40"/>
      <c r="E212" s="39"/>
      <c r="F212" s="37"/>
      <c r="G212" s="39"/>
      <c r="H212" s="37"/>
      <c r="I212" s="37"/>
      <c r="J212" s="41" t="str">
        <f t="shared" si="57"/>
        <v/>
      </c>
      <c r="K212" s="12" t="str">
        <f t="shared" si="63"/>
        <v/>
      </c>
      <c r="L212" s="12" t="str">
        <f t="shared" si="64"/>
        <v/>
      </c>
      <c r="M212" s="12" t="str">
        <f t="shared" si="58"/>
        <v/>
      </c>
      <c r="N212" s="12" t="str">
        <f t="shared" si="59"/>
        <v/>
      </c>
      <c r="O212" s="12" t="str">
        <f t="shared" si="60"/>
        <v/>
      </c>
      <c r="P212" s="12" t="str">
        <f t="shared" si="61"/>
        <v/>
      </c>
      <c r="Q212" s="12" t="str">
        <f t="shared" si="65"/>
        <v/>
      </c>
      <c r="R212" s="26" t="str">
        <f t="shared" si="62"/>
        <v/>
      </c>
      <c r="S212" s="26" t="str">
        <f t="shared" si="71"/>
        <v/>
      </c>
      <c r="T212" s="26" t="str">
        <f t="shared" si="66"/>
        <v/>
      </c>
      <c r="U212" s="26" t="str">
        <f t="shared" si="67"/>
        <v/>
      </c>
      <c r="V212" s="26" t="str">
        <f t="shared" si="68"/>
        <v/>
      </c>
      <c r="W212" s="20" t="str">
        <f t="shared" si="69"/>
        <v/>
      </c>
      <c r="X212" s="20" t="str">
        <f t="shared" si="70"/>
        <v/>
      </c>
      <c r="Y212" s="86" t="str">
        <f t="shared" si="72"/>
        <v/>
      </c>
      <c r="Z212" s="31"/>
    </row>
    <row r="213" spans="2:26" outlineLevel="1">
      <c r="B213" s="14">
        <f t="shared" si="56"/>
        <v>210</v>
      </c>
      <c r="C213" s="37"/>
      <c r="D213" s="40"/>
      <c r="E213" s="39"/>
      <c r="F213" s="37"/>
      <c r="G213" s="39"/>
      <c r="H213" s="37"/>
      <c r="I213" s="37"/>
      <c r="J213" s="41" t="str">
        <f t="shared" si="57"/>
        <v/>
      </c>
      <c r="K213" s="12" t="str">
        <f t="shared" si="63"/>
        <v/>
      </c>
      <c r="L213" s="12" t="str">
        <f t="shared" si="64"/>
        <v/>
      </c>
      <c r="M213" s="12" t="str">
        <f t="shared" si="58"/>
        <v/>
      </c>
      <c r="N213" s="12" t="str">
        <f t="shared" si="59"/>
        <v/>
      </c>
      <c r="O213" s="12" t="str">
        <f t="shared" si="60"/>
        <v/>
      </c>
      <c r="P213" s="12" t="str">
        <f t="shared" si="61"/>
        <v/>
      </c>
      <c r="Q213" s="12" t="str">
        <f t="shared" si="65"/>
        <v/>
      </c>
      <c r="R213" s="26" t="str">
        <f t="shared" si="62"/>
        <v/>
      </c>
      <c r="S213" s="26" t="str">
        <f t="shared" si="71"/>
        <v/>
      </c>
      <c r="T213" s="26" t="str">
        <f t="shared" si="66"/>
        <v/>
      </c>
      <c r="U213" s="26" t="str">
        <f t="shared" si="67"/>
        <v/>
      </c>
      <c r="V213" s="26" t="str">
        <f t="shared" si="68"/>
        <v/>
      </c>
      <c r="W213" s="20" t="str">
        <f t="shared" si="69"/>
        <v/>
      </c>
      <c r="X213" s="20" t="str">
        <f t="shared" si="70"/>
        <v/>
      </c>
      <c r="Y213" s="86" t="str">
        <f t="shared" si="72"/>
        <v/>
      </c>
      <c r="Z213" s="31"/>
    </row>
    <row r="214" spans="2:26" outlineLevel="1">
      <c r="B214" s="14">
        <f t="shared" si="56"/>
        <v>211</v>
      </c>
      <c r="C214" s="37"/>
      <c r="D214" s="40"/>
      <c r="E214" s="39"/>
      <c r="F214" s="37"/>
      <c r="G214" s="39"/>
      <c r="H214" s="37"/>
      <c r="I214" s="37"/>
      <c r="J214" s="41" t="str">
        <f t="shared" si="57"/>
        <v/>
      </c>
      <c r="K214" s="12" t="str">
        <f t="shared" si="63"/>
        <v/>
      </c>
      <c r="L214" s="12" t="str">
        <f t="shared" si="64"/>
        <v/>
      </c>
      <c r="M214" s="12" t="str">
        <f t="shared" si="58"/>
        <v/>
      </c>
      <c r="N214" s="12" t="str">
        <f t="shared" si="59"/>
        <v/>
      </c>
      <c r="O214" s="12" t="str">
        <f t="shared" si="60"/>
        <v/>
      </c>
      <c r="P214" s="12" t="str">
        <f t="shared" si="61"/>
        <v/>
      </c>
      <c r="Q214" s="12" t="str">
        <f t="shared" si="65"/>
        <v/>
      </c>
      <c r="R214" s="26" t="str">
        <f t="shared" si="62"/>
        <v/>
      </c>
      <c r="S214" s="26" t="str">
        <f t="shared" si="71"/>
        <v/>
      </c>
      <c r="T214" s="26" t="str">
        <f t="shared" si="66"/>
        <v/>
      </c>
      <c r="U214" s="26" t="str">
        <f t="shared" si="67"/>
        <v/>
      </c>
      <c r="V214" s="26" t="str">
        <f t="shared" si="68"/>
        <v/>
      </c>
      <c r="W214" s="20" t="str">
        <f t="shared" si="69"/>
        <v/>
      </c>
      <c r="X214" s="20" t="str">
        <f t="shared" si="70"/>
        <v/>
      </c>
      <c r="Y214" s="86" t="str">
        <f t="shared" si="72"/>
        <v/>
      </c>
      <c r="Z214" s="31"/>
    </row>
    <row r="215" spans="2:26" outlineLevel="1">
      <c r="B215" s="14">
        <f t="shared" si="56"/>
        <v>212</v>
      </c>
      <c r="C215" s="37"/>
      <c r="D215" s="40"/>
      <c r="E215" s="39"/>
      <c r="F215" s="37"/>
      <c r="G215" s="39"/>
      <c r="H215" s="37"/>
      <c r="I215" s="37"/>
      <c r="J215" s="41" t="str">
        <f t="shared" si="57"/>
        <v/>
      </c>
      <c r="K215" s="12" t="str">
        <f t="shared" si="63"/>
        <v/>
      </c>
      <c r="L215" s="12" t="str">
        <f t="shared" si="64"/>
        <v/>
      </c>
      <c r="M215" s="12" t="str">
        <f t="shared" si="58"/>
        <v/>
      </c>
      <c r="N215" s="12" t="str">
        <f t="shared" si="59"/>
        <v/>
      </c>
      <c r="O215" s="12" t="str">
        <f t="shared" si="60"/>
        <v/>
      </c>
      <c r="P215" s="12" t="str">
        <f t="shared" si="61"/>
        <v/>
      </c>
      <c r="Q215" s="12" t="str">
        <f t="shared" si="65"/>
        <v/>
      </c>
      <c r="R215" s="26" t="str">
        <f t="shared" si="62"/>
        <v/>
      </c>
      <c r="S215" s="26" t="str">
        <f t="shared" si="71"/>
        <v/>
      </c>
      <c r="T215" s="26" t="str">
        <f t="shared" si="66"/>
        <v/>
      </c>
      <c r="U215" s="26" t="str">
        <f t="shared" si="67"/>
        <v/>
      </c>
      <c r="V215" s="26" t="str">
        <f t="shared" si="68"/>
        <v/>
      </c>
      <c r="W215" s="20" t="str">
        <f t="shared" si="69"/>
        <v/>
      </c>
      <c r="X215" s="20" t="str">
        <f t="shared" si="70"/>
        <v/>
      </c>
      <c r="Y215" s="86" t="str">
        <f t="shared" si="72"/>
        <v/>
      </c>
      <c r="Z215" s="31"/>
    </row>
    <row r="216" spans="2:26" outlineLevel="1">
      <c r="B216" s="14">
        <f t="shared" si="56"/>
        <v>213</v>
      </c>
      <c r="C216" s="37"/>
      <c r="D216" s="40"/>
      <c r="E216" s="39"/>
      <c r="F216" s="37"/>
      <c r="G216" s="39"/>
      <c r="H216" s="37"/>
      <c r="I216" s="37"/>
      <c r="J216" s="41" t="str">
        <f t="shared" si="57"/>
        <v/>
      </c>
      <c r="K216" s="12" t="str">
        <f t="shared" si="63"/>
        <v/>
      </c>
      <c r="L216" s="12" t="str">
        <f t="shared" si="64"/>
        <v/>
      </c>
      <c r="M216" s="12" t="str">
        <f t="shared" si="58"/>
        <v/>
      </c>
      <c r="N216" s="12" t="str">
        <f t="shared" si="59"/>
        <v/>
      </c>
      <c r="O216" s="12" t="str">
        <f t="shared" si="60"/>
        <v/>
      </c>
      <c r="P216" s="12" t="str">
        <f t="shared" si="61"/>
        <v/>
      </c>
      <c r="Q216" s="12" t="str">
        <f t="shared" si="65"/>
        <v/>
      </c>
      <c r="R216" s="26" t="str">
        <f t="shared" si="62"/>
        <v/>
      </c>
      <c r="S216" s="26" t="str">
        <f t="shared" si="71"/>
        <v/>
      </c>
      <c r="T216" s="26" t="str">
        <f t="shared" si="66"/>
        <v/>
      </c>
      <c r="U216" s="26" t="str">
        <f t="shared" si="67"/>
        <v/>
      </c>
      <c r="V216" s="26" t="str">
        <f t="shared" si="68"/>
        <v/>
      </c>
      <c r="W216" s="20" t="str">
        <f t="shared" si="69"/>
        <v/>
      </c>
      <c r="X216" s="20" t="str">
        <f t="shared" si="70"/>
        <v/>
      </c>
      <c r="Y216" s="86" t="str">
        <f t="shared" si="72"/>
        <v/>
      </c>
      <c r="Z216" s="31"/>
    </row>
    <row r="217" spans="2:26" outlineLevel="1">
      <c r="B217" s="14">
        <f t="shared" si="56"/>
        <v>214</v>
      </c>
      <c r="C217" s="37"/>
      <c r="D217" s="40"/>
      <c r="E217" s="39"/>
      <c r="F217" s="37"/>
      <c r="G217" s="39"/>
      <c r="H217" s="37"/>
      <c r="I217" s="37"/>
      <c r="J217" s="41" t="str">
        <f t="shared" si="57"/>
        <v/>
      </c>
      <c r="K217" s="12" t="str">
        <f t="shared" si="63"/>
        <v/>
      </c>
      <c r="L217" s="12" t="str">
        <f t="shared" si="64"/>
        <v/>
      </c>
      <c r="M217" s="12" t="str">
        <f t="shared" si="58"/>
        <v/>
      </c>
      <c r="N217" s="12" t="str">
        <f t="shared" si="59"/>
        <v/>
      </c>
      <c r="O217" s="12" t="str">
        <f t="shared" si="60"/>
        <v/>
      </c>
      <c r="P217" s="12" t="str">
        <f t="shared" si="61"/>
        <v/>
      </c>
      <c r="Q217" s="12" t="str">
        <f t="shared" si="65"/>
        <v/>
      </c>
      <c r="R217" s="26" t="str">
        <f t="shared" si="62"/>
        <v/>
      </c>
      <c r="S217" s="26" t="str">
        <f t="shared" si="71"/>
        <v/>
      </c>
      <c r="T217" s="26" t="str">
        <f t="shared" si="66"/>
        <v/>
      </c>
      <c r="U217" s="26" t="str">
        <f t="shared" si="67"/>
        <v/>
      </c>
      <c r="V217" s="26" t="str">
        <f t="shared" si="68"/>
        <v/>
      </c>
      <c r="W217" s="20" t="str">
        <f t="shared" si="69"/>
        <v/>
      </c>
      <c r="X217" s="20" t="str">
        <f t="shared" si="70"/>
        <v/>
      </c>
      <c r="Y217" s="86" t="str">
        <f t="shared" si="72"/>
        <v/>
      </c>
      <c r="Z217" s="31"/>
    </row>
    <row r="218" spans="2:26" outlineLevel="1">
      <c r="B218" s="14">
        <f t="shared" si="56"/>
        <v>215</v>
      </c>
      <c r="C218" s="37"/>
      <c r="D218" s="40"/>
      <c r="E218" s="39"/>
      <c r="F218" s="37"/>
      <c r="G218" s="39"/>
      <c r="H218" s="37"/>
      <c r="I218" s="37"/>
      <c r="J218" s="41" t="str">
        <f t="shared" si="57"/>
        <v/>
      </c>
      <c r="K218" s="12" t="str">
        <f t="shared" si="63"/>
        <v/>
      </c>
      <c r="L218" s="12" t="str">
        <f t="shared" si="64"/>
        <v/>
      </c>
      <c r="M218" s="12" t="str">
        <f t="shared" si="58"/>
        <v/>
      </c>
      <c r="N218" s="12" t="str">
        <f t="shared" si="59"/>
        <v/>
      </c>
      <c r="O218" s="12" t="str">
        <f t="shared" si="60"/>
        <v/>
      </c>
      <c r="P218" s="12" t="str">
        <f t="shared" si="61"/>
        <v/>
      </c>
      <c r="Q218" s="12" t="str">
        <f t="shared" si="65"/>
        <v/>
      </c>
      <c r="R218" s="26" t="str">
        <f t="shared" si="62"/>
        <v/>
      </c>
      <c r="S218" s="26" t="str">
        <f t="shared" si="71"/>
        <v/>
      </c>
      <c r="T218" s="26" t="str">
        <f t="shared" si="66"/>
        <v/>
      </c>
      <c r="U218" s="26" t="str">
        <f t="shared" si="67"/>
        <v/>
      </c>
      <c r="V218" s="26" t="str">
        <f t="shared" si="68"/>
        <v/>
      </c>
      <c r="W218" s="20" t="str">
        <f t="shared" si="69"/>
        <v/>
      </c>
      <c r="X218" s="20" t="str">
        <f t="shared" si="70"/>
        <v/>
      </c>
      <c r="Y218" s="86" t="str">
        <f t="shared" si="72"/>
        <v/>
      </c>
      <c r="Z218" s="31"/>
    </row>
    <row r="219" spans="2:26" outlineLevel="1">
      <c r="B219" s="14">
        <f t="shared" si="56"/>
        <v>216</v>
      </c>
      <c r="C219" s="37"/>
      <c r="D219" s="40"/>
      <c r="E219" s="39"/>
      <c r="F219" s="37"/>
      <c r="G219" s="39"/>
      <c r="H219" s="37"/>
      <c r="I219" s="37"/>
      <c r="J219" s="41" t="str">
        <f t="shared" si="57"/>
        <v/>
      </c>
      <c r="K219" s="12" t="str">
        <f t="shared" si="63"/>
        <v/>
      </c>
      <c r="L219" s="12" t="str">
        <f t="shared" si="64"/>
        <v/>
      </c>
      <c r="M219" s="12" t="str">
        <f t="shared" si="58"/>
        <v/>
      </c>
      <c r="N219" s="12" t="str">
        <f t="shared" si="59"/>
        <v/>
      </c>
      <c r="O219" s="12" t="str">
        <f t="shared" si="60"/>
        <v/>
      </c>
      <c r="P219" s="12" t="str">
        <f t="shared" si="61"/>
        <v/>
      </c>
      <c r="Q219" s="12" t="str">
        <f t="shared" si="65"/>
        <v/>
      </c>
      <c r="R219" s="26" t="str">
        <f t="shared" si="62"/>
        <v/>
      </c>
      <c r="S219" s="26" t="str">
        <f t="shared" si="71"/>
        <v/>
      </c>
      <c r="T219" s="26" t="str">
        <f t="shared" si="66"/>
        <v/>
      </c>
      <c r="U219" s="26" t="str">
        <f t="shared" si="67"/>
        <v/>
      </c>
      <c r="V219" s="26" t="str">
        <f t="shared" si="68"/>
        <v/>
      </c>
      <c r="W219" s="20" t="str">
        <f t="shared" si="69"/>
        <v/>
      </c>
      <c r="X219" s="20" t="str">
        <f t="shared" si="70"/>
        <v/>
      </c>
      <c r="Y219" s="86" t="str">
        <f t="shared" si="72"/>
        <v/>
      </c>
      <c r="Z219" s="31"/>
    </row>
    <row r="220" spans="2:26" outlineLevel="1">
      <c r="B220" s="14">
        <f t="shared" si="56"/>
        <v>217</v>
      </c>
      <c r="C220" s="37"/>
      <c r="D220" s="40"/>
      <c r="E220" s="39"/>
      <c r="F220" s="37"/>
      <c r="G220" s="39"/>
      <c r="H220" s="37"/>
      <c r="I220" s="37"/>
      <c r="J220" s="41" t="str">
        <f t="shared" si="57"/>
        <v/>
      </c>
      <c r="K220" s="12" t="str">
        <f t="shared" si="63"/>
        <v/>
      </c>
      <c r="L220" s="12" t="str">
        <f t="shared" si="64"/>
        <v/>
      </c>
      <c r="M220" s="12" t="str">
        <f t="shared" si="58"/>
        <v/>
      </c>
      <c r="N220" s="12" t="str">
        <f t="shared" si="59"/>
        <v/>
      </c>
      <c r="O220" s="12" t="str">
        <f t="shared" si="60"/>
        <v/>
      </c>
      <c r="P220" s="12" t="str">
        <f t="shared" si="61"/>
        <v/>
      </c>
      <c r="Q220" s="12" t="str">
        <f t="shared" si="65"/>
        <v/>
      </c>
      <c r="R220" s="26" t="str">
        <f t="shared" si="62"/>
        <v/>
      </c>
      <c r="S220" s="26" t="str">
        <f t="shared" si="71"/>
        <v/>
      </c>
      <c r="T220" s="26" t="str">
        <f t="shared" si="66"/>
        <v/>
      </c>
      <c r="U220" s="26" t="str">
        <f t="shared" si="67"/>
        <v/>
      </c>
      <c r="V220" s="26" t="str">
        <f t="shared" si="68"/>
        <v/>
      </c>
      <c r="W220" s="20" t="str">
        <f t="shared" si="69"/>
        <v/>
      </c>
      <c r="X220" s="20" t="str">
        <f t="shared" si="70"/>
        <v/>
      </c>
      <c r="Y220" s="86" t="str">
        <f t="shared" si="72"/>
        <v/>
      </c>
      <c r="Z220" s="31"/>
    </row>
    <row r="221" spans="2:26" outlineLevel="1">
      <c r="B221" s="14">
        <f t="shared" si="56"/>
        <v>218</v>
      </c>
      <c r="C221" s="37"/>
      <c r="D221" s="40"/>
      <c r="E221" s="39"/>
      <c r="F221" s="37"/>
      <c r="G221" s="39"/>
      <c r="H221" s="37"/>
      <c r="I221" s="37"/>
      <c r="J221" s="41" t="str">
        <f t="shared" si="57"/>
        <v/>
      </c>
      <c r="K221" s="12" t="str">
        <f t="shared" si="63"/>
        <v/>
      </c>
      <c r="L221" s="12" t="str">
        <f t="shared" si="64"/>
        <v/>
      </c>
      <c r="M221" s="12" t="str">
        <f t="shared" si="58"/>
        <v/>
      </c>
      <c r="N221" s="12" t="str">
        <f t="shared" si="59"/>
        <v/>
      </c>
      <c r="O221" s="12" t="str">
        <f t="shared" si="60"/>
        <v/>
      </c>
      <c r="P221" s="12" t="str">
        <f t="shared" si="61"/>
        <v/>
      </c>
      <c r="Q221" s="12" t="str">
        <f t="shared" si="65"/>
        <v/>
      </c>
      <c r="R221" s="26" t="str">
        <f t="shared" si="62"/>
        <v/>
      </c>
      <c r="S221" s="26" t="str">
        <f t="shared" si="71"/>
        <v/>
      </c>
      <c r="T221" s="26" t="str">
        <f t="shared" si="66"/>
        <v/>
      </c>
      <c r="U221" s="26" t="str">
        <f t="shared" si="67"/>
        <v/>
      </c>
      <c r="V221" s="26" t="str">
        <f t="shared" si="68"/>
        <v/>
      </c>
      <c r="W221" s="20" t="str">
        <f t="shared" si="69"/>
        <v/>
      </c>
      <c r="X221" s="20" t="str">
        <f t="shared" si="70"/>
        <v/>
      </c>
      <c r="Y221" s="86" t="str">
        <f t="shared" si="72"/>
        <v/>
      </c>
      <c r="Z221" s="31"/>
    </row>
    <row r="222" spans="2:26" outlineLevel="1">
      <c r="B222" s="14">
        <f t="shared" si="56"/>
        <v>219</v>
      </c>
      <c r="C222" s="37"/>
      <c r="D222" s="40"/>
      <c r="E222" s="39"/>
      <c r="F222" s="37"/>
      <c r="G222" s="39"/>
      <c r="H222" s="37"/>
      <c r="I222" s="37"/>
      <c r="J222" s="41" t="str">
        <f t="shared" si="57"/>
        <v/>
      </c>
      <c r="K222" s="12" t="str">
        <f t="shared" si="63"/>
        <v/>
      </c>
      <c r="L222" s="12" t="str">
        <f t="shared" si="64"/>
        <v/>
      </c>
      <c r="M222" s="12" t="str">
        <f t="shared" si="58"/>
        <v/>
      </c>
      <c r="N222" s="12" t="str">
        <f t="shared" si="59"/>
        <v/>
      </c>
      <c r="O222" s="12" t="str">
        <f t="shared" si="60"/>
        <v/>
      </c>
      <c r="P222" s="12" t="str">
        <f t="shared" si="61"/>
        <v/>
      </c>
      <c r="Q222" s="12" t="str">
        <f t="shared" si="65"/>
        <v/>
      </c>
      <c r="R222" s="26" t="str">
        <f t="shared" si="62"/>
        <v/>
      </c>
      <c r="S222" s="26" t="str">
        <f t="shared" si="71"/>
        <v/>
      </c>
      <c r="T222" s="26" t="str">
        <f t="shared" si="66"/>
        <v/>
      </c>
      <c r="U222" s="26" t="str">
        <f t="shared" si="67"/>
        <v/>
      </c>
      <c r="V222" s="26" t="str">
        <f t="shared" si="68"/>
        <v/>
      </c>
      <c r="W222" s="20" t="str">
        <f t="shared" si="69"/>
        <v/>
      </c>
      <c r="X222" s="20" t="str">
        <f t="shared" si="70"/>
        <v/>
      </c>
      <c r="Y222" s="86" t="str">
        <f t="shared" si="72"/>
        <v/>
      </c>
      <c r="Z222" s="31"/>
    </row>
    <row r="223" spans="2:26" outlineLevel="1">
      <c r="B223" s="14">
        <f t="shared" si="56"/>
        <v>220</v>
      </c>
      <c r="C223" s="37"/>
      <c r="D223" s="40"/>
      <c r="E223" s="39"/>
      <c r="F223" s="37"/>
      <c r="G223" s="39"/>
      <c r="H223" s="37"/>
      <c r="I223" s="37"/>
      <c r="J223" s="41" t="str">
        <f t="shared" si="57"/>
        <v/>
      </c>
      <c r="K223" s="12" t="str">
        <f t="shared" si="63"/>
        <v/>
      </c>
      <c r="L223" s="12" t="str">
        <f t="shared" si="64"/>
        <v/>
      </c>
      <c r="M223" s="12" t="str">
        <f t="shared" si="58"/>
        <v/>
      </c>
      <c r="N223" s="12" t="str">
        <f t="shared" si="59"/>
        <v/>
      </c>
      <c r="O223" s="12" t="str">
        <f t="shared" si="60"/>
        <v/>
      </c>
      <c r="P223" s="12" t="str">
        <f t="shared" si="61"/>
        <v/>
      </c>
      <c r="Q223" s="12" t="str">
        <f t="shared" si="65"/>
        <v/>
      </c>
      <c r="R223" s="26" t="str">
        <f t="shared" si="62"/>
        <v/>
      </c>
      <c r="S223" s="26" t="str">
        <f t="shared" si="71"/>
        <v/>
      </c>
      <c r="T223" s="26" t="str">
        <f t="shared" si="66"/>
        <v/>
      </c>
      <c r="U223" s="26" t="str">
        <f t="shared" si="67"/>
        <v/>
      </c>
      <c r="V223" s="26" t="str">
        <f t="shared" si="68"/>
        <v/>
      </c>
      <c r="W223" s="20" t="str">
        <f t="shared" si="69"/>
        <v/>
      </c>
      <c r="X223" s="20" t="str">
        <f t="shared" si="70"/>
        <v/>
      </c>
      <c r="Y223" s="86" t="str">
        <f t="shared" si="72"/>
        <v/>
      </c>
      <c r="Z223" s="31"/>
    </row>
    <row r="224" spans="2:26" outlineLevel="1">
      <c r="B224" s="14">
        <f t="shared" si="56"/>
        <v>221</v>
      </c>
      <c r="C224" s="37"/>
      <c r="D224" s="40"/>
      <c r="E224" s="39"/>
      <c r="F224" s="37"/>
      <c r="G224" s="39"/>
      <c r="H224" s="37"/>
      <c r="I224" s="37"/>
      <c r="J224" s="41" t="str">
        <f t="shared" si="57"/>
        <v/>
      </c>
      <c r="K224" s="12" t="str">
        <f t="shared" si="63"/>
        <v/>
      </c>
      <c r="L224" s="12" t="str">
        <f t="shared" si="64"/>
        <v/>
      </c>
      <c r="M224" s="12" t="str">
        <f t="shared" si="58"/>
        <v/>
      </c>
      <c r="N224" s="12" t="str">
        <f t="shared" si="59"/>
        <v/>
      </c>
      <c r="O224" s="12" t="str">
        <f t="shared" si="60"/>
        <v/>
      </c>
      <c r="P224" s="12" t="str">
        <f t="shared" si="61"/>
        <v/>
      </c>
      <c r="Q224" s="12" t="str">
        <f t="shared" si="65"/>
        <v/>
      </c>
      <c r="R224" s="26" t="str">
        <f t="shared" si="62"/>
        <v/>
      </c>
      <c r="S224" s="26" t="str">
        <f t="shared" si="71"/>
        <v/>
      </c>
      <c r="T224" s="26" t="str">
        <f t="shared" si="66"/>
        <v/>
      </c>
      <c r="U224" s="26" t="str">
        <f t="shared" si="67"/>
        <v/>
      </c>
      <c r="V224" s="26" t="str">
        <f t="shared" si="68"/>
        <v/>
      </c>
      <c r="W224" s="20" t="str">
        <f t="shared" si="69"/>
        <v/>
      </c>
      <c r="X224" s="20" t="str">
        <f t="shared" si="70"/>
        <v/>
      </c>
      <c r="Y224" s="86" t="str">
        <f t="shared" si="72"/>
        <v/>
      </c>
      <c r="Z224" s="31"/>
    </row>
    <row r="225" spans="2:26" outlineLevel="1">
      <c r="B225" s="14">
        <f t="shared" si="56"/>
        <v>222</v>
      </c>
      <c r="C225" s="37"/>
      <c r="D225" s="40"/>
      <c r="E225" s="39"/>
      <c r="F225" s="37"/>
      <c r="G225" s="39"/>
      <c r="H225" s="37"/>
      <c r="I225" s="37"/>
      <c r="J225" s="41" t="str">
        <f t="shared" si="57"/>
        <v/>
      </c>
      <c r="K225" s="12" t="str">
        <f t="shared" si="63"/>
        <v/>
      </c>
      <c r="L225" s="12" t="str">
        <f t="shared" si="64"/>
        <v/>
      </c>
      <c r="M225" s="12" t="str">
        <f t="shared" si="58"/>
        <v/>
      </c>
      <c r="N225" s="12" t="str">
        <f t="shared" si="59"/>
        <v/>
      </c>
      <c r="O225" s="12" t="str">
        <f t="shared" si="60"/>
        <v/>
      </c>
      <c r="P225" s="12" t="str">
        <f t="shared" si="61"/>
        <v/>
      </c>
      <c r="Q225" s="12" t="str">
        <f t="shared" si="65"/>
        <v/>
      </c>
      <c r="R225" s="26" t="str">
        <f t="shared" si="62"/>
        <v/>
      </c>
      <c r="S225" s="26" t="str">
        <f t="shared" si="71"/>
        <v/>
      </c>
      <c r="T225" s="26" t="str">
        <f t="shared" si="66"/>
        <v/>
      </c>
      <c r="U225" s="26" t="str">
        <f t="shared" si="67"/>
        <v/>
      </c>
      <c r="V225" s="26" t="str">
        <f t="shared" si="68"/>
        <v/>
      </c>
      <c r="W225" s="20" t="str">
        <f t="shared" si="69"/>
        <v/>
      </c>
      <c r="X225" s="20" t="str">
        <f t="shared" si="70"/>
        <v/>
      </c>
      <c r="Y225" s="86" t="str">
        <f t="shared" si="72"/>
        <v/>
      </c>
      <c r="Z225" s="31"/>
    </row>
    <row r="226" spans="2:26" outlineLevel="1">
      <c r="B226" s="14">
        <f t="shared" si="56"/>
        <v>223</v>
      </c>
      <c r="C226" s="37"/>
      <c r="D226" s="40"/>
      <c r="E226" s="39"/>
      <c r="F226" s="37"/>
      <c r="G226" s="39"/>
      <c r="H226" s="37"/>
      <c r="I226" s="37"/>
      <c r="J226" s="41" t="str">
        <f t="shared" si="57"/>
        <v/>
      </c>
      <c r="K226" s="12" t="str">
        <f t="shared" si="63"/>
        <v/>
      </c>
      <c r="L226" s="12" t="str">
        <f t="shared" si="64"/>
        <v/>
      </c>
      <c r="M226" s="12" t="str">
        <f t="shared" si="58"/>
        <v/>
      </c>
      <c r="N226" s="12" t="str">
        <f t="shared" si="59"/>
        <v/>
      </c>
      <c r="O226" s="12" t="str">
        <f t="shared" si="60"/>
        <v/>
      </c>
      <c r="P226" s="12" t="str">
        <f t="shared" si="61"/>
        <v/>
      </c>
      <c r="Q226" s="12" t="str">
        <f t="shared" si="65"/>
        <v/>
      </c>
      <c r="R226" s="26" t="str">
        <f t="shared" si="62"/>
        <v/>
      </c>
      <c r="S226" s="26" t="str">
        <f t="shared" si="71"/>
        <v/>
      </c>
      <c r="T226" s="26" t="str">
        <f t="shared" si="66"/>
        <v/>
      </c>
      <c r="U226" s="26" t="str">
        <f t="shared" si="67"/>
        <v/>
      </c>
      <c r="V226" s="26" t="str">
        <f t="shared" si="68"/>
        <v/>
      </c>
      <c r="W226" s="20" t="str">
        <f t="shared" si="69"/>
        <v/>
      </c>
      <c r="X226" s="20" t="str">
        <f t="shared" si="70"/>
        <v/>
      </c>
      <c r="Y226" s="86" t="str">
        <f t="shared" si="72"/>
        <v/>
      </c>
      <c r="Z226" s="31"/>
    </row>
    <row r="227" spans="2:26" outlineLevel="1">
      <c r="B227" s="14">
        <f t="shared" si="56"/>
        <v>224</v>
      </c>
      <c r="C227" s="37"/>
      <c r="D227" s="40"/>
      <c r="E227" s="39"/>
      <c r="F227" s="37"/>
      <c r="G227" s="39"/>
      <c r="H227" s="37"/>
      <c r="I227" s="37"/>
      <c r="J227" s="41" t="str">
        <f t="shared" si="57"/>
        <v/>
      </c>
      <c r="K227" s="12" t="str">
        <f t="shared" si="63"/>
        <v/>
      </c>
      <c r="L227" s="12" t="str">
        <f t="shared" si="64"/>
        <v/>
      </c>
      <c r="M227" s="12" t="str">
        <f t="shared" si="58"/>
        <v/>
      </c>
      <c r="N227" s="12" t="str">
        <f t="shared" si="59"/>
        <v/>
      </c>
      <c r="O227" s="12" t="str">
        <f t="shared" si="60"/>
        <v/>
      </c>
      <c r="P227" s="12" t="str">
        <f t="shared" si="61"/>
        <v/>
      </c>
      <c r="Q227" s="12" t="str">
        <f t="shared" si="65"/>
        <v/>
      </c>
      <c r="R227" s="26" t="str">
        <f t="shared" si="62"/>
        <v/>
      </c>
      <c r="S227" s="26" t="str">
        <f t="shared" si="71"/>
        <v/>
      </c>
      <c r="T227" s="26" t="str">
        <f t="shared" si="66"/>
        <v/>
      </c>
      <c r="U227" s="26" t="str">
        <f t="shared" si="67"/>
        <v/>
      </c>
      <c r="V227" s="26" t="str">
        <f t="shared" si="68"/>
        <v/>
      </c>
      <c r="W227" s="20" t="str">
        <f t="shared" si="69"/>
        <v/>
      </c>
      <c r="X227" s="20" t="str">
        <f t="shared" si="70"/>
        <v/>
      </c>
      <c r="Y227" s="86" t="str">
        <f t="shared" si="72"/>
        <v/>
      </c>
      <c r="Z227" s="31"/>
    </row>
    <row r="228" spans="2:26" outlineLevel="1">
      <c r="B228" s="14">
        <f t="shared" si="56"/>
        <v>225</v>
      </c>
      <c r="C228" s="37"/>
      <c r="D228" s="40"/>
      <c r="E228" s="39"/>
      <c r="F228" s="37"/>
      <c r="G228" s="39"/>
      <c r="H228" s="37"/>
      <c r="I228" s="37"/>
      <c r="J228" s="41" t="str">
        <f t="shared" si="57"/>
        <v/>
      </c>
      <c r="K228" s="12" t="str">
        <f t="shared" si="63"/>
        <v/>
      </c>
      <c r="L228" s="12" t="str">
        <f t="shared" si="64"/>
        <v/>
      </c>
      <c r="M228" s="12" t="str">
        <f t="shared" si="58"/>
        <v/>
      </c>
      <c r="N228" s="12" t="str">
        <f t="shared" si="59"/>
        <v/>
      </c>
      <c r="O228" s="12" t="str">
        <f t="shared" si="60"/>
        <v/>
      </c>
      <c r="P228" s="12" t="str">
        <f t="shared" si="61"/>
        <v/>
      </c>
      <c r="Q228" s="12" t="str">
        <f t="shared" si="65"/>
        <v/>
      </c>
      <c r="R228" s="26" t="str">
        <f t="shared" si="62"/>
        <v/>
      </c>
      <c r="S228" s="26" t="str">
        <f t="shared" si="71"/>
        <v/>
      </c>
      <c r="T228" s="26" t="str">
        <f t="shared" si="66"/>
        <v/>
      </c>
      <c r="U228" s="26" t="str">
        <f t="shared" si="67"/>
        <v/>
      </c>
      <c r="V228" s="26" t="str">
        <f t="shared" si="68"/>
        <v/>
      </c>
      <c r="W228" s="20" t="str">
        <f t="shared" si="69"/>
        <v/>
      </c>
      <c r="X228" s="20" t="str">
        <f t="shared" si="70"/>
        <v/>
      </c>
      <c r="Y228" s="86" t="str">
        <f t="shared" si="72"/>
        <v/>
      </c>
      <c r="Z228" s="31"/>
    </row>
    <row r="229" spans="2:26" outlineLevel="1">
      <c r="B229" s="14">
        <f t="shared" si="56"/>
        <v>226</v>
      </c>
      <c r="C229" s="37"/>
      <c r="D229" s="40"/>
      <c r="E229" s="39"/>
      <c r="F229" s="37"/>
      <c r="G229" s="39"/>
      <c r="H229" s="37"/>
      <c r="I229" s="37"/>
      <c r="J229" s="41" t="str">
        <f t="shared" si="57"/>
        <v/>
      </c>
      <c r="K229" s="12" t="str">
        <f t="shared" si="63"/>
        <v/>
      </c>
      <c r="L229" s="12" t="str">
        <f t="shared" si="64"/>
        <v/>
      </c>
      <c r="M229" s="12" t="str">
        <f t="shared" si="58"/>
        <v/>
      </c>
      <c r="N229" s="12" t="str">
        <f t="shared" si="59"/>
        <v/>
      </c>
      <c r="O229" s="12" t="str">
        <f t="shared" si="60"/>
        <v/>
      </c>
      <c r="P229" s="12" t="str">
        <f t="shared" si="61"/>
        <v/>
      </c>
      <c r="Q229" s="12" t="str">
        <f t="shared" si="65"/>
        <v/>
      </c>
      <c r="R229" s="26" t="str">
        <f t="shared" si="62"/>
        <v/>
      </c>
      <c r="S229" s="26" t="str">
        <f t="shared" si="71"/>
        <v/>
      </c>
      <c r="T229" s="26" t="str">
        <f t="shared" si="66"/>
        <v/>
      </c>
      <c r="U229" s="26" t="str">
        <f t="shared" si="67"/>
        <v/>
      </c>
      <c r="V229" s="26" t="str">
        <f t="shared" si="68"/>
        <v/>
      </c>
      <c r="W229" s="20" t="str">
        <f t="shared" si="69"/>
        <v/>
      </c>
      <c r="X229" s="20" t="str">
        <f t="shared" si="70"/>
        <v/>
      </c>
      <c r="Y229" s="86" t="str">
        <f t="shared" si="72"/>
        <v/>
      </c>
      <c r="Z229" s="31"/>
    </row>
    <row r="230" spans="2:26" outlineLevel="1">
      <c r="B230" s="14">
        <f t="shared" si="56"/>
        <v>227</v>
      </c>
      <c r="C230" s="37"/>
      <c r="D230" s="40"/>
      <c r="E230" s="39"/>
      <c r="F230" s="37"/>
      <c r="G230" s="39"/>
      <c r="H230" s="37"/>
      <c r="I230" s="37"/>
      <c r="J230" s="41" t="str">
        <f t="shared" si="57"/>
        <v/>
      </c>
      <c r="K230" s="12" t="str">
        <f t="shared" si="63"/>
        <v/>
      </c>
      <c r="L230" s="12" t="str">
        <f t="shared" si="64"/>
        <v/>
      </c>
      <c r="M230" s="12" t="str">
        <f t="shared" si="58"/>
        <v/>
      </c>
      <c r="N230" s="12" t="str">
        <f t="shared" si="59"/>
        <v/>
      </c>
      <c r="O230" s="12" t="str">
        <f t="shared" si="60"/>
        <v/>
      </c>
      <c r="P230" s="12" t="str">
        <f t="shared" si="61"/>
        <v/>
      </c>
      <c r="Q230" s="12" t="str">
        <f t="shared" si="65"/>
        <v/>
      </c>
      <c r="R230" s="26" t="str">
        <f t="shared" si="62"/>
        <v/>
      </c>
      <c r="S230" s="26" t="str">
        <f t="shared" si="71"/>
        <v/>
      </c>
      <c r="T230" s="26" t="str">
        <f t="shared" si="66"/>
        <v/>
      </c>
      <c r="U230" s="26" t="str">
        <f t="shared" si="67"/>
        <v/>
      </c>
      <c r="V230" s="26" t="str">
        <f t="shared" si="68"/>
        <v/>
      </c>
      <c r="W230" s="20" t="str">
        <f t="shared" si="69"/>
        <v/>
      </c>
      <c r="X230" s="20" t="str">
        <f t="shared" si="70"/>
        <v/>
      </c>
      <c r="Y230" s="86" t="str">
        <f t="shared" si="72"/>
        <v/>
      </c>
      <c r="Z230" s="31"/>
    </row>
    <row r="231" spans="2:26" outlineLevel="1">
      <c r="B231" s="14">
        <f t="shared" si="56"/>
        <v>228</v>
      </c>
      <c r="C231" s="37"/>
      <c r="D231" s="40"/>
      <c r="E231" s="39"/>
      <c r="F231" s="37"/>
      <c r="G231" s="39"/>
      <c r="H231" s="37"/>
      <c r="I231" s="37"/>
      <c r="J231" s="41" t="str">
        <f t="shared" si="57"/>
        <v/>
      </c>
      <c r="K231" s="12" t="str">
        <f t="shared" si="63"/>
        <v/>
      </c>
      <c r="L231" s="12" t="str">
        <f t="shared" si="64"/>
        <v/>
      </c>
      <c r="M231" s="12" t="str">
        <f t="shared" si="58"/>
        <v/>
      </c>
      <c r="N231" s="12" t="str">
        <f t="shared" si="59"/>
        <v/>
      </c>
      <c r="O231" s="12" t="str">
        <f t="shared" si="60"/>
        <v/>
      </c>
      <c r="P231" s="12" t="str">
        <f t="shared" si="61"/>
        <v/>
      </c>
      <c r="Q231" s="12" t="str">
        <f t="shared" si="65"/>
        <v/>
      </c>
      <c r="R231" s="26" t="str">
        <f t="shared" si="62"/>
        <v/>
      </c>
      <c r="S231" s="26" t="str">
        <f t="shared" si="71"/>
        <v/>
      </c>
      <c r="T231" s="26" t="str">
        <f t="shared" si="66"/>
        <v/>
      </c>
      <c r="U231" s="26" t="str">
        <f t="shared" si="67"/>
        <v/>
      </c>
      <c r="V231" s="26" t="str">
        <f t="shared" si="68"/>
        <v/>
      </c>
      <c r="W231" s="20" t="str">
        <f t="shared" si="69"/>
        <v/>
      </c>
      <c r="X231" s="20" t="str">
        <f t="shared" si="70"/>
        <v/>
      </c>
      <c r="Y231" s="86" t="str">
        <f t="shared" si="72"/>
        <v/>
      </c>
      <c r="Z231" s="31"/>
    </row>
    <row r="232" spans="2:26" outlineLevel="1">
      <c r="B232" s="14">
        <f t="shared" si="56"/>
        <v>229</v>
      </c>
      <c r="C232" s="37"/>
      <c r="D232" s="40"/>
      <c r="E232" s="39"/>
      <c r="F232" s="37"/>
      <c r="G232" s="39"/>
      <c r="H232" s="37"/>
      <c r="I232" s="37"/>
      <c r="J232" s="41" t="str">
        <f t="shared" si="57"/>
        <v/>
      </c>
      <c r="K232" s="12" t="str">
        <f t="shared" si="63"/>
        <v/>
      </c>
      <c r="L232" s="12" t="str">
        <f t="shared" si="64"/>
        <v/>
      </c>
      <c r="M232" s="12" t="str">
        <f t="shared" si="58"/>
        <v/>
      </c>
      <c r="N232" s="12" t="str">
        <f t="shared" si="59"/>
        <v/>
      </c>
      <c r="O232" s="12" t="str">
        <f t="shared" si="60"/>
        <v/>
      </c>
      <c r="P232" s="12" t="str">
        <f t="shared" si="61"/>
        <v/>
      </c>
      <c r="Q232" s="12" t="str">
        <f t="shared" si="65"/>
        <v/>
      </c>
      <c r="R232" s="26" t="str">
        <f t="shared" si="62"/>
        <v/>
      </c>
      <c r="S232" s="26" t="str">
        <f t="shared" si="71"/>
        <v/>
      </c>
      <c r="T232" s="26" t="str">
        <f t="shared" si="66"/>
        <v/>
      </c>
      <c r="U232" s="26" t="str">
        <f t="shared" si="67"/>
        <v/>
      </c>
      <c r="V232" s="26" t="str">
        <f t="shared" si="68"/>
        <v/>
      </c>
      <c r="W232" s="20" t="str">
        <f t="shared" si="69"/>
        <v/>
      </c>
      <c r="X232" s="20" t="str">
        <f t="shared" si="70"/>
        <v/>
      </c>
      <c r="Y232" s="86" t="str">
        <f t="shared" si="72"/>
        <v/>
      </c>
      <c r="Z232" s="31"/>
    </row>
    <row r="233" spans="2:26" outlineLevel="1">
      <c r="B233" s="14">
        <f t="shared" si="56"/>
        <v>230</v>
      </c>
      <c r="C233" s="37"/>
      <c r="D233" s="40"/>
      <c r="E233" s="39"/>
      <c r="F233" s="37"/>
      <c r="G233" s="39"/>
      <c r="H233" s="37"/>
      <c r="I233" s="37"/>
      <c r="J233" s="41" t="str">
        <f t="shared" si="57"/>
        <v/>
      </c>
      <c r="K233" s="12" t="str">
        <f t="shared" si="63"/>
        <v/>
      </c>
      <c r="L233" s="12" t="str">
        <f t="shared" si="64"/>
        <v/>
      </c>
      <c r="M233" s="12" t="str">
        <f t="shared" si="58"/>
        <v/>
      </c>
      <c r="N233" s="12" t="str">
        <f t="shared" si="59"/>
        <v/>
      </c>
      <c r="O233" s="12" t="str">
        <f t="shared" si="60"/>
        <v/>
      </c>
      <c r="P233" s="12" t="str">
        <f t="shared" si="61"/>
        <v/>
      </c>
      <c r="Q233" s="12" t="str">
        <f t="shared" si="65"/>
        <v/>
      </c>
      <c r="R233" s="26" t="str">
        <f t="shared" si="62"/>
        <v/>
      </c>
      <c r="S233" s="26" t="str">
        <f t="shared" si="71"/>
        <v/>
      </c>
      <c r="T233" s="26" t="str">
        <f t="shared" si="66"/>
        <v/>
      </c>
      <c r="U233" s="26" t="str">
        <f t="shared" si="67"/>
        <v/>
      </c>
      <c r="V233" s="26" t="str">
        <f t="shared" si="68"/>
        <v/>
      </c>
      <c r="W233" s="20" t="str">
        <f t="shared" si="69"/>
        <v/>
      </c>
      <c r="X233" s="20" t="str">
        <f t="shared" si="70"/>
        <v/>
      </c>
      <c r="Y233" s="86" t="str">
        <f t="shared" si="72"/>
        <v/>
      </c>
      <c r="Z233" s="31"/>
    </row>
    <row r="234" spans="2:26" outlineLevel="1">
      <c r="B234" s="14">
        <f t="shared" si="56"/>
        <v>231</v>
      </c>
      <c r="C234" s="37"/>
      <c r="D234" s="40"/>
      <c r="E234" s="39"/>
      <c r="F234" s="37"/>
      <c r="G234" s="39"/>
      <c r="H234" s="37"/>
      <c r="I234" s="37"/>
      <c r="J234" s="41" t="str">
        <f t="shared" si="57"/>
        <v/>
      </c>
      <c r="K234" s="12" t="str">
        <f t="shared" si="63"/>
        <v/>
      </c>
      <c r="L234" s="12" t="str">
        <f t="shared" si="64"/>
        <v/>
      </c>
      <c r="M234" s="12" t="str">
        <f t="shared" si="58"/>
        <v/>
      </c>
      <c r="N234" s="12" t="str">
        <f t="shared" si="59"/>
        <v/>
      </c>
      <c r="O234" s="12" t="str">
        <f t="shared" si="60"/>
        <v/>
      </c>
      <c r="P234" s="12" t="str">
        <f t="shared" si="61"/>
        <v/>
      </c>
      <c r="Q234" s="12" t="str">
        <f t="shared" si="65"/>
        <v/>
      </c>
      <c r="R234" s="26" t="str">
        <f t="shared" si="62"/>
        <v/>
      </c>
      <c r="S234" s="26" t="str">
        <f t="shared" si="71"/>
        <v/>
      </c>
      <c r="T234" s="26" t="str">
        <f t="shared" si="66"/>
        <v/>
      </c>
      <c r="U234" s="26" t="str">
        <f t="shared" si="67"/>
        <v/>
      </c>
      <c r="V234" s="26" t="str">
        <f t="shared" si="68"/>
        <v/>
      </c>
      <c r="W234" s="20" t="str">
        <f t="shared" si="69"/>
        <v/>
      </c>
      <c r="X234" s="20" t="str">
        <f t="shared" si="70"/>
        <v/>
      </c>
      <c r="Y234" s="86" t="str">
        <f t="shared" si="72"/>
        <v/>
      </c>
      <c r="Z234" s="31"/>
    </row>
    <row r="235" spans="2:26" outlineLevel="1">
      <c r="B235" s="14">
        <f t="shared" si="56"/>
        <v>232</v>
      </c>
      <c r="C235" s="37"/>
      <c r="D235" s="40"/>
      <c r="E235" s="39"/>
      <c r="F235" s="37"/>
      <c r="G235" s="39"/>
      <c r="H235" s="37"/>
      <c r="I235" s="37"/>
      <c r="J235" s="41" t="str">
        <f t="shared" si="57"/>
        <v/>
      </c>
      <c r="K235" s="12" t="str">
        <f t="shared" si="63"/>
        <v/>
      </c>
      <c r="L235" s="12" t="str">
        <f t="shared" si="64"/>
        <v/>
      </c>
      <c r="M235" s="12" t="str">
        <f t="shared" si="58"/>
        <v/>
      </c>
      <c r="N235" s="12" t="str">
        <f t="shared" si="59"/>
        <v/>
      </c>
      <c r="O235" s="12" t="str">
        <f t="shared" si="60"/>
        <v/>
      </c>
      <c r="P235" s="12" t="str">
        <f t="shared" si="61"/>
        <v/>
      </c>
      <c r="Q235" s="12" t="str">
        <f t="shared" si="65"/>
        <v/>
      </c>
      <c r="R235" s="26" t="str">
        <f t="shared" si="62"/>
        <v/>
      </c>
      <c r="S235" s="26" t="str">
        <f t="shared" si="71"/>
        <v/>
      </c>
      <c r="T235" s="26" t="str">
        <f t="shared" si="66"/>
        <v/>
      </c>
      <c r="U235" s="26" t="str">
        <f t="shared" si="67"/>
        <v/>
      </c>
      <c r="V235" s="26" t="str">
        <f t="shared" si="68"/>
        <v/>
      </c>
      <c r="W235" s="20" t="str">
        <f t="shared" si="69"/>
        <v/>
      </c>
      <c r="X235" s="20" t="str">
        <f t="shared" si="70"/>
        <v/>
      </c>
      <c r="Y235" s="86" t="str">
        <f t="shared" si="72"/>
        <v/>
      </c>
      <c r="Z235" s="31"/>
    </row>
    <row r="236" spans="2:26" outlineLevel="1">
      <c r="B236" s="14">
        <f t="shared" si="56"/>
        <v>233</v>
      </c>
      <c r="C236" s="37"/>
      <c r="D236" s="40"/>
      <c r="E236" s="39"/>
      <c r="F236" s="37"/>
      <c r="G236" s="39"/>
      <c r="H236" s="37"/>
      <c r="I236" s="37"/>
      <c r="J236" s="41" t="str">
        <f t="shared" si="57"/>
        <v/>
      </c>
      <c r="K236" s="12" t="str">
        <f t="shared" si="63"/>
        <v/>
      </c>
      <c r="L236" s="12" t="str">
        <f t="shared" si="64"/>
        <v/>
      </c>
      <c r="M236" s="12" t="str">
        <f t="shared" si="58"/>
        <v/>
      </c>
      <c r="N236" s="12" t="str">
        <f t="shared" si="59"/>
        <v/>
      </c>
      <c r="O236" s="12" t="str">
        <f t="shared" si="60"/>
        <v/>
      </c>
      <c r="P236" s="12" t="str">
        <f t="shared" si="61"/>
        <v/>
      </c>
      <c r="Q236" s="12" t="str">
        <f t="shared" si="65"/>
        <v/>
      </c>
      <c r="R236" s="26" t="str">
        <f t="shared" si="62"/>
        <v/>
      </c>
      <c r="S236" s="26" t="str">
        <f t="shared" si="71"/>
        <v/>
      </c>
      <c r="T236" s="26" t="str">
        <f t="shared" si="66"/>
        <v/>
      </c>
      <c r="U236" s="26" t="str">
        <f t="shared" si="67"/>
        <v/>
      </c>
      <c r="V236" s="26" t="str">
        <f t="shared" si="68"/>
        <v/>
      </c>
      <c r="W236" s="20" t="str">
        <f t="shared" si="69"/>
        <v/>
      </c>
      <c r="X236" s="20" t="str">
        <f t="shared" si="70"/>
        <v/>
      </c>
      <c r="Y236" s="86" t="str">
        <f t="shared" si="72"/>
        <v/>
      </c>
      <c r="Z236" s="31"/>
    </row>
    <row r="237" spans="2:26" outlineLevel="1">
      <c r="B237" s="14">
        <f t="shared" si="56"/>
        <v>234</v>
      </c>
      <c r="C237" s="37"/>
      <c r="D237" s="40"/>
      <c r="E237" s="39"/>
      <c r="F237" s="37"/>
      <c r="G237" s="39"/>
      <c r="H237" s="37"/>
      <c r="I237" s="37"/>
      <c r="J237" s="41" t="str">
        <f t="shared" si="57"/>
        <v/>
      </c>
      <c r="K237" s="12" t="str">
        <f t="shared" si="63"/>
        <v/>
      </c>
      <c r="L237" s="12" t="str">
        <f t="shared" si="64"/>
        <v/>
      </c>
      <c r="M237" s="12" t="str">
        <f t="shared" si="58"/>
        <v/>
      </c>
      <c r="N237" s="12" t="str">
        <f t="shared" si="59"/>
        <v/>
      </c>
      <c r="O237" s="12" t="str">
        <f t="shared" si="60"/>
        <v/>
      </c>
      <c r="P237" s="12" t="str">
        <f t="shared" si="61"/>
        <v/>
      </c>
      <c r="Q237" s="12" t="str">
        <f t="shared" si="65"/>
        <v/>
      </c>
      <c r="R237" s="26" t="str">
        <f t="shared" si="62"/>
        <v/>
      </c>
      <c r="S237" s="26" t="str">
        <f t="shared" si="71"/>
        <v/>
      </c>
      <c r="T237" s="26" t="str">
        <f t="shared" si="66"/>
        <v/>
      </c>
      <c r="U237" s="26" t="str">
        <f t="shared" si="67"/>
        <v/>
      </c>
      <c r="V237" s="26" t="str">
        <f t="shared" si="68"/>
        <v/>
      </c>
      <c r="W237" s="20" t="str">
        <f t="shared" si="69"/>
        <v/>
      </c>
      <c r="X237" s="20" t="str">
        <f t="shared" si="70"/>
        <v/>
      </c>
      <c r="Y237" s="86" t="str">
        <f t="shared" si="72"/>
        <v/>
      </c>
      <c r="Z237" s="31"/>
    </row>
    <row r="238" spans="2:26" outlineLevel="1">
      <c r="B238" s="14">
        <f t="shared" si="56"/>
        <v>235</v>
      </c>
      <c r="C238" s="37"/>
      <c r="D238" s="40"/>
      <c r="E238" s="39"/>
      <c r="F238" s="37"/>
      <c r="G238" s="39"/>
      <c r="H238" s="37"/>
      <c r="I238" s="37"/>
      <c r="J238" s="41" t="str">
        <f t="shared" si="57"/>
        <v/>
      </c>
      <c r="K238" s="12" t="str">
        <f t="shared" si="63"/>
        <v/>
      </c>
      <c r="L238" s="12" t="str">
        <f t="shared" si="64"/>
        <v/>
      </c>
      <c r="M238" s="12" t="str">
        <f t="shared" si="58"/>
        <v/>
      </c>
      <c r="N238" s="12" t="str">
        <f t="shared" si="59"/>
        <v/>
      </c>
      <c r="O238" s="12" t="str">
        <f t="shared" si="60"/>
        <v/>
      </c>
      <c r="P238" s="12" t="str">
        <f t="shared" si="61"/>
        <v/>
      </c>
      <c r="Q238" s="12" t="str">
        <f t="shared" si="65"/>
        <v/>
      </c>
      <c r="R238" s="26" t="str">
        <f t="shared" si="62"/>
        <v/>
      </c>
      <c r="S238" s="26" t="str">
        <f t="shared" si="71"/>
        <v/>
      </c>
      <c r="T238" s="26" t="str">
        <f t="shared" si="66"/>
        <v/>
      </c>
      <c r="U238" s="26" t="str">
        <f t="shared" si="67"/>
        <v/>
      </c>
      <c r="V238" s="26" t="str">
        <f t="shared" si="68"/>
        <v/>
      </c>
      <c r="W238" s="20" t="str">
        <f t="shared" si="69"/>
        <v/>
      </c>
      <c r="X238" s="20" t="str">
        <f t="shared" si="70"/>
        <v/>
      </c>
      <c r="Y238" s="86" t="str">
        <f t="shared" si="72"/>
        <v/>
      </c>
      <c r="Z238" s="31"/>
    </row>
    <row r="239" spans="2:26" outlineLevel="1">
      <c r="B239" s="14">
        <f t="shared" si="56"/>
        <v>236</v>
      </c>
      <c r="C239" s="37"/>
      <c r="D239" s="40"/>
      <c r="E239" s="39"/>
      <c r="F239" s="37"/>
      <c r="G239" s="39"/>
      <c r="H239" s="37"/>
      <c r="I239" s="37"/>
      <c r="J239" s="41" t="str">
        <f t="shared" si="57"/>
        <v/>
      </c>
      <c r="K239" s="12" t="str">
        <f t="shared" si="63"/>
        <v/>
      </c>
      <c r="L239" s="12" t="str">
        <f t="shared" si="64"/>
        <v/>
      </c>
      <c r="M239" s="12" t="str">
        <f t="shared" si="58"/>
        <v/>
      </c>
      <c r="N239" s="12" t="str">
        <f t="shared" si="59"/>
        <v/>
      </c>
      <c r="O239" s="12" t="str">
        <f t="shared" si="60"/>
        <v/>
      </c>
      <c r="P239" s="12" t="str">
        <f t="shared" si="61"/>
        <v/>
      </c>
      <c r="Q239" s="12" t="str">
        <f t="shared" si="65"/>
        <v/>
      </c>
      <c r="R239" s="26" t="str">
        <f t="shared" si="62"/>
        <v/>
      </c>
      <c r="S239" s="26" t="str">
        <f t="shared" si="71"/>
        <v/>
      </c>
      <c r="T239" s="26" t="str">
        <f t="shared" si="66"/>
        <v/>
      </c>
      <c r="U239" s="26" t="str">
        <f t="shared" si="67"/>
        <v/>
      </c>
      <c r="V239" s="26" t="str">
        <f t="shared" si="68"/>
        <v/>
      </c>
      <c r="W239" s="20" t="str">
        <f t="shared" si="69"/>
        <v/>
      </c>
      <c r="X239" s="20" t="str">
        <f t="shared" si="70"/>
        <v/>
      </c>
      <c r="Y239" s="86" t="str">
        <f t="shared" si="72"/>
        <v/>
      </c>
      <c r="Z239" s="31"/>
    </row>
    <row r="240" spans="2:26" outlineLevel="1">
      <c r="B240" s="14">
        <f t="shared" si="56"/>
        <v>237</v>
      </c>
      <c r="C240" s="37"/>
      <c r="D240" s="40"/>
      <c r="E240" s="39"/>
      <c r="F240" s="37"/>
      <c r="G240" s="39"/>
      <c r="H240" s="37"/>
      <c r="I240" s="37"/>
      <c r="J240" s="41" t="str">
        <f t="shared" si="57"/>
        <v/>
      </c>
      <c r="K240" s="12" t="str">
        <f t="shared" si="63"/>
        <v/>
      </c>
      <c r="L240" s="12" t="str">
        <f t="shared" si="64"/>
        <v/>
      </c>
      <c r="M240" s="12" t="str">
        <f t="shared" si="58"/>
        <v/>
      </c>
      <c r="N240" s="12" t="str">
        <f t="shared" si="59"/>
        <v/>
      </c>
      <c r="O240" s="12" t="str">
        <f t="shared" si="60"/>
        <v/>
      </c>
      <c r="P240" s="12" t="str">
        <f t="shared" si="61"/>
        <v/>
      </c>
      <c r="Q240" s="12" t="str">
        <f t="shared" si="65"/>
        <v/>
      </c>
      <c r="R240" s="26" t="str">
        <f t="shared" si="62"/>
        <v/>
      </c>
      <c r="S240" s="26" t="str">
        <f t="shared" si="71"/>
        <v/>
      </c>
      <c r="T240" s="26" t="str">
        <f t="shared" si="66"/>
        <v/>
      </c>
      <c r="U240" s="26" t="str">
        <f t="shared" si="67"/>
        <v/>
      </c>
      <c r="V240" s="26" t="str">
        <f t="shared" si="68"/>
        <v/>
      </c>
      <c r="W240" s="20" t="str">
        <f t="shared" si="69"/>
        <v/>
      </c>
      <c r="X240" s="20" t="str">
        <f t="shared" si="70"/>
        <v/>
      </c>
      <c r="Y240" s="86" t="str">
        <f t="shared" si="72"/>
        <v/>
      </c>
      <c r="Z240" s="31"/>
    </row>
    <row r="241" spans="2:26" outlineLevel="1">
      <c r="B241" s="14">
        <f t="shared" si="56"/>
        <v>238</v>
      </c>
      <c r="C241" s="37"/>
      <c r="D241" s="40"/>
      <c r="E241" s="39"/>
      <c r="F241" s="37"/>
      <c r="G241" s="39"/>
      <c r="H241" s="37"/>
      <c r="I241" s="37"/>
      <c r="J241" s="41" t="str">
        <f t="shared" si="57"/>
        <v/>
      </c>
      <c r="K241" s="12" t="str">
        <f t="shared" si="63"/>
        <v/>
      </c>
      <c r="L241" s="12" t="str">
        <f t="shared" si="64"/>
        <v/>
      </c>
      <c r="M241" s="12" t="str">
        <f t="shared" si="58"/>
        <v/>
      </c>
      <c r="N241" s="12" t="str">
        <f t="shared" si="59"/>
        <v/>
      </c>
      <c r="O241" s="12" t="str">
        <f t="shared" si="60"/>
        <v/>
      </c>
      <c r="P241" s="12" t="str">
        <f t="shared" si="61"/>
        <v/>
      </c>
      <c r="Q241" s="12" t="str">
        <f t="shared" si="65"/>
        <v/>
      </c>
      <c r="R241" s="26" t="str">
        <f t="shared" si="62"/>
        <v/>
      </c>
      <c r="S241" s="26" t="str">
        <f t="shared" si="71"/>
        <v/>
      </c>
      <c r="T241" s="26" t="str">
        <f t="shared" si="66"/>
        <v/>
      </c>
      <c r="U241" s="26" t="str">
        <f t="shared" si="67"/>
        <v/>
      </c>
      <c r="V241" s="26" t="str">
        <f t="shared" si="68"/>
        <v/>
      </c>
      <c r="W241" s="20" t="str">
        <f t="shared" si="69"/>
        <v/>
      </c>
      <c r="X241" s="20" t="str">
        <f t="shared" si="70"/>
        <v/>
      </c>
      <c r="Y241" s="86" t="str">
        <f t="shared" si="72"/>
        <v/>
      </c>
      <c r="Z241" s="31"/>
    </row>
    <row r="242" spans="2:26" outlineLevel="1">
      <c r="B242" s="14">
        <f t="shared" si="56"/>
        <v>239</v>
      </c>
      <c r="C242" s="37"/>
      <c r="D242" s="40"/>
      <c r="E242" s="39"/>
      <c r="F242" s="37"/>
      <c r="G242" s="39"/>
      <c r="H242" s="37"/>
      <c r="I242" s="37"/>
      <c r="J242" s="41" t="str">
        <f t="shared" si="57"/>
        <v/>
      </c>
      <c r="K242" s="12" t="str">
        <f t="shared" si="63"/>
        <v/>
      </c>
      <c r="L242" s="12" t="str">
        <f t="shared" si="64"/>
        <v/>
      </c>
      <c r="M242" s="12" t="str">
        <f t="shared" si="58"/>
        <v/>
      </c>
      <c r="N242" s="12" t="str">
        <f t="shared" si="59"/>
        <v/>
      </c>
      <c r="O242" s="12" t="str">
        <f t="shared" si="60"/>
        <v/>
      </c>
      <c r="P242" s="12" t="str">
        <f t="shared" si="61"/>
        <v/>
      </c>
      <c r="Q242" s="12" t="str">
        <f t="shared" si="65"/>
        <v/>
      </c>
      <c r="R242" s="26" t="str">
        <f t="shared" si="62"/>
        <v/>
      </c>
      <c r="S242" s="26" t="str">
        <f t="shared" si="71"/>
        <v/>
      </c>
      <c r="T242" s="26" t="str">
        <f t="shared" si="66"/>
        <v/>
      </c>
      <c r="U242" s="26" t="str">
        <f t="shared" si="67"/>
        <v/>
      </c>
      <c r="V242" s="26" t="str">
        <f t="shared" si="68"/>
        <v/>
      </c>
      <c r="W242" s="20" t="str">
        <f t="shared" si="69"/>
        <v/>
      </c>
      <c r="X242" s="20" t="str">
        <f t="shared" si="70"/>
        <v/>
      </c>
      <c r="Y242" s="86" t="str">
        <f t="shared" si="72"/>
        <v/>
      </c>
      <c r="Z242" s="31"/>
    </row>
    <row r="243" spans="2:26" outlineLevel="1">
      <c r="B243" s="14">
        <f t="shared" si="56"/>
        <v>240</v>
      </c>
      <c r="C243" s="37"/>
      <c r="D243" s="40"/>
      <c r="E243" s="39"/>
      <c r="F243" s="37"/>
      <c r="G243" s="39"/>
      <c r="H243" s="37"/>
      <c r="I243" s="37"/>
      <c r="J243" s="41" t="str">
        <f t="shared" si="57"/>
        <v/>
      </c>
      <c r="K243" s="12" t="str">
        <f t="shared" si="63"/>
        <v/>
      </c>
      <c r="L243" s="12" t="str">
        <f t="shared" si="64"/>
        <v/>
      </c>
      <c r="M243" s="12" t="str">
        <f t="shared" si="58"/>
        <v/>
      </c>
      <c r="N243" s="12" t="str">
        <f t="shared" si="59"/>
        <v/>
      </c>
      <c r="O243" s="12" t="str">
        <f t="shared" si="60"/>
        <v/>
      </c>
      <c r="P243" s="12" t="str">
        <f t="shared" si="61"/>
        <v/>
      </c>
      <c r="Q243" s="12" t="str">
        <f t="shared" si="65"/>
        <v/>
      </c>
      <c r="R243" s="26" t="str">
        <f t="shared" si="62"/>
        <v/>
      </c>
      <c r="S243" s="26" t="str">
        <f t="shared" si="71"/>
        <v/>
      </c>
      <c r="T243" s="26" t="str">
        <f t="shared" si="66"/>
        <v/>
      </c>
      <c r="U243" s="26" t="str">
        <f t="shared" si="67"/>
        <v/>
      </c>
      <c r="V243" s="26" t="str">
        <f t="shared" si="68"/>
        <v/>
      </c>
      <c r="W243" s="20" t="str">
        <f t="shared" si="69"/>
        <v/>
      </c>
      <c r="X243" s="20" t="str">
        <f t="shared" si="70"/>
        <v/>
      </c>
      <c r="Y243" s="86" t="str">
        <f t="shared" si="72"/>
        <v/>
      </c>
      <c r="Z243" s="31"/>
    </row>
    <row r="244" spans="2:26" outlineLevel="1">
      <c r="B244" s="14">
        <f t="shared" si="56"/>
        <v>241</v>
      </c>
      <c r="C244" s="37"/>
      <c r="D244" s="40"/>
      <c r="E244" s="39"/>
      <c r="F244" s="37"/>
      <c r="G244" s="39"/>
      <c r="H244" s="37"/>
      <c r="I244" s="37"/>
      <c r="J244" s="41" t="str">
        <f t="shared" si="57"/>
        <v/>
      </c>
      <c r="K244" s="12" t="str">
        <f t="shared" si="63"/>
        <v/>
      </c>
      <c r="L244" s="12" t="str">
        <f t="shared" si="64"/>
        <v/>
      </c>
      <c r="M244" s="12" t="str">
        <f t="shared" si="58"/>
        <v/>
      </c>
      <c r="N244" s="12" t="str">
        <f t="shared" si="59"/>
        <v/>
      </c>
      <c r="O244" s="12" t="str">
        <f t="shared" si="60"/>
        <v/>
      </c>
      <c r="P244" s="12" t="str">
        <f t="shared" si="61"/>
        <v/>
      </c>
      <c r="Q244" s="12" t="str">
        <f t="shared" si="65"/>
        <v/>
      </c>
      <c r="R244" s="26" t="str">
        <f t="shared" si="62"/>
        <v/>
      </c>
      <c r="S244" s="26" t="str">
        <f t="shared" si="71"/>
        <v/>
      </c>
      <c r="T244" s="26" t="str">
        <f t="shared" si="66"/>
        <v/>
      </c>
      <c r="U244" s="26" t="str">
        <f t="shared" si="67"/>
        <v/>
      </c>
      <c r="V244" s="26" t="str">
        <f t="shared" si="68"/>
        <v/>
      </c>
      <c r="W244" s="20" t="str">
        <f t="shared" si="69"/>
        <v/>
      </c>
      <c r="X244" s="20" t="str">
        <f t="shared" si="70"/>
        <v/>
      </c>
      <c r="Y244" s="86" t="str">
        <f t="shared" si="72"/>
        <v/>
      </c>
      <c r="Z244" s="31"/>
    </row>
    <row r="245" spans="2:26" outlineLevel="1">
      <c r="B245" s="14">
        <f t="shared" si="56"/>
        <v>242</v>
      </c>
      <c r="C245" s="37"/>
      <c r="D245" s="40"/>
      <c r="E245" s="39"/>
      <c r="F245" s="37"/>
      <c r="G245" s="39"/>
      <c r="H245" s="37"/>
      <c r="I245" s="37"/>
      <c r="J245" s="41" t="str">
        <f t="shared" si="57"/>
        <v/>
      </c>
      <c r="K245" s="12" t="str">
        <f t="shared" si="63"/>
        <v/>
      </c>
      <c r="L245" s="12" t="str">
        <f t="shared" si="64"/>
        <v/>
      </c>
      <c r="M245" s="12" t="str">
        <f t="shared" si="58"/>
        <v/>
      </c>
      <c r="N245" s="12" t="str">
        <f t="shared" si="59"/>
        <v/>
      </c>
      <c r="O245" s="12" t="str">
        <f t="shared" si="60"/>
        <v/>
      </c>
      <c r="P245" s="12" t="str">
        <f t="shared" si="61"/>
        <v/>
      </c>
      <c r="Q245" s="12" t="str">
        <f t="shared" si="65"/>
        <v/>
      </c>
      <c r="R245" s="26" t="str">
        <f t="shared" si="62"/>
        <v/>
      </c>
      <c r="S245" s="26" t="str">
        <f t="shared" si="71"/>
        <v/>
      </c>
      <c r="T245" s="26" t="str">
        <f t="shared" si="66"/>
        <v/>
      </c>
      <c r="U245" s="26" t="str">
        <f t="shared" si="67"/>
        <v/>
      </c>
      <c r="V245" s="26" t="str">
        <f t="shared" si="68"/>
        <v/>
      </c>
      <c r="W245" s="20" t="str">
        <f t="shared" si="69"/>
        <v/>
      </c>
      <c r="X245" s="20" t="str">
        <f t="shared" si="70"/>
        <v/>
      </c>
      <c r="Y245" s="86" t="str">
        <f t="shared" si="72"/>
        <v/>
      </c>
      <c r="Z245" s="31"/>
    </row>
    <row r="246" spans="2:26" outlineLevel="1">
      <c r="B246" s="14">
        <f t="shared" si="56"/>
        <v>243</v>
      </c>
      <c r="C246" s="37"/>
      <c r="D246" s="40"/>
      <c r="E246" s="39"/>
      <c r="F246" s="37"/>
      <c r="G246" s="39"/>
      <c r="H246" s="37"/>
      <c r="I246" s="37"/>
      <c r="J246" s="41" t="str">
        <f t="shared" si="57"/>
        <v/>
      </c>
      <c r="K246" s="12" t="str">
        <f t="shared" si="63"/>
        <v/>
      </c>
      <c r="L246" s="12" t="str">
        <f t="shared" si="64"/>
        <v/>
      </c>
      <c r="M246" s="12" t="str">
        <f t="shared" si="58"/>
        <v/>
      </c>
      <c r="N246" s="12" t="str">
        <f t="shared" si="59"/>
        <v/>
      </c>
      <c r="O246" s="12" t="str">
        <f t="shared" si="60"/>
        <v/>
      </c>
      <c r="P246" s="12" t="str">
        <f t="shared" si="61"/>
        <v/>
      </c>
      <c r="Q246" s="12" t="str">
        <f t="shared" si="65"/>
        <v/>
      </c>
      <c r="R246" s="26" t="str">
        <f t="shared" si="62"/>
        <v/>
      </c>
      <c r="S246" s="26" t="str">
        <f t="shared" si="71"/>
        <v/>
      </c>
      <c r="T246" s="26" t="str">
        <f t="shared" si="66"/>
        <v/>
      </c>
      <c r="U246" s="26" t="str">
        <f t="shared" si="67"/>
        <v/>
      </c>
      <c r="V246" s="26" t="str">
        <f t="shared" si="68"/>
        <v/>
      </c>
      <c r="W246" s="20" t="str">
        <f t="shared" si="69"/>
        <v/>
      </c>
      <c r="X246" s="20" t="str">
        <f t="shared" si="70"/>
        <v/>
      </c>
      <c r="Y246" s="86" t="str">
        <f t="shared" si="72"/>
        <v/>
      </c>
      <c r="Z246" s="31"/>
    </row>
    <row r="247" spans="2:26" outlineLevel="1">
      <c r="B247" s="14">
        <f t="shared" si="56"/>
        <v>244</v>
      </c>
      <c r="C247" s="37"/>
      <c r="D247" s="40"/>
      <c r="E247" s="39"/>
      <c r="F247" s="37"/>
      <c r="G247" s="39"/>
      <c r="H247" s="37"/>
      <c r="I247" s="37"/>
      <c r="J247" s="41" t="str">
        <f t="shared" si="57"/>
        <v/>
      </c>
      <c r="K247" s="12" t="str">
        <f t="shared" si="63"/>
        <v/>
      </c>
      <c r="L247" s="12" t="str">
        <f t="shared" si="64"/>
        <v/>
      </c>
      <c r="M247" s="12" t="str">
        <f t="shared" si="58"/>
        <v/>
      </c>
      <c r="N247" s="12" t="str">
        <f t="shared" si="59"/>
        <v/>
      </c>
      <c r="O247" s="12" t="str">
        <f t="shared" si="60"/>
        <v/>
      </c>
      <c r="P247" s="12" t="str">
        <f t="shared" si="61"/>
        <v/>
      </c>
      <c r="Q247" s="12" t="str">
        <f t="shared" si="65"/>
        <v/>
      </c>
      <c r="R247" s="26" t="str">
        <f t="shared" si="62"/>
        <v/>
      </c>
      <c r="S247" s="26" t="str">
        <f t="shared" si="71"/>
        <v/>
      </c>
      <c r="T247" s="26" t="str">
        <f t="shared" si="66"/>
        <v/>
      </c>
      <c r="U247" s="26" t="str">
        <f t="shared" si="67"/>
        <v/>
      </c>
      <c r="V247" s="26" t="str">
        <f t="shared" si="68"/>
        <v/>
      </c>
      <c r="W247" s="20" t="str">
        <f t="shared" si="69"/>
        <v/>
      </c>
      <c r="X247" s="20" t="str">
        <f t="shared" si="70"/>
        <v/>
      </c>
      <c r="Y247" s="86" t="str">
        <f t="shared" si="72"/>
        <v/>
      </c>
      <c r="Z247" s="31"/>
    </row>
    <row r="248" spans="2:26" outlineLevel="1">
      <c r="B248" s="14">
        <f t="shared" si="56"/>
        <v>245</v>
      </c>
      <c r="C248" s="37"/>
      <c r="D248" s="40"/>
      <c r="E248" s="39"/>
      <c r="F248" s="37"/>
      <c r="G248" s="39"/>
      <c r="H248" s="37"/>
      <c r="I248" s="37"/>
      <c r="J248" s="41" t="str">
        <f t="shared" si="57"/>
        <v/>
      </c>
      <c r="K248" s="12" t="str">
        <f t="shared" si="63"/>
        <v/>
      </c>
      <c r="L248" s="12" t="str">
        <f t="shared" si="64"/>
        <v/>
      </c>
      <c r="M248" s="12" t="str">
        <f t="shared" si="58"/>
        <v/>
      </c>
      <c r="N248" s="12" t="str">
        <f t="shared" si="59"/>
        <v/>
      </c>
      <c r="O248" s="12" t="str">
        <f t="shared" si="60"/>
        <v/>
      </c>
      <c r="P248" s="12" t="str">
        <f t="shared" si="61"/>
        <v/>
      </c>
      <c r="Q248" s="12" t="str">
        <f t="shared" si="65"/>
        <v/>
      </c>
      <c r="R248" s="26" t="str">
        <f t="shared" si="62"/>
        <v/>
      </c>
      <c r="S248" s="26" t="str">
        <f t="shared" si="71"/>
        <v/>
      </c>
      <c r="T248" s="26" t="str">
        <f t="shared" si="66"/>
        <v/>
      </c>
      <c r="U248" s="26" t="str">
        <f t="shared" si="67"/>
        <v/>
      </c>
      <c r="V248" s="26" t="str">
        <f t="shared" si="68"/>
        <v/>
      </c>
      <c r="W248" s="20" t="str">
        <f t="shared" si="69"/>
        <v/>
      </c>
      <c r="X248" s="20" t="str">
        <f t="shared" si="70"/>
        <v/>
      </c>
      <c r="Y248" s="86" t="str">
        <f t="shared" si="72"/>
        <v/>
      </c>
      <c r="Z248" s="31"/>
    </row>
    <row r="249" spans="2:26" outlineLevel="1">
      <c r="B249" s="14">
        <f t="shared" si="56"/>
        <v>246</v>
      </c>
      <c r="C249" s="37"/>
      <c r="D249" s="40"/>
      <c r="E249" s="39"/>
      <c r="F249" s="37"/>
      <c r="G249" s="39"/>
      <c r="H249" s="37"/>
      <c r="I249" s="37"/>
      <c r="J249" s="41" t="str">
        <f t="shared" si="57"/>
        <v/>
      </c>
      <c r="K249" s="12" t="str">
        <f t="shared" si="63"/>
        <v/>
      </c>
      <c r="L249" s="12" t="str">
        <f t="shared" si="64"/>
        <v/>
      </c>
      <c r="M249" s="12" t="str">
        <f t="shared" si="58"/>
        <v/>
      </c>
      <c r="N249" s="12" t="str">
        <f t="shared" si="59"/>
        <v/>
      </c>
      <c r="O249" s="12" t="str">
        <f t="shared" si="60"/>
        <v/>
      </c>
      <c r="P249" s="12" t="str">
        <f t="shared" si="61"/>
        <v/>
      </c>
      <c r="Q249" s="12" t="str">
        <f t="shared" si="65"/>
        <v/>
      </c>
      <c r="R249" s="26" t="str">
        <f t="shared" si="62"/>
        <v/>
      </c>
      <c r="S249" s="26" t="str">
        <f t="shared" si="71"/>
        <v/>
      </c>
      <c r="T249" s="26" t="str">
        <f t="shared" si="66"/>
        <v/>
      </c>
      <c r="U249" s="26" t="str">
        <f t="shared" si="67"/>
        <v/>
      </c>
      <c r="V249" s="26" t="str">
        <f t="shared" si="68"/>
        <v/>
      </c>
      <c r="W249" s="20" t="str">
        <f t="shared" si="69"/>
        <v/>
      </c>
      <c r="X249" s="20" t="str">
        <f t="shared" si="70"/>
        <v/>
      </c>
      <c r="Y249" s="86" t="str">
        <f t="shared" si="72"/>
        <v/>
      </c>
      <c r="Z249" s="31"/>
    </row>
    <row r="250" spans="2:26" outlineLevel="1">
      <c r="B250" s="14">
        <f t="shared" si="56"/>
        <v>247</v>
      </c>
      <c r="C250" s="37"/>
      <c r="D250" s="40"/>
      <c r="E250" s="39"/>
      <c r="F250" s="37"/>
      <c r="G250" s="39"/>
      <c r="H250" s="37"/>
      <c r="I250" s="37"/>
      <c r="J250" s="41" t="str">
        <f t="shared" si="57"/>
        <v/>
      </c>
      <c r="K250" s="12" t="str">
        <f t="shared" si="63"/>
        <v/>
      </c>
      <c r="L250" s="12" t="str">
        <f t="shared" si="64"/>
        <v/>
      </c>
      <c r="M250" s="12" t="str">
        <f t="shared" si="58"/>
        <v/>
      </c>
      <c r="N250" s="12" t="str">
        <f t="shared" si="59"/>
        <v/>
      </c>
      <c r="O250" s="12" t="str">
        <f t="shared" si="60"/>
        <v/>
      </c>
      <c r="P250" s="12" t="str">
        <f t="shared" si="61"/>
        <v/>
      </c>
      <c r="Q250" s="12" t="str">
        <f t="shared" si="65"/>
        <v/>
      </c>
      <c r="R250" s="26" t="str">
        <f t="shared" si="62"/>
        <v/>
      </c>
      <c r="S250" s="26" t="str">
        <f t="shared" si="71"/>
        <v/>
      </c>
      <c r="T250" s="26" t="str">
        <f t="shared" si="66"/>
        <v/>
      </c>
      <c r="U250" s="26" t="str">
        <f t="shared" si="67"/>
        <v/>
      </c>
      <c r="V250" s="26" t="str">
        <f t="shared" si="68"/>
        <v/>
      </c>
      <c r="W250" s="20" t="str">
        <f t="shared" si="69"/>
        <v/>
      </c>
      <c r="X250" s="20" t="str">
        <f t="shared" si="70"/>
        <v/>
      </c>
      <c r="Y250" s="86" t="str">
        <f t="shared" si="72"/>
        <v/>
      </c>
      <c r="Z250" s="31"/>
    </row>
    <row r="251" spans="2:26" outlineLevel="1">
      <c r="B251" s="14">
        <f t="shared" si="56"/>
        <v>248</v>
      </c>
      <c r="C251" s="37"/>
      <c r="D251" s="40"/>
      <c r="E251" s="39"/>
      <c r="F251" s="37"/>
      <c r="G251" s="39"/>
      <c r="H251" s="37"/>
      <c r="I251" s="37"/>
      <c r="J251" s="41" t="str">
        <f t="shared" si="57"/>
        <v/>
      </c>
      <c r="K251" s="12" t="str">
        <f t="shared" si="63"/>
        <v/>
      </c>
      <c r="L251" s="12" t="str">
        <f t="shared" si="64"/>
        <v/>
      </c>
      <c r="M251" s="12" t="str">
        <f t="shared" si="58"/>
        <v/>
      </c>
      <c r="N251" s="12" t="str">
        <f t="shared" si="59"/>
        <v/>
      </c>
      <c r="O251" s="12" t="str">
        <f t="shared" si="60"/>
        <v/>
      </c>
      <c r="P251" s="12" t="str">
        <f t="shared" si="61"/>
        <v/>
      </c>
      <c r="Q251" s="12" t="str">
        <f t="shared" si="65"/>
        <v/>
      </c>
      <c r="R251" s="26" t="str">
        <f t="shared" si="62"/>
        <v/>
      </c>
      <c r="S251" s="26" t="str">
        <f t="shared" si="71"/>
        <v/>
      </c>
      <c r="T251" s="26" t="str">
        <f t="shared" si="66"/>
        <v/>
      </c>
      <c r="U251" s="26" t="str">
        <f t="shared" si="67"/>
        <v/>
      </c>
      <c r="V251" s="26" t="str">
        <f t="shared" si="68"/>
        <v/>
      </c>
      <c r="W251" s="20" t="str">
        <f t="shared" si="69"/>
        <v/>
      </c>
      <c r="X251" s="20" t="str">
        <f t="shared" si="70"/>
        <v/>
      </c>
      <c r="Y251" s="86" t="str">
        <f t="shared" si="72"/>
        <v/>
      </c>
      <c r="Z251" s="31"/>
    </row>
    <row r="252" spans="2:26" outlineLevel="1">
      <c r="B252" s="14">
        <f t="shared" si="56"/>
        <v>249</v>
      </c>
      <c r="C252" s="37"/>
      <c r="D252" s="40"/>
      <c r="E252" s="39"/>
      <c r="F252" s="37"/>
      <c r="G252" s="39"/>
      <c r="H252" s="37"/>
      <c r="I252" s="37"/>
      <c r="J252" s="41" t="str">
        <f t="shared" si="57"/>
        <v/>
      </c>
      <c r="K252" s="12" t="str">
        <f t="shared" si="63"/>
        <v/>
      </c>
      <c r="L252" s="12" t="str">
        <f t="shared" si="64"/>
        <v/>
      </c>
      <c r="M252" s="12" t="str">
        <f t="shared" si="58"/>
        <v/>
      </c>
      <c r="N252" s="12" t="str">
        <f t="shared" si="59"/>
        <v/>
      </c>
      <c r="O252" s="12" t="str">
        <f t="shared" si="60"/>
        <v/>
      </c>
      <c r="P252" s="12" t="str">
        <f t="shared" si="61"/>
        <v/>
      </c>
      <c r="Q252" s="12" t="str">
        <f t="shared" si="65"/>
        <v/>
      </c>
      <c r="R252" s="26" t="str">
        <f t="shared" si="62"/>
        <v/>
      </c>
      <c r="S252" s="26" t="str">
        <f t="shared" si="71"/>
        <v/>
      </c>
      <c r="T252" s="26" t="str">
        <f t="shared" si="66"/>
        <v/>
      </c>
      <c r="U252" s="26" t="str">
        <f t="shared" si="67"/>
        <v/>
      </c>
      <c r="V252" s="26" t="str">
        <f t="shared" si="68"/>
        <v/>
      </c>
      <c r="W252" s="20" t="str">
        <f t="shared" si="69"/>
        <v/>
      </c>
      <c r="X252" s="20" t="str">
        <f t="shared" si="70"/>
        <v/>
      </c>
      <c r="Y252" s="86" t="str">
        <f t="shared" si="72"/>
        <v/>
      </c>
      <c r="Z252" s="31"/>
    </row>
    <row r="253" spans="2:26" outlineLevel="1">
      <c r="B253" s="14">
        <f t="shared" si="56"/>
        <v>250</v>
      </c>
      <c r="C253" s="37"/>
      <c r="D253" s="40"/>
      <c r="E253" s="39"/>
      <c r="F253" s="37"/>
      <c r="G253" s="39"/>
      <c r="H253" s="37"/>
      <c r="I253" s="37"/>
      <c r="J253" s="41" t="str">
        <f t="shared" si="57"/>
        <v/>
      </c>
      <c r="K253" s="12" t="str">
        <f t="shared" si="63"/>
        <v/>
      </c>
      <c r="L253" s="12" t="str">
        <f t="shared" si="64"/>
        <v/>
      </c>
      <c r="M253" s="12" t="str">
        <f t="shared" si="58"/>
        <v/>
      </c>
      <c r="N253" s="12" t="str">
        <f t="shared" si="59"/>
        <v/>
      </c>
      <c r="O253" s="12" t="str">
        <f t="shared" si="60"/>
        <v/>
      </c>
      <c r="P253" s="12" t="str">
        <f t="shared" si="61"/>
        <v/>
      </c>
      <c r="Q253" s="12" t="str">
        <f t="shared" si="65"/>
        <v/>
      </c>
      <c r="R253" s="26" t="str">
        <f t="shared" si="62"/>
        <v/>
      </c>
      <c r="S253" s="26" t="str">
        <f t="shared" si="71"/>
        <v/>
      </c>
      <c r="T253" s="26" t="str">
        <f t="shared" si="66"/>
        <v/>
      </c>
      <c r="U253" s="26" t="str">
        <f t="shared" si="67"/>
        <v/>
      </c>
      <c r="V253" s="26" t="str">
        <f t="shared" si="68"/>
        <v/>
      </c>
      <c r="W253" s="20" t="str">
        <f t="shared" si="69"/>
        <v/>
      </c>
      <c r="X253" s="20" t="str">
        <f t="shared" si="70"/>
        <v/>
      </c>
      <c r="Y253" s="86" t="str">
        <f t="shared" si="72"/>
        <v/>
      </c>
      <c r="Z253" s="31"/>
    </row>
    <row r="254" spans="2:26" outlineLevel="1">
      <c r="B254" s="14">
        <f t="shared" si="56"/>
        <v>251</v>
      </c>
      <c r="C254" s="37"/>
      <c r="D254" s="40"/>
      <c r="E254" s="39"/>
      <c r="F254" s="37"/>
      <c r="G254" s="39"/>
      <c r="H254" s="37"/>
      <c r="I254" s="37"/>
      <c r="J254" s="41" t="str">
        <f t="shared" si="57"/>
        <v/>
      </c>
      <c r="K254" s="12" t="str">
        <f t="shared" si="63"/>
        <v/>
      </c>
      <c r="L254" s="12" t="str">
        <f t="shared" si="64"/>
        <v/>
      </c>
      <c r="M254" s="12" t="str">
        <f t="shared" si="58"/>
        <v/>
      </c>
      <c r="N254" s="12" t="str">
        <f t="shared" si="59"/>
        <v/>
      </c>
      <c r="O254" s="12" t="str">
        <f t="shared" si="60"/>
        <v/>
      </c>
      <c r="P254" s="12" t="str">
        <f t="shared" si="61"/>
        <v/>
      </c>
      <c r="Q254" s="12" t="str">
        <f t="shared" si="65"/>
        <v/>
      </c>
      <c r="R254" s="26" t="str">
        <f t="shared" si="62"/>
        <v/>
      </c>
      <c r="S254" s="26" t="str">
        <f t="shared" si="71"/>
        <v/>
      </c>
      <c r="T254" s="26" t="str">
        <f t="shared" si="66"/>
        <v/>
      </c>
      <c r="U254" s="26" t="str">
        <f t="shared" si="67"/>
        <v/>
      </c>
      <c r="V254" s="26" t="str">
        <f t="shared" si="68"/>
        <v/>
      </c>
      <c r="W254" s="20" t="str">
        <f t="shared" si="69"/>
        <v/>
      </c>
      <c r="X254" s="20" t="str">
        <f t="shared" si="70"/>
        <v/>
      </c>
      <c r="Y254" s="86" t="str">
        <f t="shared" si="72"/>
        <v/>
      </c>
      <c r="Z254" s="31"/>
    </row>
    <row r="255" spans="2:26" outlineLevel="1">
      <c r="B255" s="14">
        <f t="shared" si="56"/>
        <v>252</v>
      </c>
      <c r="C255" s="37"/>
      <c r="D255" s="40"/>
      <c r="E255" s="39"/>
      <c r="F255" s="37"/>
      <c r="G255" s="39"/>
      <c r="H255" s="37"/>
      <c r="I255" s="37"/>
      <c r="J255" s="41" t="str">
        <f t="shared" si="57"/>
        <v/>
      </c>
      <c r="K255" s="12" t="str">
        <f t="shared" si="63"/>
        <v/>
      </c>
      <c r="L255" s="12" t="str">
        <f t="shared" si="64"/>
        <v/>
      </c>
      <c r="M255" s="12" t="str">
        <f t="shared" si="58"/>
        <v/>
      </c>
      <c r="N255" s="12" t="str">
        <f t="shared" si="59"/>
        <v/>
      </c>
      <c r="O255" s="12" t="str">
        <f t="shared" si="60"/>
        <v/>
      </c>
      <c r="P255" s="12" t="str">
        <f t="shared" si="61"/>
        <v/>
      </c>
      <c r="Q255" s="12" t="str">
        <f t="shared" si="65"/>
        <v/>
      </c>
      <c r="R255" s="26" t="str">
        <f t="shared" si="62"/>
        <v/>
      </c>
      <c r="S255" s="26" t="str">
        <f t="shared" si="71"/>
        <v/>
      </c>
      <c r="T255" s="26" t="str">
        <f t="shared" si="66"/>
        <v/>
      </c>
      <c r="U255" s="26" t="str">
        <f t="shared" si="67"/>
        <v/>
      </c>
      <c r="V255" s="26" t="str">
        <f t="shared" si="68"/>
        <v/>
      </c>
      <c r="W255" s="20" t="str">
        <f t="shared" si="69"/>
        <v/>
      </c>
      <c r="X255" s="20" t="str">
        <f t="shared" si="70"/>
        <v/>
      </c>
      <c r="Y255" s="86" t="str">
        <f t="shared" si="72"/>
        <v/>
      </c>
      <c r="Z255" s="31"/>
    </row>
    <row r="256" spans="2:26" outlineLevel="1">
      <c r="B256" s="14">
        <f t="shared" si="56"/>
        <v>253</v>
      </c>
      <c r="C256" s="37"/>
      <c r="D256" s="40"/>
      <c r="E256" s="39"/>
      <c r="F256" s="37"/>
      <c r="G256" s="39"/>
      <c r="H256" s="37"/>
      <c r="I256" s="37"/>
      <c r="J256" s="41" t="str">
        <f t="shared" si="57"/>
        <v/>
      </c>
      <c r="K256" s="12" t="str">
        <f t="shared" si="63"/>
        <v/>
      </c>
      <c r="L256" s="12" t="str">
        <f t="shared" si="64"/>
        <v/>
      </c>
      <c r="M256" s="12" t="str">
        <f t="shared" si="58"/>
        <v/>
      </c>
      <c r="N256" s="12" t="str">
        <f t="shared" si="59"/>
        <v/>
      </c>
      <c r="O256" s="12" t="str">
        <f t="shared" si="60"/>
        <v/>
      </c>
      <c r="P256" s="12" t="str">
        <f t="shared" si="61"/>
        <v/>
      </c>
      <c r="Q256" s="12" t="str">
        <f t="shared" si="65"/>
        <v/>
      </c>
      <c r="R256" s="26" t="str">
        <f t="shared" si="62"/>
        <v/>
      </c>
      <c r="S256" s="26" t="str">
        <f t="shared" si="71"/>
        <v/>
      </c>
      <c r="T256" s="26" t="str">
        <f t="shared" si="66"/>
        <v/>
      </c>
      <c r="U256" s="26" t="str">
        <f t="shared" si="67"/>
        <v/>
      </c>
      <c r="V256" s="26" t="str">
        <f t="shared" si="68"/>
        <v/>
      </c>
      <c r="W256" s="20" t="str">
        <f t="shared" si="69"/>
        <v/>
      </c>
      <c r="X256" s="20" t="str">
        <f t="shared" si="70"/>
        <v/>
      </c>
      <c r="Y256" s="86" t="str">
        <f t="shared" si="72"/>
        <v/>
      </c>
      <c r="Z256" s="31"/>
    </row>
    <row r="257" spans="2:26" outlineLevel="1">
      <c r="B257" s="14">
        <f t="shared" si="56"/>
        <v>254</v>
      </c>
      <c r="C257" s="37"/>
      <c r="D257" s="40"/>
      <c r="E257" s="39"/>
      <c r="F257" s="37"/>
      <c r="G257" s="39"/>
      <c r="H257" s="37"/>
      <c r="I257" s="37"/>
      <c r="J257" s="41" t="str">
        <f t="shared" si="57"/>
        <v/>
      </c>
      <c r="K257" s="12" t="str">
        <f t="shared" si="63"/>
        <v/>
      </c>
      <c r="L257" s="12" t="str">
        <f t="shared" si="64"/>
        <v/>
      </c>
      <c r="M257" s="12" t="str">
        <f t="shared" si="58"/>
        <v/>
      </c>
      <c r="N257" s="12" t="str">
        <f t="shared" si="59"/>
        <v/>
      </c>
      <c r="O257" s="12" t="str">
        <f t="shared" si="60"/>
        <v/>
      </c>
      <c r="P257" s="12" t="str">
        <f t="shared" si="61"/>
        <v/>
      </c>
      <c r="Q257" s="12" t="str">
        <f t="shared" si="65"/>
        <v/>
      </c>
      <c r="R257" s="26" t="str">
        <f t="shared" si="62"/>
        <v/>
      </c>
      <c r="S257" s="26" t="str">
        <f t="shared" si="71"/>
        <v/>
      </c>
      <c r="T257" s="26" t="str">
        <f t="shared" si="66"/>
        <v/>
      </c>
      <c r="U257" s="26" t="str">
        <f t="shared" si="67"/>
        <v/>
      </c>
      <c r="V257" s="26" t="str">
        <f t="shared" si="68"/>
        <v/>
      </c>
      <c r="W257" s="20" t="str">
        <f t="shared" si="69"/>
        <v/>
      </c>
      <c r="X257" s="20" t="str">
        <f t="shared" si="70"/>
        <v/>
      </c>
      <c r="Y257" s="86" t="str">
        <f t="shared" si="72"/>
        <v/>
      </c>
      <c r="Z257" s="31"/>
    </row>
    <row r="258" spans="2:26" outlineLevel="1">
      <c r="B258" s="14">
        <f t="shared" ref="B258:B321" si="73">1+B257</f>
        <v>255</v>
      </c>
      <c r="C258" s="37"/>
      <c r="D258" s="40"/>
      <c r="E258" s="39"/>
      <c r="F258" s="37"/>
      <c r="G258" s="39"/>
      <c r="H258" s="37"/>
      <c r="I258" s="37"/>
      <c r="J258" s="41" t="str">
        <f t="shared" si="57"/>
        <v/>
      </c>
      <c r="K258" s="12" t="str">
        <f t="shared" si="63"/>
        <v/>
      </c>
      <c r="L258" s="12" t="str">
        <f t="shared" si="64"/>
        <v/>
      </c>
      <c r="M258" s="12" t="str">
        <f t="shared" si="58"/>
        <v/>
      </c>
      <c r="N258" s="12" t="str">
        <f t="shared" si="59"/>
        <v/>
      </c>
      <c r="O258" s="12" t="str">
        <f t="shared" si="60"/>
        <v/>
      </c>
      <c r="P258" s="12" t="str">
        <f t="shared" si="61"/>
        <v/>
      </c>
      <c r="Q258" s="12" t="str">
        <f t="shared" si="65"/>
        <v/>
      </c>
      <c r="R258" s="26" t="str">
        <f t="shared" si="62"/>
        <v/>
      </c>
      <c r="S258" s="26" t="str">
        <f t="shared" si="71"/>
        <v/>
      </c>
      <c r="T258" s="26" t="str">
        <f t="shared" si="66"/>
        <v/>
      </c>
      <c r="U258" s="26" t="str">
        <f t="shared" si="67"/>
        <v/>
      </c>
      <c r="V258" s="26" t="str">
        <f t="shared" si="68"/>
        <v/>
      </c>
      <c r="W258" s="20" t="str">
        <f t="shared" si="69"/>
        <v/>
      </c>
      <c r="X258" s="20" t="str">
        <f t="shared" si="70"/>
        <v/>
      </c>
      <c r="Y258" s="86" t="str">
        <f t="shared" si="72"/>
        <v/>
      </c>
      <c r="Z258" s="31"/>
    </row>
    <row r="259" spans="2:26" outlineLevel="1">
      <c r="B259" s="14">
        <f t="shared" si="73"/>
        <v>256</v>
      </c>
      <c r="C259" s="37"/>
      <c r="D259" s="40"/>
      <c r="E259" s="39"/>
      <c r="F259" s="37"/>
      <c r="G259" s="39"/>
      <c r="H259" s="37"/>
      <c r="I259" s="37"/>
      <c r="J259" s="41" t="str">
        <f t="shared" si="57"/>
        <v/>
      </c>
      <c r="K259" s="12" t="str">
        <f t="shared" si="63"/>
        <v/>
      </c>
      <c r="L259" s="12" t="str">
        <f t="shared" si="64"/>
        <v/>
      </c>
      <c r="M259" s="12" t="str">
        <f t="shared" si="58"/>
        <v/>
      </c>
      <c r="N259" s="12" t="str">
        <f t="shared" si="59"/>
        <v/>
      </c>
      <c r="O259" s="12" t="str">
        <f t="shared" si="60"/>
        <v/>
      </c>
      <c r="P259" s="12" t="str">
        <f t="shared" si="61"/>
        <v/>
      </c>
      <c r="Q259" s="12" t="str">
        <f t="shared" si="65"/>
        <v/>
      </c>
      <c r="R259" s="26" t="str">
        <f t="shared" si="62"/>
        <v/>
      </c>
      <c r="S259" s="26" t="str">
        <f t="shared" si="71"/>
        <v/>
      </c>
      <c r="T259" s="26" t="str">
        <f t="shared" si="66"/>
        <v/>
      </c>
      <c r="U259" s="26" t="str">
        <f t="shared" si="67"/>
        <v/>
      </c>
      <c r="V259" s="26" t="str">
        <f t="shared" si="68"/>
        <v/>
      </c>
      <c r="W259" s="20" t="str">
        <f t="shared" si="69"/>
        <v/>
      </c>
      <c r="X259" s="20" t="str">
        <f t="shared" si="70"/>
        <v/>
      </c>
      <c r="Y259" s="86" t="str">
        <f t="shared" si="72"/>
        <v/>
      </c>
      <c r="Z259" s="31"/>
    </row>
    <row r="260" spans="2:26" outlineLevel="1">
      <c r="B260" s="14">
        <f t="shared" si="73"/>
        <v>257</v>
      </c>
      <c r="C260" s="37"/>
      <c r="D260" s="40"/>
      <c r="E260" s="39"/>
      <c r="F260" s="37"/>
      <c r="G260" s="39"/>
      <c r="H260" s="37"/>
      <c r="I260" s="37"/>
      <c r="J260" s="41" t="str">
        <f t="shared" ref="J260:J323" si="74">IF(D260="","",+$E$2*D260)</f>
        <v/>
      </c>
      <c r="K260" s="12" t="str">
        <f t="shared" si="63"/>
        <v/>
      </c>
      <c r="L260" s="12" t="str">
        <f t="shared" si="64"/>
        <v/>
      </c>
      <c r="M260" s="12" t="str">
        <f t="shared" ref="M260:M323" si="75">IF(E260="","",IF($L260="x",E260/12*3.14,(LEFT($E260,FIND("*",$E260)-1)+0)*12/144*2+(RIGHT($E260,LEN($E260)-FIND("*",$E260)))*12/144*2))</f>
        <v/>
      </c>
      <c r="N260" s="12" t="str">
        <f t="shared" ref="N260:N323" si="76">IF(E260="","",M260*IF(I260="y",MAX(0,J260-$AC$13),J260))</f>
        <v/>
      </c>
      <c r="O260" s="12" t="str">
        <f t="shared" ref="O260:O323" si="77">IF(E260="","",$AC$5*N260)</f>
        <v/>
      </c>
      <c r="P260" s="12" t="str">
        <f t="shared" ref="P260:P323" si="78">IF(D260="","",IFERROR(IF(ISERROR(FIND("*",$E260)),0,ROUND((O260*$AC$6),-1)),""))</f>
        <v/>
      </c>
      <c r="Q260" s="12" t="str">
        <f t="shared" si="65"/>
        <v/>
      </c>
      <c r="R260" s="26" t="str">
        <f t="shared" ref="R260:R323" si="79">IF(E260="","",IF(F260="x",N260*$AC$7,0))</f>
        <v/>
      </c>
      <c r="S260" s="26" t="str">
        <f t="shared" si="71"/>
        <v/>
      </c>
      <c r="T260" s="26" t="str">
        <f t="shared" si="66"/>
        <v/>
      </c>
      <c r="U260" s="26" t="str">
        <f t="shared" si="67"/>
        <v/>
      </c>
      <c r="V260" s="26" t="str">
        <f t="shared" si="68"/>
        <v/>
      </c>
      <c r="W260" s="20" t="str">
        <f t="shared" si="69"/>
        <v/>
      </c>
      <c r="X260" s="20" t="str">
        <f t="shared" si="70"/>
        <v/>
      </c>
      <c r="Y260" s="86" t="str">
        <f t="shared" si="72"/>
        <v/>
      </c>
      <c r="Z260" s="31"/>
    </row>
    <row r="261" spans="2:26" outlineLevel="1">
      <c r="B261" s="14">
        <f t="shared" si="73"/>
        <v>258</v>
      </c>
      <c r="C261" s="37"/>
      <c r="D261" s="40"/>
      <c r="E261" s="39"/>
      <c r="F261" s="37"/>
      <c r="G261" s="39"/>
      <c r="H261" s="37"/>
      <c r="I261" s="37"/>
      <c r="J261" s="41" t="str">
        <f t="shared" si="74"/>
        <v/>
      </c>
      <c r="K261" s="12" t="str">
        <f t="shared" ref="K261:K324" si="80">IF($D261="","",IF(ISERROR(FIND("*",$E261)),"","x"))</f>
        <v/>
      </c>
      <c r="L261" s="12" t="str">
        <f t="shared" ref="L261:L324" si="81">IF($D261="","",IF(ISERROR(FIND("*",$E261)),"x",""))</f>
        <v/>
      </c>
      <c r="M261" s="12" t="str">
        <f t="shared" si="75"/>
        <v/>
      </c>
      <c r="N261" s="12" t="str">
        <f t="shared" si="76"/>
        <v/>
      </c>
      <c r="O261" s="12" t="str">
        <f t="shared" si="77"/>
        <v/>
      </c>
      <c r="P261" s="12" t="str">
        <f t="shared" si="78"/>
        <v/>
      </c>
      <c r="Q261" s="12" t="str">
        <f t="shared" ref="Q261:Q324" si="82">IF(D261="","",IFERROR(IF(ISERROR(FIND("*",$E261)),INDEX($AP$5:$AP$16,MATCH($E261,$AL$5:$AL$16,0),1)*$J261,0),""))</f>
        <v/>
      </c>
      <c r="R261" s="26" t="str">
        <f t="shared" si="79"/>
        <v/>
      </c>
      <c r="S261" s="26" t="str">
        <f t="shared" si="71"/>
        <v/>
      </c>
      <c r="T261" s="26" t="str">
        <f t="shared" ref="T261:T324" si="83">IF(E261="","",IF(H261="x",IF(G261="x",0,25),0))</f>
        <v/>
      </c>
      <c r="U261" s="26" t="str">
        <f t="shared" ref="U261:U324" si="84">IF(D261="","",SUM(P261,R261,S261,T261)*$U$2)</f>
        <v/>
      </c>
      <c r="V261" s="26" t="str">
        <f t="shared" ref="V261:V324" si="85">IF(D261="","",SUM($Q261)*$V$2)</f>
        <v/>
      </c>
      <c r="W261" s="20" t="str">
        <f t="shared" ref="W261:W324" si="86">IF($D261="","",SUM(P261:U261))</f>
        <v/>
      </c>
      <c r="X261" s="20" t="str">
        <f t="shared" ref="X261:X324" si="87">IF(J261="","",ROUNDUP(J261*$AC$9+IF(R261=0,0,$AC$8*J261)+IF(G261="x",$AC$12,0)+IF(H261="x",0.5*25,0),-1))</f>
        <v/>
      </c>
      <c r="Y261" s="86" t="str">
        <f t="shared" si="72"/>
        <v/>
      </c>
      <c r="Z261" s="31"/>
    </row>
    <row r="262" spans="2:26" outlineLevel="1">
      <c r="B262" s="14">
        <f t="shared" si="73"/>
        <v>259</v>
      </c>
      <c r="C262" s="37"/>
      <c r="D262" s="40"/>
      <c r="E262" s="39"/>
      <c r="F262" s="37"/>
      <c r="G262" s="39"/>
      <c r="H262" s="37"/>
      <c r="I262" s="37"/>
      <c r="J262" s="41" t="str">
        <f t="shared" si="74"/>
        <v/>
      </c>
      <c r="K262" s="12" t="str">
        <f t="shared" si="80"/>
        <v/>
      </c>
      <c r="L262" s="12" t="str">
        <f t="shared" si="81"/>
        <v/>
      </c>
      <c r="M262" s="12" t="str">
        <f t="shared" si="75"/>
        <v/>
      </c>
      <c r="N262" s="12" t="str">
        <f t="shared" si="76"/>
        <v/>
      </c>
      <c r="O262" s="12" t="str">
        <f t="shared" si="77"/>
        <v/>
      </c>
      <c r="P262" s="12" t="str">
        <f t="shared" si="78"/>
        <v/>
      </c>
      <c r="Q262" s="12" t="str">
        <f t="shared" si="82"/>
        <v/>
      </c>
      <c r="R262" s="26" t="str">
        <f t="shared" si="79"/>
        <v/>
      </c>
      <c r="S262" s="26" t="str">
        <f t="shared" ref="S262:S325" si="88">IF(E262="","",IF(I262="x",$AC$13*INDEX($AN$19:$AN$30,MATCH($E262,$AL$19:$AL$30,0),1)*1.25,0))</f>
        <v/>
      </c>
      <c r="T262" s="26" t="str">
        <f t="shared" si="83"/>
        <v/>
      </c>
      <c r="U262" s="26" t="str">
        <f t="shared" si="84"/>
        <v/>
      </c>
      <c r="V262" s="26" t="str">
        <f t="shared" si="85"/>
        <v/>
      </c>
      <c r="W262" s="20" t="str">
        <f t="shared" si="86"/>
        <v/>
      </c>
      <c r="X262" s="20" t="str">
        <f t="shared" si="87"/>
        <v/>
      </c>
      <c r="Y262" s="86" t="str">
        <f t="shared" si="72"/>
        <v/>
      </c>
      <c r="Z262" s="31"/>
    </row>
    <row r="263" spans="2:26" outlineLevel="1">
      <c r="B263" s="14">
        <f t="shared" si="73"/>
        <v>260</v>
      </c>
      <c r="C263" s="37"/>
      <c r="D263" s="40"/>
      <c r="E263" s="39"/>
      <c r="F263" s="37"/>
      <c r="G263" s="39"/>
      <c r="H263" s="37"/>
      <c r="I263" s="37"/>
      <c r="J263" s="41" t="str">
        <f t="shared" si="74"/>
        <v/>
      </c>
      <c r="K263" s="12" t="str">
        <f t="shared" si="80"/>
        <v/>
      </c>
      <c r="L263" s="12" t="str">
        <f t="shared" si="81"/>
        <v/>
      </c>
      <c r="M263" s="12" t="str">
        <f t="shared" si="75"/>
        <v/>
      </c>
      <c r="N263" s="12" t="str">
        <f t="shared" si="76"/>
        <v/>
      </c>
      <c r="O263" s="12" t="str">
        <f t="shared" si="77"/>
        <v/>
      </c>
      <c r="P263" s="12" t="str">
        <f t="shared" si="78"/>
        <v/>
      </c>
      <c r="Q263" s="12" t="str">
        <f t="shared" si="82"/>
        <v/>
      </c>
      <c r="R263" s="26" t="str">
        <f t="shared" si="79"/>
        <v/>
      </c>
      <c r="S263" s="26" t="str">
        <f t="shared" si="88"/>
        <v/>
      </c>
      <c r="T263" s="26" t="str">
        <f t="shared" si="83"/>
        <v/>
      </c>
      <c r="U263" s="26" t="str">
        <f t="shared" si="84"/>
        <v/>
      </c>
      <c r="V263" s="26" t="str">
        <f t="shared" si="85"/>
        <v/>
      </c>
      <c r="W263" s="20" t="str">
        <f t="shared" si="86"/>
        <v/>
      </c>
      <c r="X263" s="20" t="str">
        <f t="shared" si="87"/>
        <v/>
      </c>
      <c r="Y263" s="86" t="str">
        <f t="shared" si="72"/>
        <v/>
      </c>
      <c r="Z263" s="31"/>
    </row>
    <row r="264" spans="2:26" outlineLevel="1">
      <c r="B264" s="14">
        <f t="shared" si="73"/>
        <v>261</v>
      </c>
      <c r="C264" s="37"/>
      <c r="D264" s="40"/>
      <c r="E264" s="39"/>
      <c r="F264" s="37"/>
      <c r="G264" s="39"/>
      <c r="H264" s="37"/>
      <c r="I264" s="37"/>
      <c r="J264" s="41" t="str">
        <f t="shared" si="74"/>
        <v/>
      </c>
      <c r="K264" s="12" t="str">
        <f t="shared" si="80"/>
        <v/>
      </c>
      <c r="L264" s="12" t="str">
        <f t="shared" si="81"/>
        <v/>
      </c>
      <c r="M264" s="12" t="str">
        <f t="shared" si="75"/>
        <v/>
      </c>
      <c r="N264" s="12" t="str">
        <f t="shared" si="76"/>
        <v/>
      </c>
      <c r="O264" s="12" t="str">
        <f t="shared" si="77"/>
        <v/>
      </c>
      <c r="P264" s="12" t="str">
        <f t="shared" si="78"/>
        <v/>
      </c>
      <c r="Q264" s="12" t="str">
        <f t="shared" si="82"/>
        <v/>
      </c>
      <c r="R264" s="26" t="str">
        <f t="shared" si="79"/>
        <v/>
      </c>
      <c r="S264" s="26" t="str">
        <f t="shared" si="88"/>
        <v/>
      </c>
      <c r="T264" s="26" t="str">
        <f t="shared" si="83"/>
        <v/>
      </c>
      <c r="U264" s="26" t="str">
        <f t="shared" si="84"/>
        <v/>
      </c>
      <c r="V264" s="26" t="str">
        <f t="shared" si="85"/>
        <v/>
      </c>
      <c r="W264" s="20" t="str">
        <f t="shared" si="86"/>
        <v/>
      </c>
      <c r="X264" s="20" t="str">
        <f t="shared" si="87"/>
        <v/>
      </c>
      <c r="Y264" s="86" t="str">
        <f t="shared" si="72"/>
        <v/>
      </c>
      <c r="Z264" s="31"/>
    </row>
    <row r="265" spans="2:26" outlineLevel="1">
      <c r="B265" s="14">
        <f t="shared" si="73"/>
        <v>262</v>
      </c>
      <c r="C265" s="37"/>
      <c r="D265" s="40"/>
      <c r="E265" s="39"/>
      <c r="F265" s="37"/>
      <c r="G265" s="39"/>
      <c r="H265" s="37"/>
      <c r="I265" s="37"/>
      <c r="J265" s="41" t="str">
        <f t="shared" si="74"/>
        <v/>
      </c>
      <c r="K265" s="12" t="str">
        <f t="shared" si="80"/>
        <v/>
      </c>
      <c r="L265" s="12" t="str">
        <f t="shared" si="81"/>
        <v/>
      </c>
      <c r="M265" s="12" t="str">
        <f t="shared" si="75"/>
        <v/>
      </c>
      <c r="N265" s="12" t="str">
        <f t="shared" si="76"/>
        <v/>
      </c>
      <c r="O265" s="12" t="str">
        <f t="shared" si="77"/>
        <v/>
      </c>
      <c r="P265" s="12" t="str">
        <f t="shared" si="78"/>
        <v/>
      </c>
      <c r="Q265" s="12" t="str">
        <f t="shared" si="82"/>
        <v/>
      </c>
      <c r="R265" s="26" t="str">
        <f t="shared" si="79"/>
        <v/>
      </c>
      <c r="S265" s="26" t="str">
        <f t="shared" si="88"/>
        <v/>
      </c>
      <c r="T265" s="26" t="str">
        <f t="shared" si="83"/>
        <v/>
      </c>
      <c r="U265" s="26" t="str">
        <f t="shared" si="84"/>
        <v/>
      </c>
      <c r="V265" s="26" t="str">
        <f t="shared" si="85"/>
        <v/>
      </c>
      <c r="W265" s="20" t="str">
        <f t="shared" si="86"/>
        <v/>
      </c>
      <c r="X265" s="20" t="str">
        <f t="shared" si="87"/>
        <v/>
      </c>
      <c r="Y265" s="86" t="str">
        <f t="shared" si="72"/>
        <v/>
      </c>
      <c r="Z265" s="31"/>
    </row>
    <row r="266" spans="2:26" outlineLevel="1">
      <c r="B266" s="14">
        <f t="shared" si="73"/>
        <v>263</v>
      </c>
      <c r="C266" s="37"/>
      <c r="D266" s="40"/>
      <c r="E266" s="39"/>
      <c r="F266" s="37"/>
      <c r="G266" s="39"/>
      <c r="H266" s="37"/>
      <c r="I266" s="37"/>
      <c r="J266" s="41" t="str">
        <f t="shared" si="74"/>
        <v/>
      </c>
      <c r="K266" s="12" t="str">
        <f t="shared" si="80"/>
        <v/>
      </c>
      <c r="L266" s="12" t="str">
        <f t="shared" si="81"/>
        <v/>
      </c>
      <c r="M266" s="12" t="str">
        <f t="shared" si="75"/>
        <v/>
      </c>
      <c r="N266" s="12" t="str">
        <f t="shared" si="76"/>
        <v/>
      </c>
      <c r="O266" s="12" t="str">
        <f t="shared" si="77"/>
        <v/>
      </c>
      <c r="P266" s="12" t="str">
        <f t="shared" si="78"/>
        <v/>
      </c>
      <c r="Q266" s="12" t="str">
        <f t="shared" si="82"/>
        <v/>
      </c>
      <c r="R266" s="26" t="str">
        <f t="shared" si="79"/>
        <v/>
      </c>
      <c r="S266" s="26" t="str">
        <f t="shared" si="88"/>
        <v/>
      </c>
      <c r="T266" s="26" t="str">
        <f t="shared" si="83"/>
        <v/>
      </c>
      <c r="U266" s="26" t="str">
        <f t="shared" si="84"/>
        <v/>
      </c>
      <c r="V266" s="26" t="str">
        <f t="shared" si="85"/>
        <v/>
      </c>
      <c r="W266" s="20" t="str">
        <f t="shared" si="86"/>
        <v/>
      </c>
      <c r="X266" s="20" t="str">
        <f t="shared" si="87"/>
        <v/>
      </c>
      <c r="Y266" s="86" t="str">
        <f t="shared" si="72"/>
        <v/>
      </c>
      <c r="Z266" s="31"/>
    </row>
    <row r="267" spans="2:26" outlineLevel="1">
      <c r="B267" s="14">
        <f t="shared" si="73"/>
        <v>264</v>
      </c>
      <c r="C267" s="37"/>
      <c r="D267" s="40"/>
      <c r="E267" s="39"/>
      <c r="F267" s="37"/>
      <c r="G267" s="39"/>
      <c r="H267" s="37"/>
      <c r="I267" s="37"/>
      <c r="J267" s="41" t="str">
        <f t="shared" si="74"/>
        <v/>
      </c>
      <c r="K267" s="12" t="str">
        <f t="shared" si="80"/>
        <v/>
      </c>
      <c r="L267" s="12" t="str">
        <f t="shared" si="81"/>
        <v/>
      </c>
      <c r="M267" s="12" t="str">
        <f t="shared" si="75"/>
        <v/>
      </c>
      <c r="N267" s="12" t="str">
        <f t="shared" si="76"/>
        <v/>
      </c>
      <c r="O267" s="12" t="str">
        <f t="shared" si="77"/>
        <v/>
      </c>
      <c r="P267" s="12" t="str">
        <f t="shared" si="78"/>
        <v/>
      </c>
      <c r="Q267" s="12" t="str">
        <f t="shared" si="82"/>
        <v/>
      </c>
      <c r="R267" s="26" t="str">
        <f t="shared" si="79"/>
        <v/>
      </c>
      <c r="S267" s="26" t="str">
        <f t="shared" si="88"/>
        <v/>
      </c>
      <c r="T267" s="26" t="str">
        <f t="shared" si="83"/>
        <v/>
      </c>
      <c r="U267" s="26" t="str">
        <f t="shared" si="84"/>
        <v/>
      </c>
      <c r="V267" s="26" t="str">
        <f t="shared" si="85"/>
        <v/>
      </c>
      <c r="W267" s="20" t="str">
        <f t="shared" si="86"/>
        <v/>
      </c>
      <c r="X267" s="20" t="str">
        <f t="shared" si="87"/>
        <v/>
      </c>
      <c r="Y267" s="86" t="str">
        <f t="shared" si="72"/>
        <v/>
      </c>
      <c r="Z267" s="31"/>
    </row>
    <row r="268" spans="2:26" outlineLevel="1">
      <c r="B268" s="14">
        <f t="shared" si="73"/>
        <v>265</v>
      </c>
      <c r="C268" s="37"/>
      <c r="D268" s="40"/>
      <c r="E268" s="39"/>
      <c r="F268" s="37"/>
      <c r="G268" s="39"/>
      <c r="H268" s="37"/>
      <c r="I268" s="37"/>
      <c r="J268" s="41" t="str">
        <f t="shared" si="74"/>
        <v/>
      </c>
      <c r="K268" s="12" t="str">
        <f t="shared" si="80"/>
        <v/>
      </c>
      <c r="L268" s="12" t="str">
        <f t="shared" si="81"/>
        <v/>
      </c>
      <c r="M268" s="12" t="str">
        <f t="shared" si="75"/>
        <v/>
      </c>
      <c r="N268" s="12" t="str">
        <f t="shared" si="76"/>
        <v/>
      </c>
      <c r="O268" s="12" t="str">
        <f t="shared" si="77"/>
        <v/>
      </c>
      <c r="P268" s="12" t="str">
        <f t="shared" si="78"/>
        <v/>
      </c>
      <c r="Q268" s="12" t="str">
        <f t="shared" si="82"/>
        <v/>
      </c>
      <c r="R268" s="26" t="str">
        <f t="shared" si="79"/>
        <v/>
      </c>
      <c r="S268" s="26" t="str">
        <f t="shared" si="88"/>
        <v/>
      </c>
      <c r="T268" s="26" t="str">
        <f t="shared" si="83"/>
        <v/>
      </c>
      <c r="U268" s="26" t="str">
        <f t="shared" si="84"/>
        <v/>
      </c>
      <c r="V268" s="26" t="str">
        <f t="shared" si="85"/>
        <v/>
      </c>
      <c r="W268" s="20" t="str">
        <f t="shared" si="86"/>
        <v/>
      </c>
      <c r="X268" s="20" t="str">
        <f t="shared" si="87"/>
        <v/>
      </c>
      <c r="Y268" s="86" t="str">
        <f t="shared" si="72"/>
        <v/>
      </c>
      <c r="Z268" s="31"/>
    </row>
    <row r="269" spans="2:26" outlineLevel="1">
      <c r="B269" s="14">
        <f t="shared" si="73"/>
        <v>266</v>
      </c>
      <c r="C269" s="37"/>
      <c r="D269" s="40"/>
      <c r="E269" s="39"/>
      <c r="F269" s="37"/>
      <c r="G269" s="39"/>
      <c r="H269" s="37"/>
      <c r="I269" s="37"/>
      <c r="J269" s="41" t="str">
        <f t="shared" si="74"/>
        <v/>
      </c>
      <c r="K269" s="12" t="str">
        <f t="shared" si="80"/>
        <v/>
      </c>
      <c r="L269" s="12" t="str">
        <f t="shared" si="81"/>
        <v/>
      </c>
      <c r="M269" s="12" t="str">
        <f t="shared" si="75"/>
        <v/>
      </c>
      <c r="N269" s="12" t="str">
        <f t="shared" si="76"/>
        <v/>
      </c>
      <c r="O269" s="12" t="str">
        <f t="shared" si="77"/>
        <v/>
      </c>
      <c r="P269" s="12" t="str">
        <f t="shared" si="78"/>
        <v/>
      </c>
      <c r="Q269" s="12" t="str">
        <f t="shared" si="82"/>
        <v/>
      </c>
      <c r="R269" s="26" t="str">
        <f t="shared" si="79"/>
        <v/>
      </c>
      <c r="S269" s="26" t="str">
        <f t="shared" si="88"/>
        <v/>
      </c>
      <c r="T269" s="26" t="str">
        <f t="shared" si="83"/>
        <v/>
      </c>
      <c r="U269" s="26" t="str">
        <f t="shared" si="84"/>
        <v/>
      </c>
      <c r="V269" s="26" t="str">
        <f t="shared" si="85"/>
        <v/>
      </c>
      <c r="W269" s="20" t="str">
        <f t="shared" si="86"/>
        <v/>
      </c>
      <c r="X269" s="20" t="str">
        <f t="shared" si="87"/>
        <v/>
      </c>
      <c r="Y269" s="86" t="str">
        <f t="shared" si="72"/>
        <v/>
      </c>
      <c r="Z269" s="31"/>
    </row>
    <row r="270" spans="2:26" outlineLevel="1">
      <c r="B270" s="14">
        <f t="shared" si="73"/>
        <v>267</v>
      </c>
      <c r="C270" s="37"/>
      <c r="D270" s="40"/>
      <c r="E270" s="39"/>
      <c r="F270" s="37"/>
      <c r="G270" s="39"/>
      <c r="H270" s="37"/>
      <c r="I270" s="37"/>
      <c r="J270" s="41" t="str">
        <f t="shared" si="74"/>
        <v/>
      </c>
      <c r="K270" s="12" t="str">
        <f t="shared" si="80"/>
        <v/>
      </c>
      <c r="L270" s="12" t="str">
        <f t="shared" si="81"/>
        <v/>
      </c>
      <c r="M270" s="12" t="str">
        <f t="shared" si="75"/>
        <v/>
      </c>
      <c r="N270" s="12" t="str">
        <f t="shared" si="76"/>
        <v/>
      </c>
      <c r="O270" s="12" t="str">
        <f t="shared" si="77"/>
        <v/>
      </c>
      <c r="P270" s="12" t="str">
        <f t="shared" si="78"/>
        <v/>
      </c>
      <c r="Q270" s="12" t="str">
        <f t="shared" si="82"/>
        <v/>
      </c>
      <c r="R270" s="26" t="str">
        <f t="shared" si="79"/>
        <v/>
      </c>
      <c r="S270" s="26" t="str">
        <f t="shared" si="88"/>
        <v/>
      </c>
      <c r="T270" s="26" t="str">
        <f t="shared" si="83"/>
        <v/>
      </c>
      <c r="U270" s="26" t="str">
        <f t="shared" si="84"/>
        <v/>
      </c>
      <c r="V270" s="26" t="str">
        <f t="shared" si="85"/>
        <v/>
      </c>
      <c r="W270" s="20" t="str">
        <f t="shared" si="86"/>
        <v/>
      </c>
      <c r="X270" s="20" t="str">
        <f t="shared" si="87"/>
        <v/>
      </c>
      <c r="Y270" s="86" t="str">
        <f t="shared" si="72"/>
        <v/>
      </c>
      <c r="Z270" s="31"/>
    </row>
    <row r="271" spans="2:26" outlineLevel="1">
      <c r="B271" s="14">
        <f t="shared" si="73"/>
        <v>268</v>
      </c>
      <c r="C271" s="37"/>
      <c r="D271" s="40"/>
      <c r="E271" s="39"/>
      <c r="F271" s="37"/>
      <c r="G271" s="39"/>
      <c r="H271" s="37"/>
      <c r="I271" s="37"/>
      <c r="J271" s="41" t="str">
        <f t="shared" si="74"/>
        <v/>
      </c>
      <c r="K271" s="12" t="str">
        <f t="shared" si="80"/>
        <v/>
      </c>
      <c r="L271" s="12" t="str">
        <f t="shared" si="81"/>
        <v/>
      </c>
      <c r="M271" s="12" t="str">
        <f t="shared" si="75"/>
        <v/>
      </c>
      <c r="N271" s="12" t="str">
        <f t="shared" si="76"/>
        <v/>
      </c>
      <c r="O271" s="12" t="str">
        <f t="shared" si="77"/>
        <v/>
      </c>
      <c r="P271" s="12" t="str">
        <f t="shared" si="78"/>
        <v/>
      </c>
      <c r="Q271" s="12" t="str">
        <f t="shared" si="82"/>
        <v/>
      </c>
      <c r="R271" s="26" t="str">
        <f t="shared" si="79"/>
        <v/>
      </c>
      <c r="S271" s="26" t="str">
        <f t="shared" si="88"/>
        <v/>
      </c>
      <c r="T271" s="26" t="str">
        <f t="shared" si="83"/>
        <v/>
      </c>
      <c r="U271" s="26" t="str">
        <f t="shared" si="84"/>
        <v/>
      </c>
      <c r="V271" s="26" t="str">
        <f t="shared" si="85"/>
        <v/>
      </c>
      <c r="W271" s="20" t="str">
        <f t="shared" si="86"/>
        <v/>
      </c>
      <c r="X271" s="20" t="str">
        <f t="shared" si="87"/>
        <v/>
      </c>
      <c r="Y271" s="86" t="str">
        <f t="shared" si="72"/>
        <v/>
      </c>
      <c r="Z271" s="31"/>
    </row>
    <row r="272" spans="2:26" outlineLevel="1">
      <c r="B272" s="14">
        <f t="shared" si="73"/>
        <v>269</v>
      </c>
      <c r="C272" s="37"/>
      <c r="D272" s="40"/>
      <c r="E272" s="39"/>
      <c r="F272" s="37"/>
      <c r="G272" s="39"/>
      <c r="H272" s="37"/>
      <c r="I272" s="37"/>
      <c r="J272" s="41" t="str">
        <f t="shared" si="74"/>
        <v/>
      </c>
      <c r="K272" s="12" t="str">
        <f t="shared" si="80"/>
        <v/>
      </c>
      <c r="L272" s="12" t="str">
        <f t="shared" si="81"/>
        <v/>
      </c>
      <c r="M272" s="12" t="str">
        <f t="shared" si="75"/>
        <v/>
      </c>
      <c r="N272" s="12" t="str">
        <f t="shared" si="76"/>
        <v/>
      </c>
      <c r="O272" s="12" t="str">
        <f t="shared" si="77"/>
        <v/>
      </c>
      <c r="P272" s="12" t="str">
        <f t="shared" si="78"/>
        <v/>
      </c>
      <c r="Q272" s="12" t="str">
        <f t="shared" si="82"/>
        <v/>
      </c>
      <c r="R272" s="26" t="str">
        <f t="shared" si="79"/>
        <v/>
      </c>
      <c r="S272" s="26" t="str">
        <f t="shared" si="88"/>
        <v/>
      </c>
      <c r="T272" s="26" t="str">
        <f t="shared" si="83"/>
        <v/>
      </c>
      <c r="U272" s="26" t="str">
        <f t="shared" si="84"/>
        <v/>
      </c>
      <c r="V272" s="26" t="str">
        <f t="shared" si="85"/>
        <v/>
      </c>
      <c r="W272" s="20" t="str">
        <f t="shared" si="86"/>
        <v/>
      </c>
      <c r="X272" s="20" t="str">
        <f t="shared" si="87"/>
        <v/>
      </c>
      <c r="Y272" s="86" t="str">
        <f t="shared" ref="Y272:Y335" si="89">IFERROR(+W272+X272,"")</f>
        <v/>
      </c>
      <c r="Z272" s="31"/>
    </row>
    <row r="273" spans="2:26" outlineLevel="1">
      <c r="B273" s="14">
        <f t="shared" si="73"/>
        <v>270</v>
      </c>
      <c r="C273" s="37"/>
      <c r="D273" s="40"/>
      <c r="E273" s="39"/>
      <c r="F273" s="37"/>
      <c r="G273" s="39"/>
      <c r="H273" s="37"/>
      <c r="I273" s="37"/>
      <c r="J273" s="41" t="str">
        <f t="shared" si="74"/>
        <v/>
      </c>
      <c r="K273" s="12" t="str">
        <f t="shared" si="80"/>
        <v/>
      </c>
      <c r="L273" s="12" t="str">
        <f t="shared" si="81"/>
        <v/>
      </c>
      <c r="M273" s="12" t="str">
        <f t="shared" si="75"/>
        <v/>
      </c>
      <c r="N273" s="12" t="str">
        <f t="shared" si="76"/>
        <v/>
      </c>
      <c r="O273" s="12" t="str">
        <f t="shared" si="77"/>
        <v/>
      </c>
      <c r="P273" s="12" t="str">
        <f t="shared" si="78"/>
        <v/>
      </c>
      <c r="Q273" s="12" t="str">
        <f t="shared" si="82"/>
        <v/>
      </c>
      <c r="R273" s="26" t="str">
        <f t="shared" si="79"/>
        <v/>
      </c>
      <c r="S273" s="26" t="str">
        <f t="shared" si="88"/>
        <v/>
      </c>
      <c r="T273" s="26" t="str">
        <f t="shared" si="83"/>
        <v/>
      </c>
      <c r="U273" s="26" t="str">
        <f t="shared" si="84"/>
        <v/>
      </c>
      <c r="V273" s="26" t="str">
        <f t="shared" si="85"/>
        <v/>
      </c>
      <c r="W273" s="20" t="str">
        <f t="shared" si="86"/>
        <v/>
      </c>
      <c r="X273" s="20" t="str">
        <f t="shared" si="87"/>
        <v/>
      </c>
      <c r="Y273" s="86" t="str">
        <f t="shared" si="89"/>
        <v/>
      </c>
      <c r="Z273" s="31"/>
    </row>
    <row r="274" spans="2:26" outlineLevel="1">
      <c r="B274" s="14">
        <f t="shared" si="73"/>
        <v>271</v>
      </c>
      <c r="C274" s="37"/>
      <c r="D274" s="40"/>
      <c r="E274" s="39"/>
      <c r="F274" s="37"/>
      <c r="G274" s="39"/>
      <c r="H274" s="37"/>
      <c r="I274" s="37"/>
      <c r="J274" s="41" t="str">
        <f t="shared" si="74"/>
        <v/>
      </c>
      <c r="K274" s="12" t="str">
        <f t="shared" si="80"/>
        <v/>
      </c>
      <c r="L274" s="12" t="str">
        <f t="shared" si="81"/>
        <v/>
      </c>
      <c r="M274" s="12" t="str">
        <f t="shared" si="75"/>
        <v/>
      </c>
      <c r="N274" s="12" t="str">
        <f t="shared" si="76"/>
        <v/>
      </c>
      <c r="O274" s="12" t="str">
        <f t="shared" si="77"/>
        <v/>
      </c>
      <c r="P274" s="12" t="str">
        <f t="shared" si="78"/>
        <v/>
      </c>
      <c r="Q274" s="12" t="str">
        <f t="shared" si="82"/>
        <v/>
      </c>
      <c r="R274" s="26" t="str">
        <f t="shared" si="79"/>
        <v/>
      </c>
      <c r="S274" s="26" t="str">
        <f t="shared" si="88"/>
        <v/>
      </c>
      <c r="T274" s="26" t="str">
        <f t="shared" si="83"/>
        <v/>
      </c>
      <c r="U274" s="26" t="str">
        <f t="shared" si="84"/>
        <v/>
      </c>
      <c r="V274" s="26" t="str">
        <f t="shared" si="85"/>
        <v/>
      </c>
      <c r="W274" s="20" t="str">
        <f t="shared" si="86"/>
        <v/>
      </c>
      <c r="X274" s="20" t="str">
        <f t="shared" si="87"/>
        <v/>
      </c>
      <c r="Y274" s="86" t="str">
        <f t="shared" si="89"/>
        <v/>
      </c>
      <c r="Z274" s="31"/>
    </row>
    <row r="275" spans="2:26" outlineLevel="1">
      <c r="B275" s="14">
        <f t="shared" si="73"/>
        <v>272</v>
      </c>
      <c r="C275" s="37"/>
      <c r="D275" s="40"/>
      <c r="E275" s="39"/>
      <c r="F275" s="37"/>
      <c r="G275" s="39"/>
      <c r="H275" s="37"/>
      <c r="I275" s="37"/>
      <c r="J275" s="41" t="str">
        <f t="shared" si="74"/>
        <v/>
      </c>
      <c r="K275" s="12" t="str">
        <f t="shared" si="80"/>
        <v/>
      </c>
      <c r="L275" s="12" t="str">
        <f t="shared" si="81"/>
        <v/>
      </c>
      <c r="M275" s="12" t="str">
        <f t="shared" si="75"/>
        <v/>
      </c>
      <c r="N275" s="12" t="str">
        <f t="shared" si="76"/>
        <v/>
      </c>
      <c r="O275" s="12" t="str">
        <f t="shared" si="77"/>
        <v/>
      </c>
      <c r="P275" s="12" t="str">
        <f t="shared" si="78"/>
        <v/>
      </c>
      <c r="Q275" s="12" t="str">
        <f t="shared" si="82"/>
        <v/>
      </c>
      <c r="R275" s="26" t="str">
        <f t="shared" si="79"/>
        <v/>
      </c>
      <c r="S275" s="26" t="str">
        <f t="shared" si="88"/>
        <v/>
      </c>
      <c r="T275" s="26" t="str">
        <f t="shared" si="83"/>
        <v/>
      </c>
      <c r="U275" s="26" t="str">
        <f t="shared" si="84"/>
        <v/>
      </c>
      <c r="V275" s="26" t="str">
        <f t="shared" si="85"/>
        <v/>
      </c>
      <c r="W275" s="20" t="str">
        <f t="shared" si="86"/>
        <v/>
      </c>
      <c r="X275" s="20" t="str">
        <f t="shared" si="87"/>
        <v/>
      </c>
      <c r="Y275" s="86" t="str">
        <f t="shared" si="89"/>
        <v/>
      </c>
      <c r="Z275" s="31"/>
    </row>
    <row r="276" spans="2:26" outlineLevel="1">
      <c r="B276" s="14">
        <f t="shared" si="73"/>
        <v>273</v>
      </c>
      <c r="C276" s="37"/>
      <c r="D276" s="40"/>
      <c r="E276" s="39"/>
      <c r="F276" s="37"/>
      <c r="G276" s="39"/>
      <c r="H276" s="37"/>
      <c r="I276" s="37"/>
      <c r="J276" s="41" t="str">
        <f t="shared" si="74"/>
        <v/>
      </c>
      <c r="K276" s="12" t="str">
        <f t="shared" si="80"/>
        <v/>
      </c>
      <c r="L276" s="12" t="str">
        <f t="shared" si="81"/>
        <v/>
      </c>
      <c r="M276" s="12" t="str">
        <f t="shared" si="75"/>
        <v/>
      </c>
      <c r="N276" s="12" t="str">
        <f t="shared" si="76"/>
        <v/>
      </c>
      <c r="O276" s="12" t="str">
        <f t="shared" si="77"/>
        <v/>
      </c>
      <c r="P276" s="12" t="str">
        <f t="shared" si="78"/>
        <v/>
      </c>
      <c r="Q276" s="12" t="str">
        <f t="shared" si="82"/>
        <v/>
      </c>
      <c r="R276" s="26" t="str">
        <f t="shared" si="79"/>
        <v/>
      </c>
      <c r="S276" s="26" t="str">
        <f t="shared" si="88"/>
        <v/>
      </c>
      <c r="T276" s="26" t="str">
        <f t="shared" si="83"/>
        <v/>
      </c>
      <c r="U276" s="26" t="str">
        <f t="shared" si="84"/>
        <v/>
      </c>
      <c r="V276" s="26" t="str">
        <f t="shared" si="85"/>
        <v/>
      </c>
      <c r="W276" s="20" t="str">
        <f t="shared" si="86"/>
        <v/>
      </c>
      <c r="X276" s="20" t="str">
        <f t="shared" si="87"/>
        <v/>
      </c>
      <c r="Y276" s="86" t="str">
        <f t="shared" si="89"/>
        <v/>
      </c>
      <c r="Z276" s="31"/>
    </row>
    <row r="277" spans="2:26" outlineLevel="1">
      <c r="B277" s="14">
        <f t="shared" si="73"/>
        <v>274</v>
      </c>
      <c r="C277" s="37"/>
      <c r="D277" s="40"/>
      <c r="E277" s="39"/>
      <c r="F277" s="37"/>
      <c r="G277" s="39"/>
      <c r="H277" s="37"/>
      <c r="I277" s="37"/>
      <c r="J277" s="41" t="str">
        <f t="shared" si="74"/>
        <v/>
      </c>
      <c r="K277" s="12" t="str">
        <f t="shared" si="80"/>
        <v/>
      </c>
      <c r="L277" s="12" t="str">
        <f t="shared" si="81"/>
        <v/>
      </c>
      <c r="M277" s="12" t="str">
        <f t="shared" si="75"/>
        <v/>
      </c>
      <c r="N277" s="12" t="str">
        <f t="shared" si="76"/>
        <v/>
      </c>
      <c r="O277" s="12" t="str">
        <f t="shared" si="77"/>
        <v/>
      </c>
      <c r="P277" s="12" t="str">
        <f t="shared" si="78"/>
        <v/>
      </c>
      <c r="Q277" s="12" t="str">
        <f t="shared" si="82"/>
        <v/>
      </c>
      <c r="R277" s="26" t="str">
        <f t="shared" si="79"/>
        <v/>
      </c>
      <c r="S277" s="26" t="str">
        <f t="shared" si="88"/>
        <v/>
      </c>
      <c r="T277" s="26" t="str">
        <f t="shared" si="83"/>
        <v/>
      </c>
      <c r="U277" s="26" t="str">
        <f t="shared" si="84"/>
        <v/>
      </c>
      <c r="V277" s="26" t="str">
        <f t="shared" si="85"/>
        <v/>
      </c>
      <c r="W277" s="20" t="str">
        <f t="shared" si="86"/>
        <v/>
      </c>
      <c r="X277" s="20" t="str">
        <f t="shared" si="87"/>
        <v/>
      </c>
      <c r="Y277" s="86" t="str">
        <f t="shared" si="89"/>
        <v/>
      </c>
      <c r="Z277" s="31"/>
    </row>
    <row r="278" spans="2:26" outlineLevel="1">
      <c r="B278" s="14">
        <f t="shared" si="73"/>
        <v>275</v>
      </c>
      <c r="C278" s="37"/>
      <c r="D278" s="40"/>
      <c r="E278" s="39"/>
      <c r="F278" s="37"/>
      <c r="G278" s="39"/>
      <c r="H278" s="37"/>
      <c r="I278" s="37"/>
      <c r="J278" s="41" t="str">
        <f t="shared" si="74"/>
        <v/>
      </c>
      <c r="K278" s="12" t="str">
        <f t="shared" si="80"/>
        <v/>
      </c>
      <c r="L278" s="12" t="str">
        <f t="shared" si="81"/>
        <v/>
      </c>
      <c r="M278" s="12" t="str">
        <f t="shared" si="75"/>
        <v/>
      </c>
      <c r="N278" s="12" t="str">
        <f t="shared" si="76"/>
        <v/>
      </c>
      <c r="O278" s="12" t="str">
        <f t="shared" si="77"/>
        <v/>
      </c>
      <c r="P278" s="12" t="str">
        <f t="shared" si="78"/>
        <v/>
      </c>
      <c r="Q278" s="12" t="str">
        <f t="shared" si="82"/>
        <v/>
      </c>
      <c r="R278" s="26" t="str">
        <f t="shared" si="79"/>
        <v/>
      </c>
      <c r="S278" s="26" t="str">
        <f t="shared" si="88"/>
        <v/>
      </c>
      <c r="T278" s="26" t="str">
        <f t="shared" si="83"/>
        <v/>
      </c>
      <c r="U278" s="26" t="str">
        <f t="shared" si="84"/>
        <v/>
      </c>
      <c r="V278" s="26" t="str">
        <f t="shared" si="85"/>
        <v/>
      </c>
      <c r="W278" s="20" t="str">
        <f t="shared" si="86"/>
        <v/>
      </c>
      <c r="X278" s="20" t="str">
        <f t="shared" si="87"/>
        <v/>
      </c>
      <c r="Y278" s="86" t="str">
        <f t="shared" si="89"/>
        <v/>
      </c>
      <c r="Z278" s="31"/>
    </row>
    <row r="279" spans="2:26" outlineLevel="1">
      <c r="B279" s="14">
        <f t="shared" si="73"/>
        <v>276</v>
      </c>
      <c r="C279" s="37"/>
      <c r="D279" s="40"/>
      <c r="E279" s="39"/>
      <c r="F279" s="37"/>
      <c r="G279" s="39"/>
      <c r="H279" s="37"/>
      <c r="I279" s="37"/>
      <c r="J279" s="41" t="str">
        <f t="shared" si="74"/>
        <v/>
      </c>
      <c r="K279" s="12" t="str">
        <f t="shared" si="80"/>
        <v/>
      </c>
      <c r="L279" s="12" t="str">
        <f t="shared" si="81"/>
        <v/>
      </c>
      <c r="M279" s="12" t="str">
        <f t="shared" si="75"/>
        <v/>
      </c>
      <c r="N279" s="12" t="str">
        <f t="shared" si="76"/>
        <v/>
      </c>
      <c r="O279" s="12" t="str">
        <f t="shared" si="77"/>
        <v/>
      </c>
      <c r="P279" s="12" t="str">
        <f t="shared" si="78"/>
        <v/>
      </c>
      <c r="Q279" s="12" t="str">
        <f t="shared" si="82"/>
        <v/>
      </c>
      <c r="R279" s="26" t="str">
        <f t="shared" si="79"/>
        <v/>
      </c>
      <c r="S279" s="26" t="str">
        <f t="shared" si="88"/>
        <v/>
      </c>
      <c r="T279" s="26" t="str">
        <f t="shared" si="83"/>
        <v/>
      </c>
      <c r="U279" s="26" t="str">
        <f t="shared" si="84"/>
        <v/>
      </c>
      <c r="V279" s="26" t="str">
        <f t="shared" si="85"/>
        <v/>
      </c>
      <c r="W279" s="20" t="str">
        <f t="shared" si="86"/>
        <v/>
      </c>
      <c r="X279" s="20" t="str">
        <f t="shared" si="87"/>
        <v/>
      </c>
      <c r="Y279" s="86" t="str">
        <f t="shared" si="89"/>
        <v/>
      </c>
      <c r="Z279" s="31"/>
    </row>
    <row r="280" spans="2:26" outlineLevel="1">
      <c r="B280" s="14">
        <f t="shared" si="73"/>
        <v>277</v>
      </c>
      <c r="C280" s="37"/>
      <c r="D280" s="40"/>
      <c r="E280" s="39"/>
      <c r="F280" s="37"/>
      <c r="G280" s="39"/>
      <c r="H280" s="37"/>
      <c r="I280" s="37"/>
      <c r="J280" s="41" t="str">
        <f t="shared" si="74"/>
        <v/>
      </c>
      <c r="K280" s="12" t="str">
        <f t="shared" si="80"/>
        <v/>
      </c>
      <c r="L280" s="12" t="str">
        <f t="shared" si="81"/>
        <v/>
      </c>
      <c r="M280" s="12" t="str">
        <f t="shared" si="75"/>
        <v/>
      </c>
      <c r="N280" s="12" t="str">
        <f t="shared" si="76"/>
        <v/>
      </c>
      <c r="O280" s="12" t="str">
        <f t="shared" si="77"/>
        <v/>
      </c>
      <c r="P280" s="12" t="str">
        <f t="shared" si="78"/>
        <v/>
      </c>
      <c r="Q280" s="12" t="str">
        <f t="shared" si="82"/>
        <v/>
      </c>
      <c r="R280" s="26" t="str">
        <f t="shared" si="79"/>
        <v/>
      </c>
      <c r="S280" s="26" t="str">
        <f t="shared" si="88"/>
        <v/>
      </c>
      <c r="T280" s="26" t="str">
        <f t="shared" si="83"/>
        <v/>
      </c>
      <c r="U280" s="26" t="str">
        <f t="shared" si="84"/>
        <v/>
      </c>
      <c r="V280" s="26" t="str">
        <f t="shared" si="85"/>
        <v/>
      </c>
      <c r="W280" s="20" t="str">
        <f t="shared" si="86"/>
        <v/>
      </c>
      <c r="X280" s="20" t="str">
        <f t="shared" si="87"/>
        <v/>
      </c>
      <c r="Y280" s="86" t="str">
        <f t="shared" si="89"/>
        <v/>
      </c>
      <c r="Z280" s="31"/>
    </row>
    <row r="281" spans="2:26" outlineLevel="1">
      <c r="B281" s="14">
        <f t="shared" si="73"/>
        <v>278</v>
      </c>
      <c r="C281" s="37"/>
      <c r="D281" s="40"/>
      <c r="E281" s="39"/>
      <c r="F281" s="37"/>
      <c r="G281" s="39"/>
      <c r="H281" s="37"/>
      <c r="I281" s="37"/>
      <c r="J281" s="41" t="str">
        <f t="shared" si="74"/>
        <v/>
      </c>
      <c r="K281" s="12" t="str">
        <f t="shared" si="80"/>
        <v/>
      </c>
      <c r="L281" s="12" t="str">
        <f t="shared" si="81"/>
        <v/>
      </c>
      <c r="M281" s="12" t="str">
        <f t="shared" si="75"/>
        <v/>
      </c>
      <c r="N281" s="12" t="str">
        <f t="shared" si="76"/>
        <v/>
      </c>
      <c r="O281" s="12" t="str">
        <f t="shared" si="77"/>
        <v/>
      </c>
      <c r="P281" s="12" t="str">
        <f t="shared" si="78"/>
        <v/>
      </c>
      <c r="Q281" s="12" t="str">
        <f t="shared" si="82"/>
        <v/>
      </c>
      <c r="R281" s="26" t="str">
        <f t="shared" si="79"/>
        <v/>
      </c>
      <c r="S281" s="26" t="str">
        <f t="shared" si="88"/>
        <v/>
      </c>
      <c r="T281" s="26" t="str">
        <f t="shared" si="83"/>
        <v/>
      </c>
      <c r="U281" s="26" t="str">
        <f t="shared" si="84"/>
        <v/>
      </c>
      <c r="V281" s="26" t="str">
        <f t="shared" si="85"/>
        <v/>
      </c>
      <c r="W281" s="20" t="str">
        <f t="shared" si="86"/>
        <v/>
      </c>
      <c r="X281" s="20" t="str">
        <f t="shared" si="87"/>
        <v/>
      </c>
      <c r="Y281" s="86" t="str">
        <f t="shared" si="89"/>
        <v/>
      </c>
      <c r="Z281" s="31"/>
    </row>
    <row r="282" spans="2:26" outlineLevel="1">
      <c r="B282" s="14">
        <f t="shared" si="73"/>
        <v>279</v>
      </c>
      <c r="C282" s="37"/>
      <c r="D282" s="40"/>
      <c r="E282" s="39"/>
      <c r="F282" s="37"/>
      <c r="G282" s="39"/>
      <c r="H282" s="37"/>
      <c r="I282" s="37"/>
      <c r="J282" s="41" t="str">
        <f t="shared" si="74"/>
        <v/>
      </c>
      <c r="K282" s="12" t="str">
        <f t="shared" si="80"/>
        <v/>
      </c>
      <c r="L282" s="12" t="str">
        <f t="shared" si="81"/>
        <v/>
      </c>
      <c r="M282" s="12" t="str">
        <f t="shared" si="75"/>
        <v/>
      </c>
      <c r="N282" s="12" t="str">
        <f t="shared" si="76"/>
        <v/>
      </c>
      <c r="O282" s="12" t="str">
        <f t="shared" si="77"/>
        <v/>
      </c>
      <c r="P282" s="12" t="str">
        <f t="shared" si="78"/>
        <v/>
      </c>
      <c r="Q282" s="12" t="str">
        <f t="shared" si="82"/>
        <v/>
      </c>
      <c r="R282" s="26" t="str">
        <f t="shared" si="79"/>
        <v/>
      </c>
      <c r="S282" s="26" t="str">
        <f t="shared" si="88"/>
        <v/>
      </c>
      <c r="T282" s="26" t="str">
        <f t="shared" si="83"/>
        <v/>
      </c>
      <c r="U282" s="26" t="str">
        <f t="shared" si="84"/>
        <v/>
      </c>
      <c r="V282" s="26" t="str">
        <f t="shared" si="85"/>
        <v/>
      </c>
      <c r="W282" s="20" t="str">
        <f t="shared" si="86"/>
        <v/>
      </c>
      <c r="X282" s="20" t="str">
        <f t="shared" si="87"/>
        <v/>
      </c>
      <c r="Y282" s="86" t="str">
        <f t="shared" si="89"/>
        <v/>
      </c>
      <c r="Z282" s="31"/>
    </row>
    <row r="283" spans="2:26" outlineLevel="1">
      <c r="B283" s="14">
        <f t="shared" si="73"/>
        <v>280</v>
      </c>
      <c r="C283" s="37"/>
      <c r="D283" s="40"/>
      <c r="E283" s="39"/>
      <c r="F283" s="37"/>
      <c r="G283" s="39"/>
      <c r="H283" s="37"/>
      <c r="I283" s="37"/>
      <c r="J283" s="41" t="str">
        <f t="shared" si="74"/>
        <v/>
      </c>
      <c r="K283" s="12" t="str">
        <f t="shared" si="80"/>
        <v/>
      </c>
      <c r="L283" s="12" t="str">
        <f t="shared" si="81"/>
        <v/>
      </c>
      <c r="M283" s="12" t="str">
        <f t="shared" si="75"/>
        <v/>
      </c>
      <c r="N283" s="12" t="str">
        <f t="shared" si="76"/>
        <v/>
      </c>
      <c r="O283" s="12" t="str">
        <f t="shared" si="77"/>
        <v/>
      </c>
      <c r="P283" s="12" t="str">
        <f t="shared" si="78"/>
        <v/>
      </c>
      <c r="Q283" s="12" t="str">
        <f t="shared" si="82"/>
        <v/>
      </c>
      <c r="R283" s="26" t="str">
        <f t="shared" si="79"/>
        <v/>
      </c>
      <c r="S283" s="26" t="str">
        <f t="shared" si="88"/>
        <v/>
      </c>
      <c r="T283" s="26" t="str">
        <f t="shared" si="83"/>
        <v/>
      </c>
      <c r="U283" s="26" t="str">
        <f t="shared" si="84"/>
        <v/>
      </c>
      <c r="V283" s="26" t="str">
        <f t="shared" si="85"/>
        <v/>
      </c>
      <c r="W283" s="20" t="str">
        <f t="shared" si="86"/>
        <v/>
      </c>
      <c r="X283" s="20" t="str">
        <f t="shared" si="87"/>
        <v/>
      </c>
      <c r="Y283" s="86" t="str">
        <f t="shared" si="89"/>
        <v/>
      </c>
      <c r="Z283" s="31"/>
    </row>
    <row r="284" spans="2:26" outlineLevel="1">
      <c r="B284" s="14">
        <f t="shared" si="73"/>
        <v>281</v>
      </c>
      <c r="C284" s="37"/>
      <c r="D284" s="40"/>
      <c r="E284" s="39"/>
      <c r="F284" s="37"/>
      <c r="G284" s="39"/>
      <c r="H284" s="37"/>
      <c r="I284" s="37"/>
      <c r="J284" s="41" t="str">
        <f t="shared" si="74"/>
        <v/>
      </c>
      <c r="K284" s="12" t="str">
        <f t="shared" si="80"/>
        <v/>
      </c>
      <c r="L284" s="12" t="str">
        <f t="shared" si="81"/>
        <v/>
      </c>
      <c r="M284" s="12" t="str">
        <f t="shared" si="75"/>
        <v/>
      </c>
      <c r="N284" s="12" t="str">
        <f t="shared" si="76"/>
        <v/>
      </c>
      <c r="O284" s="12" t="str">
        <f t="shared" si="77"/>
        <v/>
      </c>
      <c r="P284" s="12" t="str">
        <f t="shared" si="78"/>
        <v/>
      </c>
      <c r="Q284" s="12" t="str">
        <f t="shared" si="82"/>
        <v/>
      </c>
      <c r="R284" s="26" t="str">
        <f t="shared" si="79"/>
        <v/>
      </c>
      <c r="S284" s="26" t="str">
        <f t="shared" si="88"/>
        <v/>
      </c>
      <c r="T284" s="26" t="str">
        <f t="shared" si="83"/>
        <v/>
      </c>
      <c r="U284" s="26" t="str">
        <f t="shared" si="84"/>
        <v/>
      </c>
      <c r="V284" s="26" t="str">
        <f t="shared" si="85"/>
        <v/>
      </c>
      <c r="W284" s="20" t="str">
        <f t="shared" si="86"/>
        <v/>
      </c>
      <c r="X284" s="20" t="str">
        <f t="shared" si="87"/>
        <v/>
      </c>
      <c r="Y284" s="86" t="str">
        <f t="shared" si="89"/>
        <v/>
      </c>
      <c r="Z284" s="31"/>
    </row>
    <row r="285" spans="2:26" outlineLevel="1">
      <c r="B285" s="14">
        <f t="shared" si="73"/>
        <v>282</v>
      </c>
      <c r="C285" s="37"/>
      <c r="D285" s="40"/>
      <c r="E285" s="39"/>
      <c r="F285" s="37"/>
      <c r="G285" s="39"/>
      <c r="H285" s="37"/>
      <c r="I285" s="37"/>
      <c r="J285" s="41" t="str">
        <f t="shared" si="74"/>
        <v/>
      </c>
      <c r="K285" s="12" t="str">
        <f t="shared" si="80"/>
        <v/>
      </c>
      <c r="L285" s="12" t="str">
        <f t="shared" si="81"/>
        <v/>
      </c>
      <c r="M285" s="12" t="str">
        <f t="shared" si="75"/>
        <v/>
      </c>
      <c r="N285" s="12" t="str">
        <f t="shared" si="76"/>
        <v/>
      </c>
      <c r="O285" s="12" t="str">
        <f t="shared" si="77"/>
        <v/>
      </c>
      <c r="P285" s="12" t="str">
        <f t="shared" si="78"/>
        <v/>
      </c>
      <c r="Q285" s="12" t="str">
        <f t="shared" si="82"/>
        <v/>
      </c>
      <c r="R285" s="26" t="str">
        <f t="shared" si="79"/>
        <v/>
      </c>
      <c r="S285" s="26" t="str">
        <f t="shared" si="88"/>
        <v/>
      </c>
      <c r="T285" s="26" t="str">
        <f t="shared" si="83"/>
        <v/>
      </c>
      <c r="U285" s="26" t="str">
        <f t="shared" si="84"/>
        <v/>
      </c>
      <c r="V285" s="26" t="str">
        <f t="shared" si="85"/>
        <v/>
      </c>
      <c r="W285" s="20" t="str">
        <f t="shared" si="86"/>
        <v/>
      </c>
      <c r="X285" s="20" t="str">
        <f t="shared" si="87"/>
        <v/>
      </c>
      <c r="Y285" s="86" t="str">
        <f t="shared" si="89"/>
        <v/>
      </c>
      <c r="Z285" s="31"/>
    </row>
    <row r="286" spans="2:26" outlineLevel="1">
      <c r="B286" s="14">
        <f t="shared" si="73"/>
        <v>283</v>
      </c>
      <c r="C286" s="37"/>
      <c r="D286" s="40"/>
      <c r="E286" s="39"/>
      <c r="F286" s="37"/>
      <c r="G286" s="39"/>
      <c r="H286" s="37"/>
      <c r="I286" s="37"/>
      <c r="J286" s="41" t="str">
        <f t="shared" si="74"/>
        <v/>
      </c>
      <c r="K286" s="12" t="str">
        <f t="shared" si="80"/>
        <v/>
      </c>
      <c r="L286" s="12" t="str">
        <f t="shared" si="81"/>
        <v/>
      </c>
      <c r="M286" s="12" t="str">
        <f t="shared" si="75"/>
        <v/>
      </c>
      <c r="N286" s="12" t="str">
        <f t="shared" si="76"/>
        <v/>
      </c>
      <c r="O286" s="12" t="str">
        <f t="shared" si="77"/>
        <v/>
      </c>
      <c r="P286" s="12" t="str">
        <f t="shared" si="78"/>
        <v/>
      </c>
      <c r="Q286" s="12" t="str">
        <f t="shared" si="82"/>
        <v/>
      </c>
      <c r="R286" s="26" t="str">
        <f t="shared" si="79"/>
        <v/>
      </c>
      <c r="S286" s="26" t="str">
        <f t="shared" si="88"/>
        <v/>
      </c>
      <c r="T286" s="26" t="str">
        <f t="shared" si="83"/>
        <v/>
      </c>
      <c r="U286" s="26" t="str">
        <f t="shared" si="84"/>
        <v/>
      </c>
      <c r="V286" s="26" t="str">
        <f t="shared" si="85"/>
        <v/>
      </c>
      <c r="W286" s="20" t="str">
        <f t="shared" si="86"/>
        <v/>
      </c>
      <c r="X286" s="20" t="str">
        <f t="shared" si="87"/>
        <v/>
      </c>
      <c r="Y286" s="86" t="str">
        <f t="shared" si="89"/>
        <v/>
      </c>
      <c r="Z286" s="31"/>
    </row>
    <row r="287" spans="2:26" outlineLevel="1">
      <c r="B287" s="14">
        <f t="shared" si="73"/>
        <v>284</v>
      </c>
      <c r="C287" s="37"/>
      <c r="D287" s="40"/>
      <c r="E287" s="39"/>
      <c r="F287" s="37"/>
      <c r="G287" s="39"/>
      <c r="H287" s="37"/>
      <c r="I287" s="37"/>
      <c r="J287" s="41" t="str">
        <f t="shared" si="74"/>
        <v/>
      </c>
      <c r="K287" s="12" t="str">
        <f t="shared" si="80"/>
        <v/>
      </c>
      <c r="L287" s="12" t="str">
        <f t="shared" si="81"/>
        <v/>
      </c>
      <c r="M287" s="12" t="str">
        <f t="shared" si="75"/>
        <v/>
      </c>
      <c r="N287" s="12" t="str">
        <f t="shared" si="76"/>
        <v/>
      </c>
      <c r="O287" s="12" t="str">
        <f t="shared" si="77"/>
        <v/>
      </c>
      <c r="P287" s="12" t="str">
        <f t="shared" si="78"/>
        <v/>
      </c>
      <c r="Q287" s="12" t="str">
        <f t="shared" si="82"/>
        <v/>
      </c>
      <c r="R287" s="26" t="str">
        <f t="shared" si="79"/>
        <v/>
      </c>
      <c r="S287" s="26" t="str">
        <f t="shared" si="88"/>
        <v/>
      </c>
      <c r="T287" s="26" t="str">
        <f t="shared" si="83"/>
        <v/>
      </c>
      <c r="U287" s="26" t="str">
        <f t="shared" si="84"/>
        <v/>
      </c>
      <c r="V287" s="26" t="str">
        <f t="shared" si="85"/>
        <v/>
      </c>
      <c r="W287" s="20" t="str">
        <f t="shared" si="86"/>
        <v/>
      </c>
      <c r="X287" s="20" t="str">
        <f t="shared" si="87"/>
        <v/>
      </c>
      <c r="Y287" s="86" t="str">
        <f t="shared" si="89"/>
        <v/>
      </c>
      <c r="Z287" s="31"/>
    </row>
    <row r="288" spans="2:26" outlineLevel="1">
      <c r="B288" s="14">
        <f t="shared" si="73"/>
        <v>285</v>
      </c>
      <c r="C288" s="37"/>
      <c r="D288" s="40"/>
      <c r="E288" s="39"/>
      <c r="F288" s="37"/>
      <c r="G288" s="39"/>
      <c r="H288" s="37"/>
      <c r="I288" s="37"/>
      <c r="J288" s="41" t="str">
        <f t="shared" si="74"/>
        <v/>
      </c>
      <c r="K288" s="12" t="str">
        <f t="shared" si="80"/>
        <v/>
      </c>
      <c r="L288" s="12" t="str">
        <f t="shared" si="81"/>
        <v/>
      </c>
      <c r="M288" s="12" t="str">
        <f t="shared" si="75"/>
        <v/>
      </c>
      <c r="N288" s="12" t="str">
        <f t="shared" si="76"/>
        <v/>
      </c>
      <c r="O288" s="12" t="str">
        <f t="shared" si="77"/>
        <v/>
      </c>
      <c r="P288" s="12" t="str">
        <f t="shared" si="78"/>
        <v/>
      </c>
      <c r="Q288" s="12" t="str">
        <f t="shared" si="82"/>
        <v/>
      </c>
      <c r="R288" s="26" t="str">
        <f t="shared" si="79"/>
        <v/>
      </c>
      <c r="S288" s="26" t="str">
        <f t="shared" si="88"/>
        <v/>
      </c>
      <c r="T288" s="26" t="str">
        <f t="shared" si="83"/>
        <v/>
      </c>
      <c r="U288" s="26" t="str">
        <f t="shared" si="84"/>
        <v/>
      </c>
      <c r="V288" s="26" t="str">
        <f t="shared" si="85"/>
        <v/>
      </c>
      <c r="W288" s="20" t="str">
        <f t="shared" si="86"/>
        <v/>
      </c>
      <c r="X288" s="20" t="str">
        <f t="shared" si="87"/>
        <v/>
      </c>
      <c r="Y288" s="86" t="str">
        <f t="shared" si="89"/>
        <v/>
      </c>
      <c r="Z288" s="31"/>
    </row>
    <row r="289" spans="2:26" outlineLevel="1">
      <c r="B289" s="14">
        <f t="shared" si="73"/>
        <v>286</v>
      </c>
      <c r="C289" s="37"/>
      <c r="D289" s="40"/>
      <c r="E289" s="39"/>
      <c r="F289" s="37"/>
      <c r="G289" s="39"/>
      <c r="H289" s="37"/>
      <c r="I289" s="37"/>
      <c r="J289" s="41" t="str">
        <f t="shared" si="74"/>
        <v/>
      </c>
      <c r="K289" s="12" t="str">
        <f t="shared" si="80"/>
        <v/>
      </c>
      <c r="L289" s="12" t="str">
        <f t="shared" si="81"/>
        <v/>
      </c>
      <c r="M289" s="12" t="str">
        <f t="shared" si="75"/>
        <v/>
      </c>
      <c r="N289" s="12" t="str">
        <f t="shared" si="76"/>
        <v/>
      </c>
      <c r="O289" s="12" t="str">
        <f t="shared" si="77"/>
        <v/>
      </c>
      <c r="P289" s="12" t="str">
        <f t="shared" si="78"/>
        <v/>
      </c>
      <c r="Q289" s="12" t="str">
        <f t="shared" si="82"/>
        <v/>
      </c>
      <c r="R289" s="26" t="str">
        <f t="shared" si="79"/>
        <v/>
      </c>
      <c r="S289" s="26" t="str">
        <f t="shared" si="88"/>
        <v/>
      </c>
      <c r="T289" s="26" t="str">
        <f t="shared" si="83"/>
        <v/>
      </c>
      <c r="U289" s="26" t="str">
        <f t="shared" si="84"/>
        <v/>
      </c>
      <c r="V289" s="26" t="str">
        <f t="shared" si="85"/>
        <v/>
      </c>
      <c r="W289" s="20" t="str">
        <f t="shared" si="86"/>
        <v/>
      </c>
      <c r="X289" s="20" t="str">
        <f t="shared" si="87"/>
        <v/>
      </c>
      <c r="Y289" s="86" t="str">
        <f t="shared" si="89"/>
        <v/>
      </c>
      <c r="Z289" s="31"/>
    </row>
    <row r="290" spans="2:26" outlineLevel="1">
      <c r="B290" s="14">
        <f t="shared" si="73"/>
        <v>287</v>
      </c>
      <c r="C290" s="37"/>
      <c r="D290" s="40"/>
      <c r="E290" s="39"/>
      <c r="F290" s="37"/>
      <c r="G290" s="39"/>
      <c r="H290" s="37"/>
      <c r="I290" s="37"/>
      <c r="J290" s="41" t="str">
        <f t="shared" si="74"/>
        <v/>
      </c>
      <c r="K290" s="12" t="str">
        <f t="shared" si="80"/>
        <v/>
      </c>
      <c r="L290" s="12" t="str">
        <f t="shared" si="81"/>
        <v/>
      </c>
      <c r="M290" s="12" t="str">
        <f t="shared" si="75"/>
        <v/>
      </c>
      <c r="N290" s="12" t="str">
        <f t="shared" si="76"/>
        <v/>
      </c>
      <c r="O290" s="12" t="str">
        <f t="shared" si="77"/>
        <v/>
      </c>
      <c r="P290" s="12" t="str">
        <f t="shared" si="78"/>
        <v/>
      </c>
      <c r="Q290" s="12" t="str">
        <f t="shared" si="82"/>
        <v/>
      </c>
      <c r="R290" s="26" t="str">
        <f t="shared" si="79"/>
        <v/>
      </c>
      <c r="S290" s="26" t="str">
        <f t="shared" si="88"/>
        <v/>
      </c>
      <c r="T290" s="26" t="str">
        <f t="shared" si="83"/>
        <v/>
      </c>
      <c r="U290" s="26" t="str">
        <f t="shared" si="84"/>
        <v/>
      </c>
      <c r="V290" s="26" t="str">
        <f t="shared" si="85"/>
        <v/>
      </c>
      <c r="W290" s="20" t="str">
        <f t="shared" si="86"/>
        <v/>
      </c>
      <c r="X290" s="20" t="str">
        <f t="shared" si="87"/>
        <v/>
      </c>
      <c r="Y290" s="86" t="str">
        <f t="shared" si="89"/>
        <v/>
      </c>
      <c r="Z290" s="31"/>
    </row>
    <row r="291" spans="2:26" outlineLevel="1">
      <c r="B291" s="14">
        <f t="shared" si="73"/>
        <v>288</v>
      </c>
      <c r="C291" s="37"/>
      <c r="D291" s="40"/>
      <c r="E291" s="39"/>
      <c r="F291" s="37"/>
      <c r="G291" s="39"/>
      <c r="H291" s="37"/>
      <c r="I291" s="37"/>
      <c r="J291" s="41" t="str">
        <f t="shared" si="74"/>
        <v/>
      </c>
      <c r="K291" s="12" t="str">
        <f t="shared" si="80"/>
        <v/>
      </c>
      <c r="L291" s="12" t="str">
        <f t="shared" si="81"/>
        <v/>
      </c>
      <c r="M291" s="12" t="str">
        <f t="shared" si="75"/>
        <v/>
      </c>
      <c r="N291" s="12" t="str">
        <f t="shared" si="76"/>
        <v/>
      </c>
      <c r="O291" s="12" t="str">
        <f t="shared" si="77"/>
        <v/>
      </c>
      <c r="P291" s="12" t="str">
        <f t="shared" si="78"/>
        <v/>
      </c>
      <c r="Q291" s="12" t="str">
        <f t="shared" si="82"/>
        <v/>
      </c>
      <c r="R291" s="26" t="str">
        <f t="shared" si="79"/>
        <v/>
      </c>
      <c r="S291" s="26" t="str">
        <f t="shared" si="88"/>
        <v/>
      </c>
      <c r="T291" s="26" t="str">
        <f t="shared" si="83"/>
        <v/>
      </c>
      <c r="U291" s="26" t="str">
        <f t="shared" si="84"/>
        <v/>
      </c>
      <c r="V291" s="26" t="str">
        <f t="shared" si="85"/>
        <v/>
      </c>
      <c r="W291" s="20" t="str">
        <f t="shared" si="86"/>
        <v/>
      </c>
      <c r="X291" s="20" t="str">
        <f t="shared" si="87"/>
        <v/>
      </c>
      <c r="Y291" s="86" t="str">
        <f t="shared" si="89"/>
        <v/>
      </c>
      <c r="Z291" s="31"/>
    </row>
    <row r="292" spans="2:26" outlineLevel="1">
      <c r="B292" s="14">
        <f t="shared" si="73"/>
        <v>289</v>
      </c>
      <c r="C292" s="37"/>
      <c r="D292" s="40"/>
      <c r="E292" s="39"/>
      <c r="F292" s="37"/>
      <c r="G292" s="39"/>
      <c r="H292" s="37"/>
      <c r="I292" s="37"/>
      <c r="J292" s="41" t="str">
        <f t="shared" si="74"/>
        <v/>
      </c>
      <c r="K292" s="12" t="str">
        <f t="shared" si="80"/>
        <v/>
      </c>
      <c r="L292" s="12" t="str">
        <f t="shared" si="81"/>
        <v/>
      </c>
      <c r="M292" s="12" t="str">
        <f t="shared" si="75"/>
        <v/>
      </c>
      <c r="N292" s="12" t="str">
        <f t="shared" si="76"/>
        <v/>
      </c>
      <c r="O292" s="12" t="str">
        <f t="shared" si="77"/>
        <v/>
      </c>
      <c r="P292" s="12" t="str">
        <f t="shared" si="78"/>
        <v/>
      </c>
      <c r="Q292" s="12" t="str">
        <f t="shared" si="82"/>
        <v/>
      </c>
      <c r="R292" s="26" t="str">
        <f t="shared" si="79"/>
        <v/>
      </c>
      <c r="S292" s="26" t="str">
        <f t="shared" si="88"/>
        <v/>
      </c>
      <c r="T292" s="26" t="str">
        <f t="shared" si="83"/>
        <v/>
      </c>
      <c r="U292" s="26" t="str">
        <f t="shared" si="84"/>
        <v/>
      </c>
      <c r="V292" s="26" t="str">
        <f t="shared" si="85"/>
        <v/>
      </c>
      <c r="W292" s="20" t="str">
        <f t="shared" si="86"/>
        <v/>
      </c>
      <c r="X292" s="20" t="str">
        <f t="shared" si="87"/>
        <v/>
      </c>
      <c r="Y292" s="86" t="str">
        <f t="shared" si="89"/>
        <v/>
      </c>
      <c r="Z292" s="31"/>
    </row>
    <row r="293" spans="2:26" outlineLevel="1">
      <c r="B293" s="14">
        <f t="shared" si="73"/>
        <v>290</v>
      </c>
      <c r="C293" s="37"/>
      <c r="D293" s="40"/>
      <c r="E293" s="39"/>
      <c r="F293" s="37"/>
      <c r="G293" s="39"/>
      <c r="H293" s="37"/>
      <c r="I293" s="37"/>
      <c r="J293" s="41" t="str">
        <f t="shared" si="74"/>
        <v/>
      </c>
      <c r="K293" s="12" t="str">
        <f t="shared" si="80"/>
        <v/>
      </c>
      <c r="L293" s="12" t="str">
        <f t="shared" si="81"/>
        <v/>
      </c>
      <c r="M293" s="12" t="str">
        <f t="shared" si="75"/>
        <v/>
      </c>
      <c r="N293" s="12" t="str">
        <f t="shared" si="76"/>
        <v/>
      </c>
      <c r="O293" s="12" t="str">
        <f t="shared" si="77"/>
        <v/>
      </c>
      <c r="P293" s="12" t="str">
        <f t="shared" si="78"/>
        <v/>
      </c>
      <c r="Q293" s="12" t="str">
        <f t="shared" si="82"/>
        <v/>
      </c>
      <c r="R293" s="26" t="str">
        <f t="shared" si="79"/>
        <v/>
      </c>
      <c r="S293" s="26" t="str">
        <f t="shared" si="88"/>
        <v/>
      </c>
      <c r="T293" s="26" t="str">
        <f t="shared" si="83"/>
        <v/>
      </c>
      <c r="U293" s="26" t="str">
        <f t="shared" si="84"/>
        <v/>
      </c>
      <c r="V293" s="26" t="str">
        <f t="shared" si="85"/>
        <v/>
      </c>
      <c r="W293" s="20" t="str">
        <f t="shared" si="86"/>
        <v/>
      </c>
      <c r="X293" s="20" t="str">
        <f t="shared" si="87"/>
        <v/>
      </c>
      <c r="Y293" s="86" t="str">
        <f t="shared" si="89"/>
        <v/>
      </c>
      <c r="Z293" s="31"/>
    </row>
    <row r="294" spans="2:26" outlineLevel="1">
      <c r="B294" s="14">
        <f t="shared" si="73"/>
        <v>291</v>
      </c>
      <c r="C294" s="37"/>
      <c r="D294" s="40"/>
      <c r="E294" s="39"/>
      <c r="F294" s="37"/>
      <c r="G294" s="39"/>
      <c r="H294" s="37"/>
      <c r="I294" s="37"/>
      <c r="J294" s="41" t="str">
        <f t="shared" si="74"/>
        <v/>
      </c>
      <c r="K294" s="12" t="str">
        <f t="shared" si="80"/>
        <v/>
      </c>
      <c r="L294" s="12" t="str">
        <f t="shared" si="81"/>
        <v/>
      </c>
      <c r="M294" s="12" t="str">
        <f t="shared" si="75"/>
        <v/>
      </c>
      <c r="N294" s="12" t="str">
        <f t="shared" si="76"/>
        <v/>
      </c>
      <c r="O294" s="12" t="str">
        <f t="shared" si="77"/>
        <v/>
      </c>
      <c r="P294" s="12" t="str">
        <f t="shared" si="78"/>
        <v/>
      </c>
      <c r="Q294" s="12" t="str">
        <f t="shared" si="82"/>
        <v/>
      </c>
      <c r="R294" s="26" t="str">
        <f t="shared" si="79"/>
        <v/>
      </c>
      <c r="S294" s="26" t="str">
        <f t="shared" si="88"/>
        <v/>
      </c>
      <c r="T294" s="26" t="str">
        <f t="shared" si="83"/>
        <v/>
      </c>
      <c r="U294" s="26" t="str">
        <f t="shared" si="84"/>
        <v/>
      </c>
      <c r="V294" s="26" t="str">
        <f t="shared" si="85"/>
        <v/>
      </c>
      <c r="W294" s="20" t="str">
        <f t="shared" si="86"/>
        <v/>
      </c>
      <c r="X294" s="20" t="str">
        <f t="shared" si="87"/>
        <v/>
      </c>
      <c r="Y294" s="86" t="str">
        <f t="shared" si="89"/>
        <v/>
      </c>
      <c r="Z294" s="31"/>
    </row>
    <row r="295" spans="2:26" outlineLevel="1">
      <c r="B295" s="14">
        <f t="shared" si="73"/>
        <v>292</v>
      </c>
      <c r="C295" s="37"/>
      <c r="D295" s="40"/>
      <c r="E295" s="39"/>
      <c r="F295" s="37"/>
      <c r="G295" s="39"/>
      <c r="H295" s="37"/>
      <c r="I295" s="37"/>
      <c r="J295" s="41" t="str">
        <f t="shared" si="74"/>
        <v/>
      </c>
      <c r="K295" s="12" t="str">
        <f t="shared" si="80"/>
        <v/>
      </c>
      <c r="L295" s="12" t="str">
        <f t="shared" si="81"/>
        <v/>
      </c>
      <c r="M295" s="12" t="str">
        <f t="shared" si="75"/>
        <v/>
      </c>
      <c r="N295" s="12" t="str">
        <f t="shared" si="76"/>
        <v/>
      </c>
      <c r="O295" s="12" t="str">
        <f t="shared" si="77"/>
        <v/>
      </c>
      <c r="P295" s="12" t="str">
        <f t="shared" si="78"/>
        <v/>
      </c>
      <c r="Q295" s="12" t="str">
        <f t="shared" si="82"/>
        <v/>
      </c>
      <c r="R295" s="26" t="str">
        <f t="shared" si="79"/>
        <v/>
      </c>
      <c r="S295" s="26" t="str">
        <f t="shared" si="88"/>
        <v/>
      </c>
      <c r="T295" s="26" t="str">
        <f t="shared" si="83"/>
        <v/>
      </c>
      <c r="U295" s="26" t="str">
        <f t="shared" si="84"/>
        <v/>
      </c>
      <c r="V295" s="26" t="str">
        <f t="shared" si="85"/>
        <v/>
      </c>
      <c r="W295" s="20" t="str">
        <f t="shared" si="86"/>
        <v/>
      </c>
      <c r="X295" s="20" t="str">
        <f t="shared" si="87"/>
        <v/>
      </c>
      <c r="Y295" s="86" t="str">
        <f t="shared" si="89"/>
        <v/>
      </c>
      <c r="Z295" s="31"/>
    </row>
    <row r="296" spans="2:26" outlineLevel="1">
      <c r="B296" s="14">
        <f t="shared" si="73"/>
        <v>293</v>
      </c>
      <c r="C296" s="37"/>
      <c r="D296" s="40"/>
      <c r="E296" s="39"/>
      <c r="F296" s="37"/>
      <c r="G296" s="39"/>
      <c r="H296" s="37"/>
      <c r="I296" s="37"/>
      <c r="J296" s="41" t="str">
        <f t="shared" si="74"/>
        <v/>
      </c>
      <c r="K296" s="12" t="str">
        <f t="shared" si="80"/>
        <v/>
      </c>
      <c r="L296" s="12" t="str">
        <f t="shared" si="81"/>
        <v/>
      </c>
      <c r="M296" s="12" t="str">
        <f t="shared" si="75"/>
        <v/>
      </c>
      <c r="N296" s="12" t="str">
        <f t="shared" si="76"/>
        <v/>
      </c>
      <c r="O296" s="12" t="str">
        <f t="shared" si="77"/>
        <v/>
      </c>
      <c r="P296" s="12" t="str">
        <f t="shared" si="78"/>
        <v/>
      </c>
      <c r="Q296" s="12" t="str">
        <f t="shared" si="82"/>
        <v/>
      </c>
      <c r="R296" s="26" t="str">
        <f t="shared" si="79"/>
        <v/>
      </c>
      <c r="S296" s="26" t="str">
        <f t="shared" si="88"/>
        <v/>
      </c>
      <c r="T296" s="26" t="str">
        <f t="shared" si="83"/>
        <v/>
      </c>
      <c r="U296" s="26" t="str">
        <f t="shared" si="84"/>
        <v/>
      </c>
      <c r="V296" s="26" t="str">
        <f t="shared" si="85"/>
        <v/>
      </c>
      <c r="W296" s="20" t="str">
        <f t="shared" si="86"/>
        <v/>
      </c>
      <c r="X296" s="20" t="str">
        <f t="shared" si="87"/>
        <v/>
      </c>
      <c r="Y296" s="86" t="str">
        <f t="shared" si="89"/>
        <v/>
      </c>
      <c r="Z296" s="31"/>
    </row>
    <row r="297" spans="2:26" outlineLevel="1">
      <c r="B297" s="14">
        <f t="shared" si="73"/>
        <v>294</v>
      </c>
      <c r="C297" s="37"/>
      <c r="D297" s="40"/>
      <c r="E297" s="39"/>
      <c r="F297" s="37"/>
      <c r="G297" s="39"/>
      <c r="H297" s="37"/>
      <c r="I297" s="37"/>
      <c r="J297" s="41" t="str">
        <f t="shared" si="74"/>
        <v/>
      </c>
      <c r="K297" s="12" t="str">
        <f t="shared" si="80"/>
        <v/>
      </c>
      <c r="L297" s="12" t="str">
        <f t="shared" si="81"/>
        <v/>
      </c>
      <c r="M297" s="12" t="str">
        <f t="shared" si="75"/>
        <v/>
      </c>
      <c r="N297" s="12" t="str">
        <f t="shared" si="76"/>
        <v/>
      </c>
      <c r="O297" s="12" t="str">
        <f t="shared" si="77"/>
        <v/>
      </c>
      <c r="P297" s="12" t="str">
        <f t="shared" si="78"/>
        <v/>
      </c>
      <c r="Q297" s="12" t="str">
        <f t="shared" si="82"/>
        <v/>
      </c>
      <c r="R297" s="26" t="str">
        <f t="shared" si="79"/>
        <v/>
      </c>
      <c r="S297" s="26" t="str">
        <f t="shared" si="88"/>
        <v/>
      </c>
      <c r="T297" s="26" t="str">
        <f t="shared" si="83"/>
        <v/>
      </c>
      <c r="U297" s="26" t="str">
        <f t="shared" si="84"/>
        <v/>
      </c>
      <c r="V297" s="26" t="str">
        <f t="shared" si="85"/>
        <v/>
      </c>
      <c r="W297" s="20" t="str">
        <f t="shared" si="86"/>
        <v/>
      </c>
      <c r="X297" s="20" t="str">
        <f t="shared" si="87"/>
        <v/>
      </c>
      <c r="Y297" s="86" t="str">
        <f t="shared" si="89"/>
        <v/>
      </c>
      <c r="Z297" s="31"/>
    </row>
    <row r="298" spans="2:26" outlineLevel="1">
      <c r="B298" s="14">
        <f t="shared" si="73"/>
        <v>295</v>
      </c>
      <c r="C298" s="37"/>
      <c r="D298" s="40"/>
      <c r="E298" s="39"/>
      <c r="F298" s="37"/>
      <c r="G298" s="39"/>
      <c r="H298" s="37"/>
      <c r="I298" s="37"/>
      <c r="J298" s="41" t="str">
        <f t="shared" si="74"/>
        <v/>
      </c>
      <c r="K298" s="12" t="str">
        <f t="shared" si="80"/>
        <v/>
      </c>
      <c r="L298" s="12" t="str">
        <f t="shared" si="81"/>
        <v/>
      </c>
      <c r="M298" s="12" t="str">
        <f t="shared" si="75"/>
        <v/>
      </c>
      <c r="N298" s="12" t="str">
        <f t="shared" si="76"/>
        <v/>
      </c>
      <c r="O298" s="12" t="str">
        <f t="shared" si="77"/>
        <v/>
      </c>
      <c r="P298" s="12" t="str">
        <f t="shared" si="78"/>
        <v/>
      </c>
      <c r="Q298" s="12" t="str">
        <f t="shared" si="82"/>
        <v/>
      </c>
      <c r="R298" s="26" t="str">
        <f t="shared" si="79"/>
        <v/>
      </c>
      <c r="S298" s="26" t="str">
        <f t="shared" si="88"/>
        <v/>
      </c>
      <c r="T298" s="26" t="str">
        <f t="shared" si="83"/>
        <v/>
      </c>
      <c r="U298" s="26" t="str">
        <f t="shared" si="84"/>
        <v/>
      </c>
      <c r="V298" s="26" t="str">
        <f t="shared" si="85"/>
        <v/>
      </c>
      <c r="W298" s="20" t="str">
        <f t="shared" si="86"/>
        <v/>
      </c>
      <c r="X298" s="20" t="str">
        <f t="shared" si="87"/>
        <v/>
      </c>
      <c r="Y298" s="86" t="str">
        <f t="shared" si="89"/>
        <v/>
      </c>
      <c r="Z298" s="31"/>
    </row>
    <row r="299" spans="2:26" outlineLevel="1">
      <c r="B299" s="14">
        <f t="shared" si="73"/>
        <v>296</v>
      </c>
      <c r="C299" s="37"/>
      <c r="D299" s="40"/>
      <c r="E299" s="39"/>
      <c r="F299" s="37"/>
      <c r="G299" s="39"/>
      <c r="H299" s="37"/>
      <c r="I299" s="37"/>
      <c r="J299" s="41" t="str">
        <f t="shared" si="74"/>
        <v/>
      </c>
      <c r="K299" s="12" t="str">
        <f t="shared" si="80"/>
        <v/>
      </c>
      <c r="L299" s="12" t="str">
        <f t="shared" si="81"/>
        <v/>
      </c>
      <c r="M299" s="12" t="str">
        <f t="shared" si="75"/>
        <v/>
      </c>
      <c r="N299" s="12" t="str">
        <f t="shared" si="76"/>
        <v/>
      </c>
      <c r="O299" s="12" t="str">
        <f t="shared" si="77"/>
        <v/>
      </c>
      <c r="P299" s="12" t="str">
        <f t="shared" si="78"/>
        <v/>
      </c>
      <c r="Q299" s="12" t="str">
        <f t="shared" si="82"/>
        <v/>
      </c>
      <c r="R299" s="26" t="str">
        <f t="shared" si="79"/>
        <v/>
      </c>
      <c r="S299" s="26" t="str">
        <f t="shared" si="88"/>
        <v/>
      </c>
      <c r="T299" s="26" t="str">
        <f t="shared" si="83"/>
        <v/>
      </c>
      <c r="U299" s="26" t="str">
        <f t="shared" si="84"/>
        <v/>
      </c>
      <c r="V299" s="26" t="str">
        <f t="shared" si="85"/>
        <v/>
      </c>
      <c r="W299" s="20" t="str">
        <f t="shared" si="86"/>
        <v/>
      </c>
      <c r="X299" s="20" t="str">
        <f t="shared" si="87"/>
        <v/>
      </c>
      <c r="Y299" s="86" t="str">
        <f t="shared" si="89"/>
        <v/>
      </c>
      <c r="Z299" s="31"/>
    </row>
    <row r="300" spans="2:26" outlineLevel="1">
      <c r="B300" s="14">
        <f t="shared" si="73"/>
        <v>297</v>
      </c>
      <c r="C300" s="37"/>
      <c r="D300" s="40"/>
      <c r="E300" s="39"/>
      <c r="F300" s="37"/>
      <c r="G300" s="39"/>
      <c r="H300" s="37"/>
      <c r="I300" s="37"/>
      <c r="J300" s="41" t="str">
        <f t="shared" si="74"/>
        <v/>
      </c>
      <c r="K300" s="12" t="str">
        <f t="shared" si="80"/>
        <v/>
      </c>
      <c r="L300" s="12" t="str">
        <f t="shared" si="81"/>
        <v/>
      </c>
      <c r="M300" s="12" t="str">
        <f t="shared" si="75"/>
        <v/>
      </c>
      <c r="N300" s="12" t="str">
        <f t="shared" si="76"/>
        <v/>
      </c>
      <c r="O300" s="12" t="str">
        <f t="shared" si="77"/>
        <v/>
      </c>
      <c r="P300" s="12" t="str">
        <f t="shared" si="78"/>
        <v/>
      </c>
      <c r="Q300" s="12" t="str">
        <f t="shared" si="82"/>
        <v/>
      </c>
      <c r="R300" s="26" t="str">
        <f t="shared" si="79"/>
        <v/>
      </c>
      <c r="S300" s="26" t="str">
        <f t="shared" si="88"/>
        <v/>
      </c>
      <c r="T300" s="26" t="str">
        <f t="shared" si="83"/>
        <v/>
      </c>
      <c r="U300" s="26" t="str">
        <f t="shared" si="84"/>
        <v/>
      </c>
      <c r="V300" s="26" t="str">
        <f t="shared" si="85"/>
        <v/>
      </c>
      <c r="W300" s="20" t="str">
        <f t="shared" si="86"/>
        <v/>
      </c>
      <c r="X300" s="20" t="str">
        <f t="shared" si="87"/>
        <v/>
      </c>
      <c r="Y300" s="86" t="str">
        <f t="shared" si="89"/>
        <v/>
      </c>
      <c r="Z300" s="31"/>
    </row>
    <row r="301" spans="2:26" outlineLevel="1">
      <c r="B301" s="14">
        <f t="shared" si="73"/>
        <v>298</v>
      </c>
      <c r="C301" s="37"/>
      <c r="D301" s="40"/>
      <c r="E301" s="39"/>
      <c r="F301" s="37"/>
      <c r="G301" s="39"/>
      <c r="H301" s="37"/>
      <c r="I301" s="37"/>
      <c r="J301" s="41" t="str">
        <f t="shared" si="74"/>
        <v/>
      </c>
      <c r="K301" s="12" t="str">
        <f t="shared" si="80"/>
        <v/>
      </c>
      <c r="L301" s="12" t="str">
        <f t="shared" si="81"/>
        <v/>
      </c>
      <c r="M301" s="12" t="str">
        <f t="shared" si="75"/>
        <v/>
      </c>
      <c r="N301" s="12" t="str">
        <f t="shared" si="76"/>
        <v/>
      </c>
      <c r="O301" s="12" t="str">
        <f t="shared" si="77"/>
        <v/>
      </c>
      <c r="P301" s="12" t="str">
        <f t="shared" si="78"/>
        <v/>
      </c>
      <c r="Q301" s="12" t="str">
        <f t="shared" si="82"/>
        <v/>
      </c>
      <c r="R301" s="26" t="str">
        <f t="shared" si="79"/>
        <v/>
      </c>
      <c r="S301" s="26" t="str">
        <f t="shared" si="88"/>
        <v/>
      </c>
      <c r="T301" s="26" t="str">
        <f t="shared" si="83"/>
        <v/>
      </c>
      <c r="U301" s="26" t="str">
        <f t="shared" si="84"/>
        <v/>
      </c>
      <c r="V301" s="26" t="str">
        <f t="shared" si="85"/>
        <v/>
      </c>
      <c r="W301" s="20" t="str">
        <f t="shared" si="86"/>
        <v/>
      </c>
      <c r="X301" s="20" t="str">
        <f t="shared" si="87"/>
        <v/>
      </c>
      <c r="Y301" s="86" t="str">
        <f t="shared" si="89"/>
        <v/>
      </c>
      <c r="Z301" s="31"/>
    </row>
    <row r="302" spans="2:26" outlineLevel="1">
      <c r="B302" s="14">
        <f t="shared" si="73"/>
        <v>299</v>
      </c>
      <c r="C302" s="37"/>
      <c r="D302" s="40"/>
      <c r="E302" s="39"/>
      <c r="F302" s="37"/>
      <c r="G302" s="39"/>
      <c r="H302" s="37"/>
      <c r="I302" s="37"/>
      <c r="J302" s="41" t="str">
        <f t="shared" si="74"/>
        <v/>
      </c>
      <c r="K302" s="12" t="str">
        <f t="shared" si="80"/>
        <v/>
      </c>
      <c r="L302" s="12" t="str">
        <f t="shared" si="81"/>
        <v/>
      </c>
      <c r="M302" s="12" t="str">
        <f t="shared" si="75"/>
        <v/>
      </c>
      <c r="N302" s="12" t="str">
        <f t="shared" si="76"/>
        <v/>
      </c>
      <c r="O302" s="12" t="str">
        <f t="shared" si="77"/>
        <v/>
      </c>
      <c r="P302" s="12" t="str">
        <f t="shared" si="78"/>
        <v/>
      </c>
      <c r="Q302" s="12" t="str">
        <f t="shared" si="82"/>
        <v/>
      </c>
      <c r="R302" s="26" t="str">
        <f t="shared" si="79"/>
        <v/>
      </c>
      <c r="S302" s="26" t="str">
        <f t="shared" si="88"/>
        <v/>
      </c>
      <c r="T302" s="26" t="str">
        <f t="shared" si="83"/>
        <v/>
      </c>
      <c r="U302" s="26" t="str">
        <f t="shared" si="84"/>
        <v/>
      </c>
      <c r="V302" s="26" t="str">
        <f t="shared" si="85"/>
        <v/>
      </c>
      <c r="W302" s="20" t="str">
        <f t="shared" si="86"/>
        <v/>
      </c>
      <c r="X302" s="20" t="str">
        <f t="shared" si="87"/>
        <v/>
      </c>
      <c r="Y302" s="86" t="str">
        <f t="shared" si="89"/>
        <v/>
      </c>
      <c r="Z302" s="31"/>
    </row>
    <row r="303" spans="2:26" outlineLevel="1">
      <c r="B303" s="14">
        <f t="shared" si="73"/>
        <v>300</v>
      </c>
      <c r="C303" s="37"/>
      <c r="D303" s="40"/>
      <c r="E303" s="39"/>
      <c r="F303" s="37"/>
      <c r="G303" s="39"/>
      <c r="H303" s="37"/>
      <c r="I303" s="37"/>
      <c r="J303" s="41" t="str">
        <f t="shared" si="74"/>
        <v/>
      </c>
      <c r="K303" s="12" t="str">
        <f t="shared" si="80"/>
        <v/>
      </c>
      <c r="L303" s="12" t="str">
        <f t="shared" si="81"/>
        <v/>
      </c>
      <c r="M303" s="12" t="str">
        <f t="shared" si="75"/>
        <v/>
      </c>
      <c r="N303" s="12" t="str">
        <f t="shared" si="76"/>
        <v/>
      </c>
      <c r="O303" s="12" t="str">
        <f t="shared" si="77"/>
        <v/>
      </c>
      <c r="P303" s="12" t="str">
        <f t="shared" si="78"/>
        <v/>
      </c>
      <c r="Q303" s="12" t="str">
        <f t="shared" si="82"/>
        <v/>
      </c>
      <c r="R303" s="26" t="str">
        <f t="shared" si="79"/>
        <v/>
      </c>
      <c r="S303" s="26" t="str">
        <f t="shared" si="88"/>
        <v/>
      </c>
      <c r="T303" s="26" t="str">
        <f t="shared" si="83"/>
        <v/>
      </c>
      <c r="U303" s="26" t="str">
        <f t="shared" si="84"/>
        <v/>
      </c>
      <c r="V303" s="26" t="str">
        <f t="shared" si="85"/>
        <v/>
      </c>
      <c r="W303" s="20" t="str">
        <f t="shared" si="86"/>
        <v/>
      </c>
      <c r="X303" s="20" t="str">
        <f t="shared" si="87"/>
        <v/>
      </c>
      <c r="Y303" s="86" t="str">
        <f t="shared" si="89"/>
        <v/>
      </c>
      <c r="Z303" s="31"/>
    </row>
    <row r="304" spans="2:26" outlineLevel="1">
      <c r="B304" s="14">
        <f t="shared" si="73"/>
        <v>301</v>
      </c>
      <c r="C304" s="37"/>
      <c r="D304" s="40"/>
      <c r="E304" s="39"/>
      <c r="F304" s="37"/>
      <c r="G304" s="39"/>
      <c r="H304" s="37"/>
      <c r="I304" s="37"/>
      <c r="J304" s="41" t="str">
        <f t="shared" si="74"/>
        <v/>
      </c>
      <c r="K304" s="12" t="str">
        <f t="shared" si="80"/>
        <v/>
      </c>
      <c r="L304" s="12" t="str">
        <f t="shared" si="81"/>
        <v/>
      </c>
      <c r="M304" s="12" t="str">
        <f t="shared" si="75"/>
        <v/>
      </c>
      <c r="N304" s="12" t="str">
        <f t="shared" si="76"/>
        <v/>
      </c>
      <c r="O304" s="12" t="str">
        <f t="shared" si="77"/>
        <v/>
      </c>
      <c r="P304" s="12" t="str">
        <f t="shared" si="78"/>
        <v/>
      </c>
      <c r="Q304" s="12" t="str">
        <f t="shared" si="82"/>
        <v/>
      </c>
      <c r="R304" s="26" t="str">
        <f t="shared" si="79"/>
        <v/>
      </c>
      <c r="S304" s="26" t="str">
        <f t="shared" si="88"/>
        <v/>
      </c>
      <c r="T304" s="26" t="str">
        <f t="shared" si="83"/>
        <v/>
      </c>
      <c r="U304" s="26" t="str">
        <f t="shared" si="84"/>
        <v/>
      </c>
      <c r="V304" s="26" t="str">
        <f t="shared" si="85"/>
        <v/>
      </c>
      <c r="W304" s="20" t="str">
        <f t="shared" si="86"/>
        <v/>
      </c>
      <c r="X304" s="20" t="str">
        <f t="shared" si="87"/>
        <v/>
      </c>
      <c r="Y304" s="86" t="str">
        <f t="shared" si="89"/>
        <v/>
      </c>
      <c r="Z304" s="31"/>
    </row>
    <row r="305" spans="2:26" outlineLevel="1">
      <c r="B305" s="14">
        <f t="shared" si="73"/>
        <v>302</v>
      </c>
      <c r="C305" s="37"/>
      <c r="D305" s="40"/>
      <c r="E305" s="39"/>
      <c r="F305" s="37"/>
      <c r="G305" s="39"/>
      <c r="H305" s="37"/>
      <c r="I305" s="37"/>
      <c r="J305" s="41" t="str">
        <f t="shared" si="74"/>
        <v/>
      </c>
      <c r="K305" s="12" t="str">
        <f t="shared" si="80"/>
        <v/>
      </c>
      <c r="L305" s="12" t="str">
        <f t="shared" si="81"/>
        <v/>
      </c>
      <c r="M305" s="12" t="str">
        <f t="shared" si="75"/>
        <v/>
      </c>
      <c r="N305" s="12" t="str">
        <f t="shared" si="76"/>
        <v/>
      </c>
      <c r="O305" s="12" t="str">
        <f t="shared" si="77"/>
        <v/>
      </c>
      <c r="P305" s="12" t="str">
        <f t="shared" si="78"/>
        <v/>
      </c>
      <c r="Q305" s="12" t="str">
        <f t="shared" si="82"/>
        <v/>
      </c>
      <c r="R305" s="26" t="str">
        <f t="shared" si="79"/>
        <v/>
      </c>
      <c r="S305" s="26" t="str">
        <f t="shared" si="88"/>
        <v/>
      </c>
      <c r="T305" s="26" t="str">
        <f t="shared" si="83"/>
        <v/>
      </c>
      <c r="U305" s="26" t="str">
        <f t="shared" si="84"/>
        <v/>
      </c>
      <c r="V305" s="26" t="str">
        <f t="shared" si="85"/>
        <v/>
      </c>
      <c r="W305" s="20" t="str">
        <f t="shared" si="86"/>
        <v/>
      </c>
      <c r="X305" s="20" t="str">
        <f t="shared" si="87"/>
        <v/>
      </c>
      <c r="Y305" s="86" t="str">
        <f t="shared" si="89"/>
        <v/>
      </c>
      <c r="Z305" s="31"/>
    </row>
    <row r="306" spans="2:26" outlineLevel="1">
      <c r="B306" s="14">
        <f t="shared" si="73"/>
        <v>303</v>
      </c>
      <c r="C306" s="37"/>
      <c r="D306" s="40"/>
      <c r="E306" s="39"/>
      <c r="F306" s="37"/>
      <c r="G306" s="39"/>
      <c r="H306" s="37"/>
      <c r="I306" s="37"/>
      <c r="J306" s="41" t="str">
        <f t="shared" si="74"/>
        <v/>
      </c>
      <c r="K306" s="12" t="str">
        <f t="shared" si="80"/>
        <v/>
      </c>
      <c r="L306" s="12" t="str">
        <f t="shared" si="81"/>
        <v/>
      </c>
      <c r="M306" s="12" t="str">
        <f t="shared" si="75"/>
        <v/>
      </c>
      <c r="N306" s="12" t="str">
        <f t="shared" si="76"/>
        <v/>
      </c>
      <c r="O306" s="12" t="str">
        <f t="shared" si="77"/>
        <v/>
      </c>
      <c r="P306" s="12" t="str">
        <f t="shared" si="78"/>
        <v/>
      </c>
      <c r="Q306" s="12" t="str">
        <f t="shared" si="82"/>
        <v/>
      </c>
      <c r="R306" s="26" t="str">
        <f t="shared" si="79"/>
        <v/>
      </c>
      <c r="S306" s="26" t="str">
        <f t="shared" si="88"/>
        <v/>
      </c>
      <c r="T306" s="26" t="str">
        <f t="shared" si="83"/>
        <v/>
      </c>
      <c r="U306" s="26" t="str">
        <f t="shared" si="84"/>
        <v/>
      </c>
      <c r="V306" s="26" t="str">
        <f t="shared" si="85"/>
        <v/>
      </c>
      <c r="W306" s="20" t="str">
        <f t="shared" si="86"/>
        <v/>
      </c>
      <c r="X306" s="20" t="str">
        <f t="shared" si="87"/>
        <v/>
      </c>
      <c r="Y306" s="86" t="str">
        <f t="shared" si="89"/>
        <v/>
      </c>
      <c r="Z306" s="31"/>
    </row>
    <row r="307" spans="2:26" outlineLevel="1">
      <c r="B307" s="14">
        <f t="shared" si="73"/>
        <v>304</v>
      </c>
      <c r="C307" s="37"/>
      <c r="D307" s="40"/>
      <c r="E307" s="39"/>
      <c r="F307" s="37"/>
      <c r="G307" s="39"/>
      <c r="H307" s="37"/>
      <c r="I307" s="37"/>
      <c r="J307" s="41" t="str">
        <f t="shared" si="74"/>
        <v/>
      </c>
      <c r="K307" s="12" t="str">
        <f t="shared" si="80"/>
        <v/>
      </c>
      <c r="L307" s="12" t="str">
        <f t="shared" si="81"/>
        <v/>
      </c>
      <c r="M307" s="12" t="str">
        <f t="shared" si="75"/>
        <v/>
      </c>
      <c r="N307" s="12" t="str">
        <f t="shared" si="76"/>
        <v/>
      </c>
      <c r="O307" s="12" t="str">
        <f t="shared" si="77"/>
        <v/>
      </c>
      <c r="P307" s="12" t="str">
        <f t="shared" si="78"/>
        <v/>
      </c>
      <c r="Q307" s="12" t="str">
        <f t="shared" si="82"/>
        <v/>
      </c>
      <c r="R307" s="26" t="str">
        <f t="shared" si="79"/>
        <v/>
      </c>
      <c r="S307" s="26" t="str">
        <f t="shared" si="88"/>
        <v/>
      </c>
      <c r="T307" s="26" t="str">
        <f t="shared" si="83"/>
        <v/>
      </c>
      <c r="U307" s="26" t="str">
        <f t="shared" si="84"/>
        <v/>
      </c>
      <c r="V307" s="26" t="str">
        <f t="shared" si="85"/>
        <v/>
      </c>
      <c r="W307" s="20" t="str">
        <f t="shared" si="86"/>
        <v/>
      </c>
      <c r="X307" s="20" t="str">
        <f t="shared" si="87"/>
        <v/>
      </c>
      <c r="Y307" s="86" t="str">
        <f t="shared" si="89"/>
        <v/>
      </c>
      <c r="Z307" s="31"/>
    </row>
    <row r="308" spans="2:26" outlineLevel="1">
      <c r="B308" s="14">
        <f t="shared" si="73"/>
        <v>305</v>
      </c>
      <c r="C308" s="37"/>
      <c r="D308" s="40"/>
      <c r="E308" s="39"/>
      <c r="F308" s="37"/>
      <c r="G308" s="39"/>
      <c r="H308" s="37"/>
      <c r="I308" s="37"/>
      <c r="J308" s="41" t="str">
        <f t="shared" si="74"/>
        <v/>
      </c>
      <c r="K308" s="12" t="str">
        <f t="shared" si="80"/>
        <v/>
      </c>
      <c r="L308" s="12" t="str">
        <f t="shared" si="81"/>
        <v/>
      </c>
      <c r="M308" s="12" t="str">
        <f t="shared" si="75"/>
        <v/>
      </c>
      <c r="N308" s="12" t="str">
        <f t="shared" si="76"/>
        <v/>
      </c>
      <c r="O308" s="12" t="str">
        <f t="shared" si="77"/>
        <v/>
      </c>
      <c r="P308" s="12" t="str">
        <f t="shared" si="78"/>
        <v/>
      </c>
      <c r="Q308" s="12" t="str">
        <f t="shared" si="82"/>
        <v/>
      </c>
      <c r="R308" s="26" t="str">
        <f t="shared" si="79"/>
        <v/>
      </c>
      <c r="S308" s="26" t="str">
        <f t="shared" si="88"/>
        <v/>
      </c>
      <c r="T308" s="26" t="str">
        <f t="shared" si="83"/>
        <v/>
      </c>
      <c r="U308" s="26" t="str">
        <f t="shared" si="84"/>
        <v/>
      </c>
      <c r="V308" s="26" t="str">
        <f t="shared" si="85"/>
        <v/>
      </c>
      <c r="W308" s="20" t="str">
        <f t="shared" si="86"/>
        <v/>
      </c>
      <c r="X308" s="20" t="str">
        <f t="shared" si="87"/>
        <v/>
      </c>
      <c r="Y308" s="86" t="str">
        <f t="shared" si="89"/>
        <v/>
      </c>
      <c r="Z308" s="31"/>
    </row>
    <row r="309" spans="2:26" outlineLevel="1">
      <c r="B309" s="14">
        <f t="shared" si="73"/>
        <v>306</v>
      </c>
      <c r="C309" s="37"/>
      <c r="D309" s="40"/>
      <c r="E309" s="39"/>
      <c r="F309" s="37"/>
      <c r="G309" s="39"/>
      <c r="H309" s="37"/>
      <c r="I309" s="37"/>
      <c r="J309" s="41" t="str">
        <f t="shared" si="74"/>
        <v/>
      </c>
      <c r="K309" s="12" t="str">
        <f t="shared" si="80"/>
        <v/>
      </c>
      <c r="L309" s="12" t="str">
        <f t="shared" si="81"/>
        <v/>
      </c>
      <c r="M309" s="12" t="str">
        <f t="shared" si="75"/>
        <v/>
      </c>
      <c r="N309" s="12" t="str">
        <f t="shared" si="76"/>
        <v/>
      </c>
      <c r="O309" s="12" t="str">
        <f t="shared" si="77"/>
        <v/>
      </c>
      <c r="P309" s="12" t="str">
        <f t="shared" si="78"/>
        <v/>
      </c>
      <c r="Q309" s="12" t="str">
        <f t="shared" si="82"/>
        <v/>
      </c>
      <c r="R309" s="26" t="str">
        <f t="shared" si="79"/>
        <v/>
      </c>
      <c r="S309" s="26" t="str">
        <f t="shared" si="88"/>
        <v/>
      </c>
      <c r="T309" s="26" t="str">
        <f t="shared" si="83"/>
        <v/>
      </c>
      <c r="U309" s="26" t="str">
        <f t="shared" si="84"/>
        <v/>
      </c>
      <c r="V309" s="26" t="str">
        <f t="shared" si="85"/>
        <v/>
      </c>
      <c r="W309" s="20" t="str">
        <f t="shared" si="86"/>
        <v/>
      </c>
      <c r="X309" s="20" t="str">
        <f t="shared" si="87"/>
        <v/>
      </c>
      <c r="Y309" s="86" t="str">
        <f t="shared" si="89"/>
        <v/>
      </c>
      <c r="Z309" s="31"/>
    </row>
    <row r="310" spans="2:26" outlineLevel="1">
      <c r="B310" s="14">
        <f t="shared" si="73"/>
        <v>307</v>
      </c>
      <c r="C310" s="37"/>
      <c r="D310" s="40"/>
      <c r="E310" s="39"/>
      <c r="F310" s="37"/>
      <c r="G310" s="39"/>
      <c r="H310" s="37"/>
      <c r="I310" s="37"/>
      <c r="J310" s="41" t="str">
        <f t="shared" si="74"/>
        <v/>
      </c>
      <c r="K310" s="12" t="str">
        <f t="shared" si="80"/>
        <v/>
      </c>
      <c r="L310" s="12" t="str">
        <f t="shared" si="81"/>
        <v/>
      </c>
      <c r="M310" s="12" t="str">
        <f t="shared" si="75"/>
        <v/>
      </c>
      <c r="N310" s="12" t="str">
        <f t="shared" si="76"/>
        <v/>
      </c>
      <c r="O310" s="12" t="str">
        <f t="shared" si="77"/>
        <v/>
      </c>
      <c r="P310" s="12" t="str">
        <f t="shared" si="78"/>
        <v/>
      </c>
      <c r="Q310" s="12" t="str">
        <f t="shared" si="82"/>
        <v/>
      </c>
      <c r="R310" s="26" t="str">
        <f t="shared" si="79"/>
        <v/>
      </c>
      <c r="S310" s="26" t="str">
        <f t="shared" si="88"/>
        <v/>
      </c>
      <c r="T310" s="26" t="str">
        <f t="shared" si="83"/>
        <v/>
      </c>
      <c r="U310" s="26" t="str">
        <f t="shared" si="84"/>
        <v/>
      </c>
      <c r="V310" s="26" t="str">
        <f t="shared" si="85"/>
        <v/>
      </c>
      <c r="W310" s="20" t="str">
        <f t="shared" si="86"/>
        <v/>
      </c>
      <c r="X310" s="20" t="str">
        <f t="shared" si="87"/>
        <v/>
      </c>
      <c r="Y310" s="86" t="str">
        <f t="shared" si="89"/>
        <v/>
      </c>
      <c r="Z310" s="31"/>
    </row>
    <row r="311" spans="2:26" outlineLevel="1">
      <c r="B311" s="14">
        <f t="shared" si="73"/>
        <v>308</v>
      </c>
      <c r="C311" s="37"/>
      <c r="D311" s="40"/>
      <c r="E311" s="39"/>
      <c r="F311" s="37"/>
      <c r="G311" s="39"/>
      <c r="H311" s="37"/>
      <c r="I311" s="37"/>
      <c r="J311" s="41" t="str">
        <f t="shared" si="74"/>
        <v/>
      </c>
      <c r="K311" s="12" t="str">
        <f t="shared" si="80"/>
        <v/>
      </c>
      <c r="L311" s="12" t="str">
        <f t="shared" si="81"/>
        <v/>
      </c>
      <c r="M311" s="12" t="str">
        <f t="shared" si="75"/>
        <v/>
      </c>
      <c r="N311" s="12" t="str">
        <f t="shared" si="76"/>
        <v/>
      </c>
      <c r="O311" s="12" t="str">
        <f t="shared" si="77"/>
        <v/>
      </c>
      <c r="P311" s="12" t="str">
        <f t="shared" si="78"/>
        <v/>
      </c>
      <c r="Q311" s="12" t="str">
        <f t="shared" si="82"/>
        <v/>
      </c>
      <c r="R311" s="26" t="str">
        <f t="shared" si="79"/>
        <v/>
      </c>
      <c r="S311" s="26" t="str">
        <f t="shared" si="88"/>
        <v/>
      </c>
      <c r="T311" s="26" t="str">
        <f t="shared" si="83"/>
        <v/>
      </c>
      <c r="U311" s="26" t="str">
        <f t="shared" si="84"/>
        <v/>
      </c>
      <c r="V311" s="26" t="str">
        <f t="shared" si="85"/>
        <v/>
      </c>
      <c r="W311" s="20" t="str">
        <f t="shared" si="86"/>
        <v/>
      </c>
      <c r="X311" s="20" t="str">
        <f t="shared" si="87"/>
        <v/>
      </c>
      <c r="Y311" s="86" t="str">
        <f t="shared" si="89"/>
        <v/>
      </c>
      <c r="Z311" s="31"/>
    </row>
    <row r="312" spans="2:26" outlineLevel="1">
      <c r="B312" s="14">
        <f t="shared" si="73"/>
        <v>309</v>
      </c>
      <c r="C312" s="37"/>
      <c r="D312" s="40"/>
      <c r="E312" s="39"/>
      <c r="F312" s="37"/>
      <c r="G312" s="39"/>
      <c r="H312" s="37"/>
      <c r="I312" s="37"/>
      <c r="J312" s="41" t="str">
        <f t="shared" si="74"/>
        <v/>
      </c>
      <c r="K312" s="12" t="str">
        <f t="shared" si="80"/>
        <v/>
      </c>
      <c r="L312" s="12" t="str">
        <f t="shared" si="81"/>
        <v/>
      </c>
      <c r="M312" s="12" t="str">
        <f t="shared" si="75"/>
        <v/>
      </c>
      <c r="N312" s="12" t="str">
        <f t="shared" si="76"/>
        <v/>
      </c>
      <c r="O312" s="12" t="str">
        <f t="shared" si="77"/>
        <v/>
      </c>
      <c r="P312" s="12" t="str">
        <f t="shared" si="78"/>
        <v/>
      </c>
      <c r="Q312" s="12" t="str">
        <f t="shared" si="82"/>
        <v/>
      </c>
      <c r="R312" s="26" t="str">
        <f t="shared" si="79"/>
        <v/>
      </c>
      <c r="S312" s="26" t="str">
        <f t="shared" si="88"/>
        <v/>
      </c>
      <c r="T312" s="26" t="str">
        <f t="shared" si="83"/>
        <v/>
      </c>
      <c r="U312" s="26" t="str">
        <f t="shared" si="84"/>
        <v/>
      </c>
      <c r="V312" s="26" t="str">
        <f t="shared" si="85"/>
        <v/>
      </c>
      <c r="W312" s="20" t="str">
        <f t="shared" si="86"/>
        <v/>
      </c>
      <c r="X312" s="20" t="str">
        <f t="shared" si="87"/>
        <v/>
      </c>
      <c r="Y312" s="86" t="str">
        <f t="shared" si="89"/>
        <v/>
      </c>
      <c r="Z312" s="31"/>
    </row>
    <row r="313" spans="2:26" outlineLevel="1">
      <c r="B313" s="14">
        <f t="shared" si="73"/>
        <v>310</v>
      </c>
      <c r="C313" s="37"/>
      <c r="D313" s="40"/>
      <c r="E313" s="39"/>
      <c r="F313" s="37"/>
      <c r="G313" s="39"/>
      <c r="H313" s="37"/>
      <c r="I313" s="37"/>
      <c r="J313" s="41" t="str">
        <f t="shared" si="74"/>
        <v/>
      </c>
      <c r="K313" s="12" t="str">
        <f t="shared" si="80"/>
        <v/>
      </c>
      <c r="L313" s="12" t="str">
        <f t="shared" si="81"/>
        <v/>
      </c>
      <c r="M313" s="12" t="str">
        <f t="shared" si="75"/>
        <v/>
      </c>
      <c r="N313" s="12" t="str">
        <f t="shared" si="76"/>
        <v/>
      </c>
      <c r="O313" s="12" t="str">
        <f t="shared" si="77"/>
        <v/>
      </c>
      <c r="P313" s="12" t="str">
        <f t="shared" si="78"/>
        <v/>
      </c>
      <c r="Q313" s="12" t="str">
        <f t="shared" si="82"/>
        <v/>
      </c>
      <c r="R313" s="26" t="str">
        <f t="shared" si="79"/>
        <v/>
      </c>
      <c r="S313" s="26" t="str">
        <f t="shared" si="88"/>
        <v/>
      </c>
      <c r="T313" s="26" t="str">
        <f t="shared" si="83"/>
        <v/>
      </c>
      <c r="U313" s="26" t="str">
        <f t="shared" si="84"/>
        <v/>
      </c>
      <c r="V313" s="26" t="str">
        <f t="shared" si="85"/>
        <v/>
      </c>
      <c r="W313" s="20" t="str">
        <f t="shared" si="86"/>
        <v/>
      </c>
      <c r="X313" s="20" t="str">
        <f t="shared" si="87"/>
        <v/>
      </c>
      <c r="Y313" s="86" t="str">
        <f t="shared" si="89"/>
        <v/>
      </c>
      <c r="Z313" s="31"/>
    </row>
    <row r="314" spans="2:26" outlineLevel="1">
      <c r="B314" s="14">
        <f t="shared" si="73"/>
        <v>311</v>
      </c>
      <c r="C314" s="37"/>
      <c r="D314" s="40"/>
      <c r="E314" s="39"/>
      <c r="F314" s="37"/>
      <c r="G314" s="39"/>
      <c r="H314" s="37"/>
      <c r="I314" s="37"/>
      <c r="J314" s="41" t="str">
        <f t="shared" si="74"/>
        <v/>
      </c>
      <c r="K314" s="12" t="str">
        <f t="shared" si="80"/>
        <v/>
      </c>
      <c r="L314" s="12" t="str">
        <f t="shared" si="81"/>
        <v/>
      </c>
      <c r="M314" s="12" t="str">
        <f t="shared" si="75"/>
        <v/>
      </c>
      <c r="N314" s="12" t="str">
        <f t="shared" si="76"/>
        <v/>
      </c>
      <c r="O314" s="12" t="str">
        <f t="shared" si="77"/>
        <v/>
      </c>
      <c r="P314" s="12" t="str">
        <f t="shared" si="78"/>
        <v/>
      </c>
      <c r="Q314" s="12" t="str">
        <f t="shared" si="82"/>
        <v/>
      </c>
      <c r="R314" s="26" t="str">
        <f t="shared" si="79"/>
        <v/>
      </c>
      <c r="S314" s="26" t="str">
        <f t="shared" si="88"/>
        <v/>
      </c>
      <c r="T314" s="26" t="str">
        <f t="shared" si="83"/>
        <v/>
      </c>
      <c r="U314" s="26" t="str">
        <f t="shared" si="84"/>
        <v/>
      </c>
      <c r="V314" s="26" t="str">
        <f t="shared" si="85"/>
        <v/>
      </c>
      <c r="W314" s="20" t="str">
        <f t="shared" si="86"/>
        <v/>
      </c>
      <c r="X314" s="20" t="str">
        <f t="shared" si="87"/>
        <v/>
      </c>
      <c r="Y314" s="86" t="str">
        <f t="shared" si="89"/>
        <v/>
      </c>
      <c r="Z314" s="31"/>
    </row>
    <row r="315" spans="2:26" outlineLevel="1">
      <c r="B315" s="14">
        <f t="shared" si="73"/>
        <v>312</v>
      </c>
      <c r="C315" s="37"/>
      <c r="D315" s="40"/>
      <c r="E315" s="39"/>
      <c r="F315" s="37"/>
      <c r="G315" s="39"/>
      <c r="H315" s="37"/>
      <c r="I315" s="37"/>
      <c r="J315" s="41" t="str">
        <f t="shared" si="74"/>
        <v/>
      </c>
      <c r="K315" s="12" t="str">
        <f t="shared" si="80"/>
        <v/>
      </c>
      <c r="L315" s="12" t="str">
        <f t="shared" si="81"/>
        <v/>
      </c>
      <c r="M315" s="12" t="str">
        <f t="shared" si="75"/>
        <v/>
      </c>
      <c r="N315" s="12" t="str">
        <f t="shared" si="76"/>
        <v/>
      </c>
      <c r="O315" s="12" t="str">
        <f t="shared" si="77"/>
        <v/>
      </c>
      <c r="P315" s="12" t="str">
        <f t="shared" si="78"/>
        <v/>
      </c>
      <c r="Q315" s="12" t="str">
        <f t="shared" si="82"/>
        <v/>
      </c>
      <c r="R315" s="26" t="str">
        <f t="shared" si="79"/>
        <v/>
      </c>
      <c r="S315" s="26" t="str">
        <f t="shared" si="88"/>
        <v/>
      </c>
      <c r="T315" s="26" t="str">
        <f t="shared" si="83"/>
        <v/>
      </c>
      <c r="U315" s="26" t="str">
        <f t="shared" si="84"/>
        <v/>
      </c>
      <c r="V315" s="26" t="str">
        <f t="shared" si="85"/>
        <v/>
      </c>
      <c r="W315" s="20" t="str">
        <f t="shared" si="86"/>
        <v/>
      </c>
      <c r="X315" s="20" t="str">
        <f t="shared" si="87"/>
        <v/>
      </c>
      <c r="Y315" s="86" t="str">
        <f t="shared" si="89"/>
        <v/>
      </c>
      <c r="Z315" s="31"/>
    </row>
    <row r="316" spans="2:26" outlineLevel="1">
      <c r="B316" s="14">
        <f t="shared" si="73"/>
        <v>313</v>
      </c>
      <c r="C316" s="37"/>
      <c r="D316" s="40"/>
      <c r="E316" s="39"/>
      <c r="F316" s="37"/>
      <c r="G316" s="39"/>
      <c r="H316" s="37"/>
      <c r="I316" s="37"/>
      <c r="J316" s="41" t="str">
        <f t="shared" si="74"/>
        <v/>
      </c>
      <c r="K316" s="12" t="str">
        <f t="shared" si="80"/>
        <v/>
      </c>
      <c r="L316" s="12" t="str">
        <f t="shared" si="81"/>
        <v/>
      </c>
      <c r="M316" s="12" t="str">
        <f t="shared" si="75"/>
        <v/>
      </c>
      <c r="N316" s="12" t="str">
        <f t="shared" si="76"/>
        <v/>
      </c>
      <c r="O316" s="12" t="str">
        <f t="shared" si="77"/>
        <v/>
      </c>
      <c r="P316" s="12" t="str">
        <f t="shared" si="78"/>
        <v/>
      </c>
      <c r="Q316" s="12" t="str">
        <f t="shared" si="82"/>
        <v/>
      </c>
      <c r="R316" s="26" t="str">
        <f t="shared" si="79"/>
        <v/>
      </c>
      <c r="S316" s="26" t="str">
        <f t="shared" si="88"/>
        <v/>
      </c>
      <c r="T316" s="26" t="str">
        <f t="shared" si="83"/>
        <v/>
      </c>
      <c r="U316" s="26" t="str">
        <f t="shared" si="84"/>
        <v/>
      </c>
      <c r="V316" s="26" t="str">
        <f t="shared" si="85"/>
        <v/>
      </c>
      <c r="W316" s="20" t="str">
        <f t="shared" si="86"/>
        <v/>
      </c>
      <c r="X316" s="20" t="str">
        <f t="shared" si="87"/>
        <v/>
      </c>
      <c r="Y316" s="86" t="str">
        <f t="shared" si="89"/>
        <v/>
      </c>
      <c r="Z316" s="31"/>
    </row>
    <row r="317" spans="2:26" outlineLevel="1">
      <c r="B317" s="14">
        <f t="shared" si="73"/>
        <v>314</v>
      </c>
      <c r="C317" s="37"/>
      <c r="D317" s="40"/>
      <c r="E317" s="39"/>
      <c r="F317" s="37"/>
      <c r="G317" s="39"/>
      <c r="H317" s="37"/>
      <c r="I317" s="37"/>
      <c r="J317" s="41" t="str">
        <f t="shared" si="74"/>
        <v/>
      </c>
      <c r="K317" s="12" t="str">
        <f t="shared" si="80"/>
        <v/>
      </c>
      <c r="L317" s="12" t="str">
        <f t="shared" si="81"/>
        <v/>
      </c>
      <c r="M317" s="12" t="str">
        <f t="shared" si="75"/>
        <v/>
      </c>
      <c r="N317" s="12" t="str">
        <f t="shared" si="76"/>
        <v/>
      </c>
      <c r="O317" s="12" t="str">
        <f t="shared" si="77"/>
        <v/>
      </c>
      <c r="P317" s="12" t="str">
        <f t="shared" si="78"/>
        <v/>
      </c>
      <c r="Q317" s="12" t="str">
        <f t="shared" si="82"/>
        <v/>
      </c>
      <c r="R317" s="26" t="str">
        <f t="shared" si="79"/>
        <v/>
      </c>
      <c r="S317" s="26" t="str">
        <f t="shared" si="88"/>
        <v/>
      </c>
      <c r="T317" s="26" t="str">
        <f t="shared" si="83"/>
        <v/>
      </c>
      <c r="U317" s="26" t="str">
        <f t="shared" si="84"/>
        <v/>
      </c>
      <c r="V317" s="26" t="str">
        <f t="shared" si="85"/>
        <v/>
      </c>
      <c r="W317" s="20" t="str">
        <f t="shared" si="86"/>
        <v/>
      </c>
      <c r="X317" s="20" t="str">
        <f t="shared" si="87"/>
        <v/>
      </c>
      <c r="Y317" s="86" t="str">
        <f t="shared" si="89"/>
        <v/>
      </c>
      <c r="Z317" s="31"/>
    </row>
    <row r="318" spans="2:26" outlineLevel="1">
      <c r="B318" s="14">
        <f t="shared" si="73"/>
        <v>315</v>
      </c>
      <c r="C318" s="37"/>
      <c r="D318" s="40"/>
      <c r="E318" s="39"/>
      <c r="F318" s="37"/>
      <c r="G318" s="39"/>
      <c r="H318" s="37"/>
      <c r="I318" s="37"/>
      <c r="J318" s="41" t="str">
        <f t="shared" si="74"/>
        <v/>
      </c>
      <c r="K318" s="12" t="str">
        <f t="shared" si="80"/>
        <v/>
      </c>
      <c r="L318" s="12" t="str">
        <f t="shared" si="81"/>
        <v/>
      </c>
      <c r="M318" s="12" t="str">
        <f t="shared" si="75"/>
        <v/>
      </c>
      <c r="N318" s="12" t="str">
        <f t="shared" si="76"/>
        <v/>
      </c>
      <c r="O318" s="12" t="str">
        <f t="shared" si="77"/>
        <v/>
      </c>
      <c r="P318" s="12" t="str">
        <f t="shared" si="78"/>
        <v/>
      </c>
      <c r="Q318" s="12" t="str">
        <f t="shared" si="82"/>
        <v/>
      </c>
      <c r="R318" s="26" t="str">
        <f t="shared" si="79"/>
        <v/>
      </c>
      <c r="S318" s="26" t="str">
        <f t="shared" si="88"/>
        <v/>
      </c>
      <c r="T318" s="26" t="str">
        <f t="shared" si="83"/>
        <v/>
      </c>
      <c r="U318" s="26" t="str">
        <f t="shared" si="84"/>
        <v/>
      </c>
      <c r="V318" s="26" t="str">
        <f t="shared" si="85"/>
        <v/>
      </c>
      <c r="W318" s="20" t="str">
        <f t="shared" si="86"/>
        <v/>
      </c>
      <c r="X318" s="20" t="str">
        <f t="shared" si="87"/>
        <v/>
      </c>
      <c r="Y318" s="86" t="str">
        <f t="shared" si="89"/>
        <v/>
      </c>
      <c r="Z318" s="31"/>
    </row>
    <row r="319" spans="2:26" outlineLevel="1">
      <c r="B319" s="14">
        <f t="shared" si="73"/>
        <v>316</v>
      </c>
      <c r="C319" s="37"/>
      <c r="D319" s="40"/>
      <c r="E319" s="39"/>
      <c r="F319" s="37"/>
      <c r="G319" s="39"/>
      <c r="H319" s="37"/>
      <c r="I319" s="37"/>
      <c r="J319" s="41" t="str">
        <f t="shared" si="74"/>
        <v/>
      </c>
      <c r="K319" s="12" t="str">
        <f t="shared" si="80"/>
        <v/>
      </c>
      <c r="L319" s="12" t="str">
        <f t="shared" si="81"/>
        <v/>
      </c>
      <c r="M319" s="12" t="str">
        <f t="shared" si="75"/>
        <v/>
      </c>
      <c r="N319" s="12" t="str">
        <f t="shared" si="76"/>
        <v/>
      </c>
      <c r="O319" s="12" t="str">
        <f t="shared" si="77"/>
        <v/>
      </c>
      <c r="P319" s="12" t="str">
        <f t="shared" si="78"/>
        <v/>
      </c>
      <c r="Q319" s="12" t="str">
        <f t="shared" si="82"/>
        <v/>
      </c>
      <c r="R319" s="26" t="str">
        <f t="shared" si="79"/>
        <v/>
      </c>
      <c r="S319" s="26" t="str">
        <f t="shared" si="88"/>
        <v/>
      </c>
      <c r="T319" s="26" t="str">
        <f t="shared" si="83"/>
        <v/>
      </c>
      <c r="U319" s="26" t="str">
        <f t="shared" si="84"/>
        <v/>
      </c>
      <c r="V319" s="26" t="str">
        <f t="shared" si="85"/>
        <v/>
      </c>
      <c r="W319" s="20" t="str">
        <f t="shared" si="86"/>
        <v/>
      </c>
      <c r="X319" s="20" t="str">
        <f t="shared" si="87"/>
        <v/>
      </c>
      <c r="Y319" s="86" t="str">
        <f t="shared" si="89"/>
        <v/>
      </c>
      <c r="Z319" s="31"/>
    </row>
    <row r="320" spans="2:26" outlineLevel="1">
      <c r="B320" s="14">
        <f t="shared" si="73"/>
        <v>317</v>
      </c>
      <c r="C320" s="37"/>
      <c r="D320" s="40"/>
      <c r="E320" s="39"/>
      <c r="F320" s="37"/>
      <c r="G320" s="39"/>
      <c r="H320" s="37"/>
      <c r="I320" s="37"/>
      <c r="J320" s="41" t="str">
        <f t="shared" si="74"/>
        <v/>
      </c>
      <c r="K320" s="12" t="str">
        <f t="shared" si="80"/>
        <v/>
      </c>
      <c r="L320" s="12" t="str">
        <f t="shared" si="81"/>
        <v/>
      </c>
      <c r="M320" s="12" t="str">
        <f t="shared" si="75"/>
        <v/>
      </c>
      <c r="N320" s="12" t="str">
        <f t="shared" si="76"/>
        <v/>
      </c>
      <c r="O320" s="12" t="str">
        <f t="shared" si="77"/>
        <v/>
      </c>
      <c r="P320" s="12" t="str">
        <f t="shared" si="78"/>
        <v/>
      </c>
      <c r="Q320" s="12" t="str">
        <f t="shared" si="82"/>
        <v/>
      </c>
      <c r="R320" s="26" t="str">
        <f t="shared" si="79"/>
        <v/>
      </c>
      <c r="S320" s="26" t="str">
        <f t="shared" si="88"/>
        <v/>
      </c>
      <c r="T320" s="26" t="str">
        <f t="shared" si="83"/>
        <v/>
      </c>
      <c r="U320" s="26" t="str">
        <f t="shared" si="84"/>
        <v/>
      </c>
      <c r="V320" s="26" t="str">
        <f t="shared" si="85"/>
        <v/>
      </c>
      <c r="W320" s="20" t="str">
        <f t="shared" si="86"/>
        <v/>
      </c>
      <c r="X320" s="20" t="str">
        <f t="shared" si="87"/>
        <v/>
      </c>
      <c r="Y320" s="86" t="str">
        <f t="shared" si="89"/>
        <v/>
      </c>
      <c r="Z320" s="31"/>
    </row>
    <row r="321" spans="2:26" outlineLevel="1">
      <c r="B321" s="14">
        <f t="shared" si="73"/>
        <v>318</v>
      </c>
      <c r="C321" s="37"/>
      <c r="D321" s="40"/>
      <c r="E321" s="39"/>
      <c r="F321" s="37"/>
      <c r="G321" s="39"/>
      <c r="H321" s="37"/>
      <c r="I321" s="37"/>
      <c r="J321" s="41" t="str">
        <f t="shared" si="74"/>
        <v/>
      </c>
      <c r="K321" s="12" t="str">
        <f t="shared" si="80"/>
        <v/>
      </c>
      <c r="L321" s="12" t="str">
        <f t="shared" si="81"/>
        <v/>
      </c>
      <c r="M321" s="12" t="str">
        <f t="shared" si="75"/>
        <v/>
      </c>
      <c r="N321" s="12" t="str">
        <f t="shared" si="76"/>
        <v/>
      </c>
      <c r="O321" s="12" t="str">
        <f t="shared" si="77"/>
        <v/>
      </c>
      <c r="P321" s="12" t="str">
        <f t="shared" si="78"/>
        <v/>
      </c>
      <c r="Q321" s="12" t="str">
        <f t="shared" si="82"/>
        <v/>
      </c>
      <c r="R321" s="26" t="str">
        <f t="shared" si="79"/>
        <v/>
      </c>
      <c r="S321" s="26" t="str">
        <f t="shared" si="88"/>
        <v/>
      </c>
      <c r="T321" s="26" t="str">
        <f t="shared" si="83"/>
        <v/>
      </c>
      <c r="U321" s="26" t="str">
        <f t="shared" si="84"/>
        <v/>
      </c>
      <c r="V321" s="26" t="str">
        <f t="shared" si="85"/>
        <v/>
      </c>
      <c r="W321" s="20" t="str">
        <f t="shared" si="86"/>
        <v/>
      </c>
      <c r="X321" s="20" t="str">
        <f t="shared" si="87"/>
        <v/>
      </c>
      <c r="Y321" s="86" t="str">
        <f t="shared" si="89"/>
        <v/>
      </c>
      <c r="Z321" s="31"/>
    </row>
    <row r="322" spans="2:26" outlineLevel="1">
      <c r="B322" s="14">
        <f t="shared" ref="B322:B385" si="90">1+B321</f>
        <v>319</v>
      </c>
      <c r="C322" s="37"/>
      <c r="D322" s="40"/>
      <c r="E322" s="39"/>
      <c r="F322" s="37"/>
      <c r="G322" s="39"/>
      <c r="H322" s="37"/>
      <c r="I322" s="37"/>
      <c r="J322" s="41" t="str">
        <f t="shared" si="74"/>
        <v/>
      </c>
      <c r="K322" s="12" t="str">
        <f t="shared" si="80"/>
        <v/>
      </c>
      <c r="L322" s="12" t="str">
        <f t="shared" si="81"/>
        <v/>
      </c>
      <c r="M322" s="12" t="str">
        <f t="shared" si="75"/>
        <v/>
      </c>
      <c r="N322" s="12" t="str">
        <f t="shared" si="76"/>
        <v/>
      </c>
      <c r="O322" s="12" t="str">
        <f t="shared" si="77"/>
        <v/>
      </c>
      <c r="P322" s="12" t="str">
        <f t="shared" si="78"/>
        <v/>
      </c>
      <c r="Q322" s="12" t="str">
        <f t="shared" si="82"/>
        <v/>
      </c>
      <c r="R322" s="26" t="str">
        <f t="shared" si="79"/>
        <v/>
      </c>
      <c r="S322" s="26" t="str">
        <f t="shared" si="88"/>
        <v/>
      </c>
      <c r="T322" s="26" t="str">
        <f t="shared" si="83"/>
        <v/>
      </c>
      <c r="U322" s="26" t="str">
        <f t="shared" si="84"/>
        <v/>
      </c>
      <c r="V322" s="26" t="str">
        <f t="shared" si="85"/>
        <v/>
      </c>
      <c r="W322" s="20" t="str">
        <f t="shared" si="86"/>
        <v/>
      </c>
      <c r="X322" s="20" t="str">
        <f t="shared" si="87"/>
        <v/>
      </c>
      <c r="Y322" s="86" t="str">
        <f t="shared" si="89"/>
        <v/>
      </c>
      <c r="Z322" s="31"/>
    </row>
    <row r="323" spans="2:26" outlineLevel="1">
      <c r="B323" s="14">
        <f t="shared" si="90"/>
        <v>320</v>
      </c>
      <c r="C323" s="37"/>
      <c r="D323" s="40"/>
      <c r="E323" s="39"/>
      <c r="F323" s="37"/>
      <c r="G323" s="39"/>
      <c r="H323" s="37"/>
      <c r="I323" s="37"/>
      <c r="J323" s="41" t="str">
        <f t="shared" si="74"/>
        <v/>
      </c>
      <c r="K323" s="12" t="str">
        <f t="shared" si="80"/>
        <v/>
      </c>
      <c r="L323" s="12" t="str">
        <f t="shared" si="81"/>
        <v/>
      </c>
      <c r="M323" s="12" t="str">
        <f t="shared" si="75"/>
        <v/>
      </c>
      <c r="N323" s="12" t="str">
        <f t="shared" si="76"/>
        <v/>
      </c>
      <c r="O323" s="12" t="str">
        <f t="shared" si="77"/>
        <v/>
      </c>
      <c r="P323" s="12" t="str">
        <f t="shared" si="78"/>
        <v/>
      </c>
      <c r="Q323" s="12" t="str">
        <f t="shared" si="82"/>
        <v/>
      </c>
      <c r="R323" s="26" t="str">
        <f t="shared" si="79"/>
        <v/>
      </c>
      <c r="S323" s="26" t="str">
        <f t="shared" si="88"/>
        <v/>
      </c>
      <c r="T323" s="26" t="str">
        <f t="shared" si="83"/>
        <v/>
      </c>
      <c r="U323" s="26" t="str">
        <f t="shared" si="84"/>
        <v/>
      </c>
      <c r="V323" s="26" t="str">
        <f t="shared" si="85"/>
        <v/>
      </c>
      <c r="W323" s="20" t="str">
        <f t="shared" si="86"/>
        <v/>
      </c>
      <c r="X323" s="20" t="str">
        <f t="shared" si="87"/>
        <v/>
      </c>
      <c r="Y323" s="86" t="str">
        <f t="shared" si="89"/>
        <v/>
      </c>
      <c r="Z323" s="31"/>
    </row>
    <row r="324" spans="2:26" outlineLevel="1">
      <c r="B324" s="14">
        <f t="shared" si="90"/>
        <v>321</v>
      </c>
      <c r="C324" s="37"/>
      <c r="D324" s="40"/>
      <c r="E324" s="39"/>
      <c r="F324" s="37"/>
      <c r="G324" s="39"/>
      <c r="H324" s="37"/>
      <c r="I324" s="37"/>
      <c r="J324" s="41" t="str">
        <f t="shared" ref="J324:J387" si="91">IF(D324="","",+$E$2*D324)</f>
        <v/>
      </c>
      <c r="K324" s="12" t="str">
        <f t="shared" si="80"/>
        <v/>
      </c>
      <c r="L324" s="12" t="str">
        <f t="shared" si="81"/>
        <v/>
      </c>
      <c r="M324" s="12" t="str">
        <f t="shared" ref="M324:M387" si="92">IF(E324="","",IF($L324="x",E324/12*3.14,(LEFT($E324,FIND("*",$E324)-1)+0)*12/144*2+(RIGHT($E324,LEN($E324)-FIND("*",$E324)))*12/144*2))</f>
        <v/>
      </c>
      <c r="N324" s="12" t="str">
        <f t="shared" ref="N324:N387" si="93">IF(E324="","",M324*IF(I324="y",MAX(0,J324-$AC$13),J324))</f>
        <v/>
      </c>
      <c r="O324" s="12" t="str">
        <f t="shared" ref="O324:O387" si="94">IF(E324="","",$AC$5*N324)</f>
        <v/>
      </c>
      <c r="P324" s="12" t="str">
        <f t="shared" ref="P324:P387" si="95">IF(D324="","",IFERROR(IF(ISERROR(FIND("*",$E324)),0,ROUND((O324*$AC$6),-1)),""))</f>
        <v/>
      </c>
      <c r="Q324" s="12" t="str">
        <f t="shared" si="82"/>
        <v/>
      </c>
      <c r="R324" s="26" t="str">
        <f t="shared" ref="R324:R387" si="96">IF(E324="","",IF(F324="x",N324*$AC$7,0))</f>
        <v/>
      </c>
      <c r="S324" s="26" t="str">
        <f t="shared" si="88"/>
        <v/>
      </c>
      <c r="T324" s="26" t="str">
        <f t="shared" si="83"/>
        <v/>
      </c>
      <c r="U324" s="26" t="str">
        <f t="shared" si="84"/>
        <v/>
      </c>
      <c r="V324" s="26" t="str">
        <f t="shared" si="85"/>
        <v/>
      </c>
      <c r="W324" s="20" t="str">
        <f t="shared" si="86"/>
        <v/>
      </c>
      <c r="X324" s="20" t="str">
        <f t="shared" si="87"/>
        <v/>
      </c>
      <c r="Y324" s="86" t="str">
        <f t="shared" si="89"/>
        <v/>
      </c>
      <c r="Z324" s="31"/>
    </row>
    <row r="325" spans="2:26" outlineLevel="1">
      <c r="B325" s="14">
        <f t="shared" si="90"/>
        <v>322</v>
      </c>
      <c r="C325" s="37"/>
      <c r="D325" s="40"/>
      <c r="E325" s="39"/>
      <c r="F325" s="37"/>
      <c r="G325" s="39"/>
      <c r="H325" s="37"/>
      <c r="I325" s="37"/>
      <c r="J325" s="41" t="str">
        <f t="shared" si="91"/>
        <v/>
      </c>
      <c r="K325" s="12" t="str">
        <f t="shared" ref="K325:K388" si="97">IF($D325="","",IF(ISERROR(FIND("*",$E325)),"","x"))</f>
        <v/>
      </c>
      <c r="L325" s="12" t="str">
        <f t="shared" ref="L325:L388" si="98">IF($D325="","",IF(ISERROR(FIND("*",$E325)),"x",""))</f>
        <v/>
      </c>
      <c r="M325" s="12" t="str">
        <f t="shared" si="92"/>
        <v/>
      </c>
      <c r="N325" s="12" t="str">
        <f t="shared" si="93"/>
        <v/>
      </c>
      <c r="O325" s="12" t="str">
        <f t="shared" si="94"/>
        <v/>
      </c>
      <c r="P325" s="12" t="str">
        <f t="shared" si="95"/>
        <v/>
      </c>
      <c r="Q325" s="12" t="str">
        <f t="shared" ref="Q325:Q388" si="99">IF(D325="","",IFERROR(IF(ISERROR(FIND("*",$E325)),INDEX($AP$5:$AP$16,MATCH($E325,$AL$5:$AL$16,0),1)*$J325,0),""))</f>
        <v/>
      </c>
      <c r="R325" s="26" t="str">
        <f t="shared" si="96"/>
        <v/>
      </c>
      <c r="S325" s="26" t="str">
        <f t="shared" si="88"/>
        <v/>
      </c>
      <c r="T325" s="26" t="str">
        <f t="shared" ref="T325:T388" si="100">IF(E325="","",IF(H325="x",IF(G325="x",0,25),0))</f>
        <v/>
      </c>
      <c r="U325" s="26" t="str">
        <f t="shared" ref="U325:U388" si="101">IF(D325="","",SUM(P325,R325,S325,T325)*$U$2)</f>
        <v/>
      </c>
      <c r="V325" s="26" t="str">
        <f t="shared" ref="V325:V388" si="102">IF(D325="","",SUM($Q325)*$V$2)</f>
        <v/>
      </c>
      <c r="W325" s="20" t="str">
        <f t="shared" ref="W325:W388" si="103">IF($D325="","",SUM(P325:U325))</f>
        <v/>
      </c>
      <c r="X325" s="20" t="str">
        <f t="shared" ref="X325:X388" si="104">IF(J325="","",ROUNDUP(J325*$AC$9+IF(R325=0,0,$AC$8*J325)+IF(G325="x",$AC$12,0)+IF(H325="x",0.5*25,0),-1))</f>
        <v/>
      </c>
      <c r="Y325" s="86" t="str">
        <f t="shared" si="89"/>
        <v/>
      </c>
      <c r="Z325" s="31"/>
    </row>
    <row r="326" spans="2:26" outlineLevel="1">
      <c r="B326" s="14">
        <f t="shared" si="90"/>
        <v>323</v>
      </c>
      <c r="C326" s="37"/>
      <c r="D326" s="40"/>
      <c r="E326" s="39"/>
      <c r="F326" s="37"/>
      <c r="G326" s="39"/>
      <c r="H326" s="37"/>
      <c r="I326" s="37"/>
      <c r="J326" s="41" t="str">
        <f t="shared" si="91"/>
        <v/>
      </c>
      <c r="K326" s="12" t="str">
        <f t="shared" si="97"/>
        <v/>
      </c>
      <c r="L326" s="12" t="str">
        <f t="shared" si="98"/>
        <v/>
      </c>
      <c r="M326" s="12" t="str">
        <f t="shared" si="92"/>
        <v/>
      </c>
      <c r="N326" s="12" t="str">
        <f t="shared" si="93"/>
        <v/>
      </c>
      <c r="O326" s="12" t="str">
        <f t="shared" si="94"/>
        <v/>
      </c>
      <c r="P326" s="12" t="str">
        <f t="shared" si="95"/>
        <v/>
      </c>
      <c r="Q326" s="12" t="str">
        <f t="shared" si="99"/>
        <v/>
      </c>
      <c r="R326" s="26" t="str">
        <f t="shared" si="96"/>
        <v/>
      </c>
      <c r="S326" s="26" t="str">
        <f t="shared" ref="S326:S389" si="105">IF(E326="","",IF(I326="x",$AC$13*INDEX($AN$19:$AN$30,MATCH($E326,$AL$19:$AL$30,0),1)*1.25,0))</f>
        <v/>
      </c>
      <c r="T326" s="26" t="str">
        <f t="shared" si="100"/>
        <v/>
      </c>
      <c r="U326" s="26" t="str">
        <f t="shared" si="101"/>
        <v/>
      </c>
      <c r="V326" s="26" t="str">
        <f t="shared" si="102"/>
        <v/>
      </c>
      <c r="W326" s="20" t="str">
        <f t="shared" si="103"/>
        <v/>
      </c>
      <c r="X326" s="20" t="str">
        <f t="shared" si="104"/>
        <v/>
      </c>
      <c r="Y326" s="86" t="str">
        <f t="shared" si="89"/>
        <v/>
      </c>
      <c r="Z326" s="31"/>
    </row>
    <row r="327" spans="2:26" outlineLevel="1">
      <c r="B327" s="14">
        <f t="shared" si="90"/>
        <v>324</v>
      </c>
      <c r="C327" s="37"/>
      <c r="D327" s="40"/>
      <c r="E327" s="39"/>
      <c r="F327" s="37"/>
      <c r="G327" s="39"/>
      <c r="H327" s="37"/>
      <c r="I327" s="37"/>
      <c r="J327" s="41" t="str">
        <f t="shared" si="91"/>
        <v/>
      </c>
      <c r="K327" s="12" t="str">
        <f t="shared" si="97"/>
        <v/>
      </c>
      <c r="L327" s="12" t="str">
        <f t="shared" si="98"/>
        <v/>
      </c>
      <c r="M327" s="12" t="str">
        <f t="shared" si="92"/>
        <v/>
      </c>
      <c r="N327" s="12" t="str">
        <f t="shared" si="93"/>
        <v/>
      </c>
      <c r="O327" s="12" t="str">
        <f t="shared" si="94"/>
        <v/>
      </c>
      <c r="P327" s="12" t="str">
        <f t="shared" si="95"/>
        <v/>
      </c>
      <c r="Q327" s="12" t="str">
        <f t="shared" si="99"/>
        <v/>
      </c>
      <c r="R327" s="26" t="str">
        <f t="shared" si="96"/>
        <v/>
      </c>
      <c r="S327" s="26" t="str">
        <f t="shared" si="105"/>
        <v/>
      </c>
      <c r="T327" s="26" t="str">
        <f t="shared" si="100"/>
        <v/>
      </c>
      <c r="U327" s="26" t="str">
        <f t="shared" si="101"/>
        <v/>
      </c>
      <c r="V327" s="26" t="str">
        <f t="shared" si="102"/>
        <v/>
      </c>
      <c r="W327" s="20" t="str">
        <f t="shared" si="103"/>
        <v/>
      </c>
      <c r="X327" s="20" t="str">
        <f t="shared" si="104"/>
        <v/>
      </c>
      <c r="Y327" s="86" t="str">
        <f t="shared" si="89"/>
        <v/>
      </c>
      <c r="Z327" s="31"/>
    </row>
    <row r="328" spans="2:26" outlineLevel="1">
      <c r="B328" s="14">
        <f t="shared" si="90"/>
        <v>325</v>
      </c>
      <c r="C328" s="37"/>
      <c r="D328" s="40"/>
      <c r="E328" s="39"/>
      <c r="F328" s="37"/>
      <c r="G328" s="39"/>
      <c r="H328" s="37"/>
      <c r="I328" s="37"/>
      <c r="J328" s="41" t="str">
        <f t="shared" si="91"/>
        <v/>
      </c>
      <c r="K328" s="12" t="str">
        <f t="shared" si="97"/>
        <v/>
      </c>
      <c r="L328" s="12" t="str">
        <f t="shared" si="98"/>
        <v/>
      </c>
      <c r="M328" s="12" t="str">
        <f t="shared" si="92"/>
        <v/>
      </c>
      <c r="N328" s="12" t="str">
        <f t="shared" si="93"/>
        <v/>
      </c>
      <c r="O328" s="12" t="str">
        <f t="shared" si="94"/>
        <v/>
      </c>
      <c r="P328" s="12" t="str">
        <f t="shared" si="95"/>
        <v/>
      </c>
      <c r="Q328" s="12" t="str">
        <f t="shared" si="99"/>
        <v/>
      </c>
      <c r="R328" s="26" t="str">
        <f t="shared" si="96"/>
        <v/>
      </c>
      <c r="S328" s="26" t="str">
        <f t="shared" si="105"/>
        <v/>
      </c>
      <c r="T328" s="26" t="str">
        <f t="shared" si="100"/>
        <v/>
      </c>
      <c r="U328" s="26" t="str">
        <f t="shared" si="101"/>
        <v/>
      </c>
      <c r="V328" s="26" t="str">
        <f t="shared" si="102"/>
        <v/>
      </c>
      <c r="W328" s="20" t="str">
        <f t="shared" si="103"/>
        <v/>
      </c>
      <c r="X328" s="20" t="str">
        <f t="shared" si="104"/>
        <v/>
      </c>
      <c r="Y328" s="86" t="str">
        <f t="shared" si="89"/>
        <v/>
      </c>
      <c r="Z328" s="31"/>
    </row>
    <row r="329" spans="2:26" outlineLevel="1">
      <c r="B329" s="14">
        <f t="shared" si="90"/>
        <v>326</v>
      </c>
      <c r="C329" s="37"/>
      <c r="D329" s="40"/>
      <c r="E329" s="39"/>
      <c r="F329" s="37"/>
      <c r="G329" s="39"/>
      <c r="H329" s="37"/>
      <c r="I329" s="37"/>
      <c r="J329" s="41" t="str">
        <f t="shared" si="91"/>
        <v/>
      </c>
      <c r="K329" s="12" t="str">
        <f t="shared" si="97"/>
        <v/>
      </c>
      <c r="L329" s="12" t="str">
        <f t="shared" si="98"/>
        <v/>
      </c>
      <c r="M329" s="12" t="str">
        <f t="shared" si="92"/>
        <v/>
      </c>
      <c r="N329" s="12" t="str">
        <f t="shared" si="93"/>
        <v/>
      </c>
      <c r="O329" s="12" t="str">
        <f t="shared" si="94"/>
        <v/>
      </c>
      <c r="P329" s="12" t="str">
        <f t="shared" si="95"/>
        <v/>
      </c>
      <c r="Q329" s="12" t="str">
        <f t="shared" si="99"/>
        <v/>
      </c>
      <c r="R329" s="26" t="str">
        <f t="shared" si="96"/>
        <v/>
      </c>
      <c r="S329" s="26" t="str">
        <f t="shared" si="105"/>
        <v/>
      </c>
      <c r="T329" s="26" t="str">
        <f t="shared" si="100"/>
        <v/>
      </c>
      <c r="U329" s="26" t="str">
        <f t="shared" si="101"/>
        <v/>
      </c>
      <c r="V329" s="26" t="str">
        <f t="shared" si="102"/>
        <v/>
      </c>
      <c r="W329" s="20" t="str">
        <f t="shared" si="103"/>
        <v/>
      </c>
      <c r="X329" s="20" t="str">
        <f t="shared" si="104"/>
        <v/>
      </c>
      <c r="Y329" s="86" t="str">
        <f t="shared" si="89"/>
        <v/>
      </c>
      <c r="Z329" s="31"/>
    </row>
    <row r="330" spans="2:26" outlineLevel="1">
      <c r="B330" s="14">
        <f t="shared" si="90"/>
        <v>327</v>
      </c>
      <c r="C330" s="37"/>
      <c r="D330" s="40"/>
      <c r="E330" s="39"/>
      <c r="F330" s="37"/>
      <c r="G330" s="39"/>
      <c r="H330" s="37"/>
      <c r="I330" s="37"/>
      <c r="J330" s="41" t="str">
        <f t="shared" si="91"/>
        <v/>
      </c>
      <c r="K330" s="12" t="str">
        <f t="shared" si="97"/>
        <v/>
      </c>
      <c r="L330" s="12" t="str">
        <f t="shared" si="98"/>
        <v/>
      </c>
      <c r="M330" s="12" t="str">
        <f t="shared" si="92"/>
        <v/>
      </c>
      <c r="N330" s="12" t="str">
        <f t="shared" si="93"/>
        <v/>
      </c>
      <c r="O330" s="12" t="str">
        <f t="shared" si="94"/>
        <v/>
      </c>
      <c r="P330" s="12" t="str">
        <f t="shared" si="95"/>
        <v/>
      </c>
      <c r="Q330" s="12" t="str">
        <f t="shared" si="99"/>
        <v/>
      </c>
      <c r="R330" s="26" t="str">
        <f t="shared" si="96"/>
        <v/>
      </c>
      <c r="S330" s="26" t="str">
        <f t="shared" si="105"/>
        <v/>
      </c>
      <c r="T330" s="26" t="str">
        <f t="shared" si="100"/>
        <v/>
      </c>
      <c r="U330" s="26" t="str">
        <f t="shared" si="101"/>
        <v/>
      </c>
      <c r="V330" s="26" t="str">
        <f t="shared" si="102"/>
        <v/>
      </c>
      <c r="W330" s="20" t="str">
        <f t="shared" si="103"/>
        <v/>
      </c>
      <c r="X330" s="20" t="str">
        <f t="shared" si="104"/>
        <v/>
      </c>
      <c r="Y330" s="86" t="str">
        <f t="shared" si="89"/>
        <v/>
      </c>
      <c r="Z330" s="31"/>
    </row>
    <row r="331" spans="2:26" outlineLevel="1">
      <c r="B331" s="14">
        <f t="shared" si="90"/>
        <v>328</v>
      </c>
      <c r="C331" s="37"/>
      <c r="D331" s="40"/>
      <c r="E331" s="39"/>
      <c r="F331" s="37"/>
      <c r="G331" s="39"/>
      <c r="H331" s="37"/>
      <c r="I331" s="37"/>
      <c r="J331" s="41" t="str">
        <f t="shared" si="91"/>
        <v/>
      </c>
      <c r="K331" s="12" t="str">
        <f t="shared" si="97"/>
        <v/>
      </c>
      <c r="L331" s="12" t="str">
        <f t="shared" si="98"/>
        <v/>
      </c>
      <c r="M331" s="12" t="str">
        <f t="shared" si="92"/>
        <v/>
      </c>
      <c r="N331" s="12" t="str">
        <f t="shared" si="93"/>
        <v/>
      </c>
      <c r="O331" s="12" t="str">
        <f t="shared" si="94"/>
        <v/>
      </c>
      <c r="P331" s="12" t="str">
        <f t="shared" si="95"/>
        <v/>
      </c>
      <c r="Q331" s="12" t="str">
        <f t="shared" si="99"/>
        <v/>
      </c>
      <c r="R331" s="26" t="str">
        <f t="shared" si="96"/>
        <v/>
      </c>
      <c r="S331" s="26" t="str">
        <f t="shared" si="105"/>
        <v/>
      </c>
      <c r="T331" s="26" t="str">
        <f t="shared" si="100"/>
        <v/>
      </c>
      <c r="U331" s="26" t="str">
        <f t="shared" si="101"/>
        <v/>
      </c>
      <c r="V331" s="26" t="str">
        <f t="shared" si="102"/>
        <v/>
      </c>
      <c r="W331" s="20" t="str">
        <f t="shared" si="103"/>
        <v/>
      </c>
      <c r="X331" s="20" t="str">
        <f t="shared" si="104"/>
        <v/>
      </c>
      <c r="Y331" s="86" t="str">
        <f t="shared" si="89"/>
        <v/>
      </c>
      <c r="Z331" s="31"/>
    </row>
    <row r="332" spans="2:26" outlineLevel="1">
      <c r="B332" s="14">
        <f t="shared" si="90"/>
        <v>329</v>
      </c>
      <c r="C332" s="37"/>
      <c r="D332" s="40"/>
      <c r="E332" s="39"/>
      <c r="F332" s="37"/>
      <c r="G332" s="39"/>
      <c r="H332" s="37"/>
      <c r="I332" s="37"/>
      <c r="J332" s="41" t="str">
        <f t="shared" si="91"/>
        <v/>
      </c>
      <c r="K332" s="12" t="str">
        <f t="shared" si="97"/>
        <v/>
      </c>
      <c r="L332" s="12" t="str">
        <f t="shared" si="98"/>
        <v/>
      </c>
      <c r="M332" s="12" t="str">
        <f t="shared" si="92"/>
        <v/>
      </c>
      <c r="N332" s="12" t="str">
        <f t="shared" si="93"/>
        <v/>
      </c>
      <c r="O332" s="12" t="str">
        <f t="shared" si="94"/>
        <v/>
      </c>
      <c r="P332" s="12" t="str">
        <f t="shared" si="95"/>
        <v/>
      </c>
      <c r="Q332" s="12" t="str">
        <f t="shared" si="99"/>
        <v/>
      </c>
      <c r="R332" s="26" t="str">
        <f t="shared" si="96"/>
        <v/>
      </c>
      <c r="S332" s="26" t="str">
        <f t="shared" si="105"/>
        <v/>
      </c>
      <c r="T332" s="26" t="str">
        <f t="shared" si="100"/>
        <v/>
      </c>
      <c r="U332" s="26" t="str">
        <f t="shared" si="101"/>
        <v/>
      </c>
      <c r="V332" s="26" t="str">
        <f t="shared" si="102"/>
        <v/>
      </c>
      <c r="W332" s="20" t="str">
        <f t="shared" si="103"/>
        <v/>
      </c>
      <c r="X332" s="20" t="str">
        <f t="shared" si="104"/>
        <v/>
      </c>
      <c r="Y332" s="86" t="str">
        <f t="shared" si="89"/>
        <v/>
      </c>
      <c r="Z332" s="31"/>
    </row>
    <row r="333" spans="2:26" outlineLevel="1">
      <c r="B333" s="14">
        <f t="shared" si="90"/>
        <v>330</v>
      </c>
      <c r="C333" s="37"/>
      <c r="D333" s="40"/>
      <c r="E333" s="39"/>
      <c r="F333" s="37"/>
      <c r="G333" s="39"/>
      <c r="H333" s="37"/>
      <c r="I333" s="37"/>
      <c r="J333" s="41" t="str">
        <f t="shared" si="91"/>
        <v/>
      </c>
      <c r="K333" s="12" t="str">
        <f t="shared" si="97"/>
        <v/>
      </c>
      <c r="L333" s="12" t="str">
        <f t="shared" si="98"/>
        <v/>
      </c>
      <c r="M333" s="12" t="str">
        <f t="shared" si="92"/>
        <v/>
      </c>
      <c r="N333" s="12" t="str">
        <f t="shared" si="93"/>
        <v/>
      </c>
      <c r="O333" s="12" t="str">
        <f t="shared" si="94"/>
        <v/>
      </c>
      <c r="P333" s="12" t="str">
        <f t="shared" si="95"/>
        <v/>
      </c>
      <c r="Q333" s="12" t="str">
        <f t="shared" si="99"/>
        <v/>
      </c>
      <c r="R333" s="26" t="str">
        <f t="shared" si="96"/>
        <v/>
      </c>
      <c r="S333" s="26" t="str">
        <f t="shared" si="105"/>
        <v/>
      </c>
      <c r="T333" s="26" t="str">
        <f t="shared" si="100"/>
        <v/>
      </c>
      <c r="U333" s="26" t="str">
        <f t="shared" si="101"/>
        <v/>
      </c>
      <c r="V333" s="26" t="str">
        <f t="shared" si="102"/>
        <v/>
      </c>
      <c r="W333" s="20" t="str">
        <f t="shared" si="103"/>
        <v/>
      </c>
      <c r="X333" s="20" t="str">
        <f t="shared" si="104"/>
        <v/>
      </c>
      <c r="Y333" s="86" t="str">
        <f t="shared" si="89"/>
        <v/>
      </c>
      <c r="Z333" s="31"/>
    </row>
    <row r="334" spans="2:26" outlineLevel="1">
      <c r="B334" s="14">
        <f t="shared" si="90"/>
        <v>331</v>
      </c>
      <c r="C334" s="37"/>
      <c r="D334" s="40"/>
      <c r="E334" s="39"/>
      <c r="F334" s="37"/>
      <c r="G334" s="39"/>
      <c r="H334" s="37"/>
      <c r="I334" s="37"/>
      <c r="J334" s="41" t="str">
        <f t="shared" si="91"/>
        <v/>
      </c>
      <c r="K334" s="12" t="str">
        <f t="shared" si="97"/>
        <v/>
      </c>
      <c r="L334" s="12" t="str">
        <f t="shared" si="98"/>
        <v/>
      </c>
      <c r="M334" s="12" t="str">
        <f t="shared" si="92"/>
        <v/>
      </c>
      <c r="N334" s="12" t="str">
        <f t="shared" si="93"/>
        <v/>
      </c>
      <c r="O334" s="12" t="str">
        <f t="shared" si="94"/>
        <v/>
      </c>
      <c r="P334" s="12" t="str">
        <f t="shared" si="95"/>
        <v/>
      </c>
      <c r="Q334" s="12" t="str">
        <f t="shared" si="99"/>
        <v/>
      </c>
      <c r="R334" s="26" t="str">
        <f t="shared" si="96"/>
        <v/>
      </c>
      <c r="S334" s="26" t="str">
        <f t="shared" si="105"/>
        <v/>
      </c>
      <c r="T334" s="26" t="str">
        <f t="shared" si="100"/>
        <v/>
      </c>
      <c r="U334" s="26" t="str">
        <f t="shared" si="101"/>
        <v/>
      </c>
      <c r="V334" s="26" t="str">
        <f t="shared" si="102"/>
        <v/>
      </c>
      <c r="W334" s="20" t="str">
        <f t="shared" si="103"/>
        <v/>
      </c>
      <c r="X334" s="20" t="str">
        <f t="shared" si="104"/>
        <v/>
      </c>
      <c r="Y334" s="86" t="str">
        <f t="shared" si="89"/>
        <v/>
      </c>
      <c r="Z334" s="31"/>
    </row>
    <row r="335" spans="2:26" outlineLevel="1">
      <c r="B335" s="14">
        <f t="shared" si="90"/>
        <v>332</v>
      </c>
      <c r="C335" s="37"/>
      <c r="D335" s="40"/>
      <c r="E335" s="39"/>
      <c r="F335" s="37"/>
      <c r="G335" s="39"/>
      <c r="H335" s="37"/>
      <c r="I335" s="37"/>
      <c r="J335" s="41" t="str">
        <f t="shared" si="91"/>
        <v/>
      </c>
      <c r="K335" s="12" t="str">
        <f t="shared" si="97"/>
        <v/>
      </c>
      <c r="L335" s="12" t="str">
        <f t="shared" si="98"/>
        <v/>
      </c>
      <c r="M335" s="12" t="str">
        <f t="shared" si="92"/>
        <v/>
      </c>
      <c r="N335" s="12" t="str">
        <f t="shared" si="93"/>
        <v/>
      </c>
      <c r="O335" s="12" t="str">
        <f t="shared" si="94"/>
        <v/>
      </c>
      <c r="P335" s="12" t="str">
        <f t="shared" si="95"/>
        <v/>
      </c>
      <c r="Q335" s="12" t="str">
        <f t="shared" si="99"/>
        <v/>
      </c>
      <c r="R335" s="26" t="str">
        <f t="shared" si="96"/>
        <v/>
      </c>
      <c r="S335" s="26" t="str">
        <f t="shared" si="105"/>
        <v/>
      </c>
      <c r="T335" s="26" t="str">
        <f t="shared" si="100"/>
        <v/>
      </c>
      <c r="U335" s="26" t="str">
        <f t="shared" si="101"/>
        <v/>
      </c>
      <c r="V335" s="26" t="str">
        <f t="shared" si="102"/>
        <v/>
      </c>
      <c r="W335" s="20" t="str">
        <f t="shared" si="103"/>
        <v/>
      </c>
      <c r="X335" s="20" t="str">
        <f t="shared" si="104"/>
        <v/>
      </c>
      <c r="Y335" s="86" t="str">
        <f t="shared" si="89"/>
        <v/>
      </c>
      <c r="Z335" s="31"/>
    </row>
    <row r="336" spans="2:26" outlineLevel="1">
      <c r="B336" s="14">
        <f t="shared" si="90"/>
        <v>333</v>
      </c>
      <c r="C336" s="37"/>
      <c r="D336" s="40"/>
      <c r="E336" s="39"/>
      <c r="F336" s="37"/>
      <c r="G336" s="39"/>
      <c r="H336" s="37"/>
      <c r="I336" s="37"/>
      <c r="J336" s="41" t="str">
        <f t="shared" si="91"/>
        <v/>
      </c>
      <c r="K336" s="12" t="str">
        <f t="shared" si="97"/>
        <v/>
      </c>
      <c r="L336" s="12" t="str">
        <f t="shared" si="98"/>
        <v/>
      </c>
      <c r="M336" s="12" t="str">
        <f t="shared" si="92"/>
        <v/>
      </c>
      <c r="N336" s="12" t="str">
        <f t="shared" si="93"/>
        <v/>
      </c>
      <c r="O336" s="12" t="str">
        <f t="shared" si="94"/>
        <v/>
      </c>
      <c r="P336" s="12" t="str">
        <f t="shared" si="95"/>
        <v/>
      </c>
      <c r="Q336" s="12" t="str">
        <f t="shared" si="99"/>
        <v/>
      </c>
      <c r="R336" s="26" t="str">
        <f t="shared" si="96"/>
        <v/>
      </c>
      <c r="S336" s="26" t="str">
        <f t="shared" si="105"/>
        <v/>
      </c>
      <c r="T336" s="26" t="str">
        <f t="shared" si="100"/>
        <v/>
      </c>
      <c r="U336" s="26" t="str">
        <f t="shared" si="101"/>
        <v/>
      </c>
      <c r="V336" s="26" t="str">
        <f t="shared" si="102"/>
        <v/>
      </c>
      <c r="W336" s="20" t="str">
        <f t="shared" si="103"/>
        <v/>
      </c>
      <c r="X336" s="20" t="str">
        <f t="shared" si="104"/>
        <v/>
      </c>
      <c r="Y336" s="86" t="str">
        <f t="shared" ref="Y336:Y399" si="106">IFERROR(+W336+X336,"")</f>
        <v/>
      </c>
      <c r="Z336" s="31"/>
    </row>
    <row r="337" spans="2:26" outlineLevel="1">
      <c r="B337" s="14">
        <f t="shared" si="90"/>
        <v>334</v>
      </c>
      <c r="C337" s="37"/>
      <c r="D337" s="40"/>
      <c r="E337" s="39"/>
      <c r="F337" s="37"/>
      <c r="G337" s="39"/>
      <c r="H337" s="37"/>
      <c r="I337" s="37"/>
      <c r="J337" s="41" t="str">
        <f t="shared" si="91"/>
        <v/>
      </c>
      <c r="K337" s="12" t="str">
        <f t="shared" si="97"/>
        <v/>
      </c>
      <c r="L337" s="12" t="str">
        <f t="shared" si="98"/>
        <v/>
      </c>
      <c r="M337" s="12" t="str">
        <f t="shared" si="92"/>
        <v/>
      </c>
      <c r="N337" s="12" t="str">
        <f t="shared" si="93"/>
        <v/>
      </c>
      <c r="O337" s="12" t="str">
        <f t="shared" si="94"/>
        <v/>
      </c>
      <c r="P337" s="12" t="str">
        <f t="shared" si="95"/>
        <v/>
      </c>
      <c r="Q337" s="12" t="str">
        <f t="shared" si="99"/>
        <v/>
      </c>
      <c r="R337" s="26" t="str">
        <f t="shared" si="96"/>
        <v/>
      </c>
      <c r="S337" s="26" t="str">
        <f t="shared" si="105"/>
        <v/>
      </c>
      <c r="T337" s="26" t="str">
        <f t="shared" si="100"/>
        <v/>
      </c>
      <c r="U337" s="26" t="str">
        <f t="shared" si="101"/>
        <v/>
      </c>
      <c r="V337" s="26" t="str">
        <f t="shared" si="102"/>
        <v/>
      </c>
      <c r="W337" s="20" t="str">
        <f t="shared" si="103"/>
        <v/>
      </c>
      <c r="X337" s="20" t="str">
        <f t="shared" si="104"/>
        <v/>
      </c>
      <c r="Y337" s="86" t="str">
        <f t="shared" si="106"/>
        <v/>
      </c>
      <c r="Z337" s="31"/>
    </row>
    <row r="338" spans="2:26" outlineLevel="1">
      <c r="B338" s="14">
        <f t="shared" si="90"/>
        <v>335</v>
      </c>
      <c r="C338" s="37"/>
      <c r="D338" s="40"/>
      <c r="E338" s="39"/>
      <c r="F338" s="37"/>
      <c r="G338" s="39"/>
      <c r="H338" s="37"/>
      <c r="I338" s="37"/>
      <c r="J338" s="41" t="str">
        <f t="shared" si="91"/>
        <v/>
      </c>
      <c r="K338" s="12" t="str">
        <f t="shared" si="97"/>
        <v/>
      </c>
      <c r="L338" s="12" t="str">
        <f t="shared" si="98"/>
        <v/>
      </c>
      <c r="M338" s="12" t="str">
        <f t="shared" si="92"/>
        <v/>
      </c>
      <c r="N338" s="12" t="str">
        <f t="shared" si="93"/>
        <v/>
      </c>
      <c r="O338" s="12" t="str">
        <f t="shared" si="94"/>
        <v/>
      </c>
      <c r="P338" s="12" t="str">
        <f t="shared" si="95"/>
        <v/>
      </c>
      <c r="Q338" s="12" t="str">
        <f t="shared" si="99"/>
        <v/>
      </c>
      <c r="R338" s="26" t="str">
        <f t="shared" si="96"/>
        <v/>
      </c>
      <c r="S338" s="26" t="str">
        <f t="shared" si="105"/>
        <v/>
      </c>
      <c r="T338" s="26" t="str">
        <f t="shared" si="100"/>
        <v/>
      </c>
      <c r="U338" s="26" t="str">
        <f t="shared" si="101"/>
        <v/>
      </c>
      <c r="V338" s="26" t="str">
        <f t="shared" si="102"/>
        <v/>
      </c>
      <c r="W338" s="20" t="str">
        <f t="shared" si="103"/>
        <v/>
      </c>
      <c r="X338" s="20" t="str">
        <f t="shared" si="104"/>
        <v/>
      </c>
      <c r="Y338" s="86" t="str">
        <f t="shared" si="106"/>
        <v/>
      </c>
      <c r="Z338" s="31"/>
    </row>
    <row r="339" spans="2:26" outlineLevel="1">
      <c r="B339" s="14">
        <f t="shared" si="90"/>
        <v>336</v>
      </c>
      <c r="C339" s="37"/>
      <c r="D339" s="40"/>
      <c r="E339" s="39"/>
      <c r="F339" s="37"/>
      <c r="G339" s="39"/>
      <c r="H339" s="37"/>
      <c r="I339" s="37"/>
      <c r="J339" s="41" t="str">
        <f t="shared" si="91"/>
        <v/>
      </c>
      <c r="K339" s="12" t="str">
        <f t="shared" si="97"/>
        <v/>
      </c>
      <c r="L339" s="12" t="str">
        <f t="shared" si="98"/>
        <v/>
      </c>
      <c r="M339" s="12" t="str">
        <f t="shared" si="92"/>
        <v/>
      </c>
      <c r="N339" s="12" t="str">
        <f t="shared" si="93"/>
        <v/>
      </c>
      <c r="O339" s="12" t="str">
        <f t="shared" si="94"/>
        <v/>
      </c>
      <c r="P339" s="12" t="str">
        <f t="shared" si="95"/>
        <v/>
      </c>
      <c r="Q339" s="12" t="str">
        <f t="shared" si="99"/>
        <v/>
      </c>
      <c r="R339" s="26" t="str">
        <f t="shared" si="96"/>
        <v/>
      </c>
      <c r="S339" s="26" t="str">
        <f t="shared" si="105"/>
        <v/>
      </c>
      <c r="T339" s="26" t="str">
        <f t="shared" si="100"/>
        <v/>
      </c>
      <c r="U339" s="26" t="str">
        <f t="shared" si="101"/>
        <v/>
      </c>
      <c r="V339" s="26" t="str">
        <f t="shared" si="102"/>
        <v/>
      </c>
      <c r="W339" s="20" t="str">
        <f t="shared" si="103"/>
        <v/>
      </c>
      <c r="X339" s="20" t="str">
        <f t="shared" si="104"/>
        <v/>
      </c>
      <c r="Y339" s="86" t="str">
        <f t="shared" si="106"/>
        <v/>
      </c>
      <c r="Z339" s="31"/>
    </row>
    <row r="340" spans="2:26" outlineLevel="1">
      <c r="B340" s="14">
        <f t="shared" si="90"/>
        <v>337</v>
      </c>
      <c r="C340" s="37"/>
      <c r="D340" s="40"/>
      <c r="E340" s="39"/>
      <c r="F340" s="37"/>
      <c r="G340" s="39"/>
      <c r="H340" s="37"/>
      <c r="I340" s="37"/>
      <c r="J340" s="41" t="str">
        <f t="shared" si="91"/>
        <v/>
      </c>
      <c r="K340" s="12" t="str">
        <f t="shared" si="97"/>
        <v/>
      </c>
      <c r="L340" s="12" t="str">
        <f t="shared" si="98"/>
        <v/>
      </c>
      <c r="M340" s="12" t="str">
        <f t="shared" si="92"/>
        <v/>
      </c>
      <c r="N340" s="12" t="str">
        <f t="shared" si="93"/>
        <v/>
      </c>
      <c r="O340" s="12" t="str">
        <f t="shared" si="94"/>
        <v/>
      </c>
      <c r="P340" s="12" t="str">
        <f t="shared" si="95"/>
        <v/>
      </c>
      <c r="Q340" s="12" t="str">
        <f t="shared" si="99"/>
        <v/>
      </c>
      <c r="R340" s="26" t="str">
        <f t="shared" si="96"/>
        <v/>
      </c>
      <c r="S340" s="26" t="str">
        <f t="shared" si="105"/>
        <v/>
      </c>
      <c r="T340" s="26" t="str">
        <f t="shared" si="100"/>
        <v/>
      </c>
      <c r="U340" s="26" t="str">
        <f t="shared" si="101"/>
        <v/>
      </c>
      <c r="V340" s="26" t="str">
        <f t="shared" si="102"/>
        <v/>
      </c>
      <c r="W340" s="20" t="str">
        <f t="shared" si="103"/>
        <v/>
      </c>
      <c r="X340" s="20" t="str">
        <f t="shared" si="104"/>
        <v/>
      </c>
      <c r="Y340" s="86" t="str">
        <f t="shared" si="106"/>
        <v/>
      </c>
      <c r="Z340" s="31"/>
    </row>
    <row r="341" spans="2:26" outlineLevel="1">
      <c r="B341" s="14">
        <f t="shared" si="90"/>
        <v>338</v>
      </c>
      <c r="C341" s="37"/>
      <c r="D341" s="40"/>
      <c r="E341" s="39"/>
      <c r="F341" s="37"/>
      <c r="G341" s="39"/>
      <c r="H341" s="37"/>
      <c r="I341" s="37"/>
      <c r="J341" s="41" t="str">
        <f t="shared" si="91"/>
        <v/>
      </c>
      <c r="K341" s="12" t="str">
        <f t="shared" si="97"/>
        <v/>
      </c>
      <c r="L341" s="12" t="str">
        <f t="shared" si="98"/>
        <v/>
      </c>
      <c r="M341" s="12" t="str">
        <f t="shared" si="92"/>
        <v/>
      </c>
      <c r="N341" s="12" t="str">
        <f t="shared" si="93"/>
        <v/>
      </c>
      <c r="O341" s="12" t="str">
        <f t="shared" si="94"/>
        <v/>
      </c>
      <c r="P341" s="12" t="str">
        <f t="shared" si="95"/>
        <v/>
      </c>
      <c r="Q341" s="12" t="str">
        <f t="shared" si="99"/>
        <v/>
      </c>
      <c r="R341" s="26" t="str">
        <f t="shared" si="96"/>
        <v/>
      </c>
      <c r="S341" s="26" t="str">
        <f t="shared" si="105"/>
        <v/>
      </c>
      <c r="T341" s="26" t="str">
        <f t="shared" si="100"/>
        <v/>
      </c>
      <c r="U341" s="26" t="str">
        <f t="shared" si="101"/>
        <v/>
      </c>
      <c r="V341" s="26" t="str">
        <f t="shared" si="102"/>
        <v/>
      </c>
      <c r="W341" s="20" t="str">
        <f t="shared" si="103"/>
        <v/>
      </c>
      <c r="X341" s="20" t="str">
        <f t="shared" si="104"/>
        <v/>
      </c>
      <c r="Y341" s="86" t="str">
        <f t="shared" si="106"/>
        <v/>
      </c>
      <c r="Z341" s="31"/>
    </row>
    <row r="342" spans="2:26" outlineLevel="1">
      <c r="B342" s="14">
        <f t="shared" si="90"/>
        <v>339</v>
      </c>
      <c r="C342" s="37"/>
      <c r="D342" s="40"/>
      <c r="E342" s="39"/>
      <c r="F342" s="37"/>
      <c r="G342" s="39"/>
      <c r="H342" s="37"/>
      <c r="I342" s="37"/>
      <c r="J342" s="41" t="str">
        <f t="shared" si="91"/>
        <v/>
      </c>
      <c r="K342" s="12" t="str">
        <f t="shared" si="97"/>
        <v/>
      </c>
      <c r="L342" s="12" t="str">
        <f t="shared" si="98"/>
        <v/>
      </c>
      <c r="M342" s="12" t="str">
        <f t="shared" si="92"/>
        <v/>
      </c>
      <c r="N342" s="12" t="str">
        <f t="shared" si="93"/>
        <v/>
      </c>
      <c r="O342" s="12" t="str">
        <f t="shared" si="94"/>
        <v/>
      </c>
      <c r="P342" s="12" t="str">
        <f t="shared" si="95"/>
        <v/>
      </c>
      <c r="Q342" s="12" t="str">
        <f t="shared" si="99"/>
        <v/>
      </c>
      <c r="R342" s="26" t="str">
        <f t="shared" si="96"/>
        <v/>
      </c>
      <c r="S342" s="26" t="str">
        <f t="shared" si="105"/>
        <v/>
      </c>
      <c r="T342" s="26" t="str">
        <f t="shared" si="100"/>
        <v/>
      </c>
      <c r="U342" s="26" t="str">
        <f t="shared" si="101"/>
        <v/>
      </c>
      <c r="V342" s="26" t="str">
        <f t="shared" si="102"/>
        <v/>
      </c>
      <c r="W342" s="20" t="str">
        <f t="shared" si="103"/>
        <v/>
      </c>
      <c r="X342" s="20" t="str">
        <f t="shared" si="104"/>
        <v/>
      </c>
      <c r="Y342" s="86" t="str">
        <f t="shared" si="106"/>
        <v/>
      </c>
      <c r="Z342" s="31"/>
    </row>
    <row r="343" spans="2:26" outlineLevel="1">
      <c r="B343" s="14">
        <f t="shared" si="90"/>
        <v>340</v>
      </c>
      <c r="C343" s="37"/>
      <c r="D343" s="40"/>
      <c r="E343" s="39"/>
      <c r="F343" s="37"/>
      <c r="G343" s="39"/>
      <c r="H343" s="37"/>
      <c r="I343" s="37"/>
      <c r="J343" s="41" t="str">
        <f t="shared" si="91"/>
        <v/>
      </c>
      <c r="K343" s="12" t="str">
        <f t="shared" si="97"/>
        <v/>
      </c>
      <c r="L343" s="12" t="str">
        <f t="shared" si="98"/>
        <v/>
      </c>
      <c r="M343" s="12" t="str">
        <f t="shared" si="92"/>
        <v/>
      </c>
      <c r="N343" s="12" t="str">
        <f t="shared" si="93"/>
        <v/>
      </c>
      <c r="O343" s="12" t="str">
        <f t="shared" si="94"/>
        <v/>
      </c>
      <c r="P343" s="12" t="str">
        <f t="shared" si="95"/>
        <v/>
      </c>
      <c r="Q343" s="12" t="str">
        <f t="shared" si="99"/>
        <v/>
      </c>
      <c r="R343" s="26" t="str">
        <f t="shared" si="96"/>
        <v/>
      </c>
      <c r="S343" s="26" t="str">
        <f t="shared" si="105"/>
        <v/>
      </c>
      <c r="T343" s="26" t="str">
        <f t="shared" si="100"/>
        <v/>
      </c>
      <c r="U343" s="26" t="str">
        <f t="shared" si="101"/>
        <v/>
      </c>
      <c r="V343" s="26" t="str">
        <f t="shared" si="102"/>
        <v/>
      </c>
      <c r="W343" s="20" t="str">
        <f t="shared" si="103"/>
        <v/>
      </c>
      <c r="X343" s="20" t="str">
        <f t="shared" si="104"/>
        <v/>
      </c>
      <c r="Y343" s="86" t="str">
        <f t="shared" si="106"/>
        <v/>
      </c>
      <c r="Z343" s="31"/>
    </row>
    <row r="344" spans="2:26" outlineLevel="1">
      <c r="B344" s="14">
        <f t="shared" si="90"/>
        <v>341</v>
      </c>
      <c r="C344" s="37"/>
      <c r="D344" s="40"/>
      <c r="E344" s="39"/>
      <c r="F344" s="37"/>
      <c r="G344" s="39"/>
      <c r="H344" s="37"/>
      <c r="I344" s="37"/>
      <c r="J344" s="41" t="str">
        <f t="shared" si="91"/>
        <v/>
      </c>
      <c r="K344" s="12" t="str">
        <f t="shared" si="97"/>
        <v/>
      </c>
      <c r="L344" s="12" t="str">
        <f t="shared" si="98"/>
        <v/>
      </c>
      <c r="M344" s="12" t="str">
        <f t="shared" si="92"/>
        <v/>
      </c>
      <c r="N344" s="12" t="str">
        <f t="shared" si="93"/>
        <v/>
      </c>
      <c r="O344" s="12" t="str">
        <f t="shared" si="94"/>
        <v/>
      </c>
      <c r="P344" s="12" t="str">
        <f t="shared" si="95"/>
        <v/>
      </c>
      <c r="Q344" s="12" t="str">
        <f t="shared" si="99"/>
        <v/>
      </c>
      <c r="R344" s="26" t="str">
        <f t="shared" si="96"/>
        <v/>
      </c>
      <c r="S344" s="26" t="str">
        <f t="shared" si="105"/>
        <v/>
      </c>
      <c r="T344" s="26" t="str">
        <f t="shared" si="100"/>
        <v/>
      </c>
      <c r="U344" s="26" t="str">
        <f t="shared" si="101"/>
        <v/>
      </c>
      <c r="V344" s="26" t="str">
        <f t="shared" si="102"/>
        <v/>
      </c>
      <c r="W344" s="20" t="str">
        <f t="shared" si="103"/>
        <v/>
      </c>
      <c r="X344" s="20" t="str">
        <f t="shared" si="104"/>
        <v/>
      </c>
      <c r="Y344" s="86" t="str">
        <f t="shared" si="106"/>
        <v/>
      </c>
      <c r="Z344" s="31"/>
    </row>
    <row r="345" spans="2:26" outlineLevel="1">
      <c r="B345" s="14">
        <f t="shared" si="90"/>
        <v>342</v>
      </c>
      <c r="C345" s="37"/>
      <c r="D345" s="40"/>
      <c r="E345" s="39"/>
      <c r="F345" s="37"/>
      <c r="G345" s="39"/>
      <c r="H345" s="37"/>
      <c r="I345" s="37"/>
      <c r="J345" s="41" t="str">
        <f t="shared" si="91"/>
        <v/>
      </c>
      <c r="K345" s="12" t="str">
        <f t="shared" si="97"/>
        <v/>
      </c>
      <c r="L345" s="12" t="str">
        <f t="shared" si="98"/>
        <v/>
      </c>
      <c r="M345" s="12" t="str">
        <f t="shared" si="92"/>
        <v/>
      </c>
      <c r="N345" s="12" t="str">
        <f t="shared" si="93"/>
        <v/>
      </c>
      <c r="O345" s="12" t="str">
        <f t="shared" si="94"/>
        <v/>
      </c>
      <c r="P345" s="12" t="str">
        <f t="shared" si="95"/>
        <v/>
      </c>
      <c r="Q345" s="12" t="str">
        <f t="shared" si="99"/>
        <v/>
      </c>
      <c r="R345" s="26" t="str">
        <f t="shared" si="96"/>
        <v/>
      </c>
      <c r="S345" s="26" t="str">
        <f t="shared" si="105"/>
        <v/>
      </c>
      <c r="T345" s="26" t="str">
        <f t="shared" si="100"/>
        <v/>
      </c>
      <c r="U345" s="26" t="str">
        <f t="shared" si="101"/>
        <v/>
      </c>
      <c r="V345" s="26" t="str">
        <f t="shared" si="102"/>
        <v/>
      </c>
      <c r="W345" s="20" t="str">
        <f t="shared" si="103"/>
        <v/>
      </c>
      <c r="X345" s="20" t="str">
        <f t="shared" si="104"/>
        <v/>
      </c>
      <c r="Y345" s="86" t="str">
        <f t="shared" si="106"/>
        <v/>
      </c>
      <c r="Z345" s="31"/>
    </row>
    <row r="346" spans="2:26" outlineLevel="1">
      <c r="B346" s="14">
        <f t="shared" si="90"/>
        <v>343</v>
      </c>
      <c r="C346" s="37"/>
      <c r="D346" s="40"/>
      <c r="E346" s="39"/>
      <c r="F346" s="37"/>
      <c r="G346" s="39"/>
      <c r="H346" s="37"/>
      <c r="I346" s="37"/>
      <c r="J346" s="41" t="str">
        <f t="shared" si="91"/>
        <v/>
      </c>
      <c r="K346" s="12" t="str">
        <f t="shared" si="97"/>
        <v/>
      </c>
      <c r="L346" s="12" t="str">
        <f t="shared" si="98"/>
        <v/>
      </c>
      <c r="M346" s="12" t="str">
        <f t="shared" si="92"/>
        <v/>
      </c>
      <c r="N346" s="12" t="str">
        <f t="shared" si="93"/>
        <v/>
      </c>
      <c r="O346" s="12" t="str">
        <f t="shared" si="94"/>
        <v/>
      </c>
      <c r="P346" s="12" t="str">
        <f t="shared" si="95"/>
        <v/>
      </c>
      <c r="Q346" s="12" t="str">
        <f t="shared" si="99"/>
        <v/>
      </c>
      <c r="R346" s="26" t="str">
        <f t="shared" si="96"/>
        <v/>
      </c>
      <c r="S346" s="26" t="str">
        <f t="shared" si="105"/>
        <v/>
      </c>
      <c r="T346" s="26" t="str">
        <f t="shared" si="100"/>
        <v/>
      </c>
      <c r="U346" s="26" t="str">
        <f t="shared" si="101"/>
        <v/>
      </c>
      <c r="V346" s="26" t="str">
        <f t="shared" si="102"/>
        <v/>
      </c>
      <c r="W346" s="20" t="str">
        <f t="shared" si="103"/>
        <v/>
      </c>
      <c r="X346" s="20" t="str">
        <f t="shared" si="104"/>
        <v/>
      </c>
      <c r="Y346" s="86" t="str">
        <f t="shared" si="106"/>
        <v/>
      </c>
      <c r="Z346" s="31"/>
    </row>
    <row r="347" spans="2:26" outlineLevel="1">
      <c r="B347" s="14">
        <f t="shared" si="90"/>
        <v>344</v>
      </c>
      <c r="C347" s="37"/>
      <c r="D347" s="40"/>
      <c r="E347" s="39"/>
      <c r="F347" s="37"/>
      <c r="G347" s="39"/>
      <c r="H347" s="37"/>
      <c r="I347" s="37"/>
      <c r="J347" s="41" t="str">
        <f t="shared" si="91"/>
        <v/>
      </c>
      <c r="K347" s="12" t="str">
        <f t="shared" si="97"/>
        <v/>
      </c>
      <c r="L347" s="12" t="str">
        <f t="shared" si="98"/>
        <v/>
      </c>
      <c r="M347" s="12" t="str">
        <f t="shared" si="92"/>
        <v/>
      </c>
      <c r="N347" s="12" t="str">
        <f t="shared" si="93"/>
        <v/>
      </c>
      <c r="O347" s="12" t="str">
        <f t="shared" si="94"/>
        <v/>
      </c>
      <c r="P347" s="12" t="str">
        <f t="shared" si="95"/>
        <v/>
      </c>
      <c r="Q347" s="12" t="str">
        <f t="shared" si="99"/>
        <v/>
      </c>
      <c r="R347" s="26" t="str">
        <f t="shared" si="96"/>
        <v/>
      </c>
      <c r="S347" s="26" t="str">
        <f t="shared" si="105"/>
        <v/>
      </c>
      <c r="T347" s="26" t="str">
        <f t="shared" si="100"/>
        <v/>
      </c>
      <c r="U347" s="26" t="str">
        <f t="shared" si="101"/>
        <v/>
      </c>
      <c r="V347" s="26" t="str">
        <f t="shared" si="102"/>
        <v/>
      </c>
      <c r="W347" s="20" t="str">
        <f t="shared" si="103"/>
        <v/>
      </c>
      <c r="X347" s="20" t="str">
        <f t="shared" si="104"/>
        <v/>
      </c>
      <c r="Y347" s="86" t="str">
        <f t="shared" si="106"/>
        <v/>
      </c>
      <c r="Z347" s="31"/>
    </row>
    <row r="348" spans="2:26" outlineLevel="1">
      <c r="B348" s="14">
        <f t="shared" si="90"/>
        <v>345</v>
      </c>
      <c r="C348" s="37"/>
      <c r="D348" s="40"/>
      <c r="E348" s="39"/>
      <c r="F348" s="37"/>
      <c r="G348" s="39"/>
      <c r="H348" s="37"/>
      <c r="I348" s="37"/>
      <c r="J348" s="41" t="str">
        <f t="shared" si="91"/>
        <v/>
      </c>
      <c r="K348" s="12" t="str">
        <f t="shared" si="97"/>
        <v/>
      </c>
      <c r="L348" s="12" t="str">
        <f t="shared" si="98"/>
        <v/>
      </c>
      <c r="M348" s="12" t="str">
        <f t="shared" si="92"/>
        <v/>
      </c>
      <c r="N348" s="12" t="str">
        <f t="shared" si="93"/>
        <v/>
      </c>
      <c r="O348" s="12" t="str">
        <f t="shared" si="94"/>
        <v/>
      </c>
      <c r="P348" s="12" t="str">
        <f t="shared" si="95"/>
        <v/>
      </c>
      <c r="Q348" s="12" t="str">
        <f t="shared" si="99"/>
        <v/>
      </c>
      <c r="R348" s="26" t="str">
        <f t="shared" si="96"/>
        <v/>
      </c>
      <c r="S348" s="26" t="str">
        <f t="shared" si="105"/>
        <v/>
      </c>
      <c r="T348" s="26" t="str">
        <f t="shared" si="100"/>
        <v/>
      </c>
      <c r="U348" s="26" t="str">
        <f t="shared" si="101"/>
        <v/>
      </c>
      <c r="V348" s="26" t="str">
        <f t="shared" si="102"/>
        <v/>
      </c>
      <c r="W348" s="20" t="str">
        <f t="shared" si="103"/>
        <v/>
      </c>
      <c r="X348" s="20" t="str">
        <f t="shared" si="104"/>
        <v/>
      </c>
      <c r="Y348" s="86" t="str">
        <f t="shared" si="106"/>
        <v/>
      </c>
      <c r="Z348" s="31"/>
    </row>
    <row r="349" spans="2:26" outlineLevel="1">
      <c r="B349" s="14">
        <f t="shared" si="90"/>
        <v>346</v>
      </c>
      <c r="C349" s="37"/>
      <c r="D349" s="40"/>
      <c r="E349" s="39"/>
      <c r="F349" s="37"/>
      <c r="G349" s="39"/>
      <c r="H349" s="37"/>
      <c r="I349" s="37"/>
      <c r="J349" s="41" t="str">
        <f t="shared" si="91"/>
        <v/>
      </c>
      <c r="K349" s="12" t="str">
        <f t="shared" si="97"/>
        <v/>
      </c>
      <c r="L349" s="12" t="str">
        <f t="shared" si="98"/>
        <v/>
      </c>
      <c r="M349" s="12" t="str">
        <f t="shared" si="92"/>
        <v/>
      </c>
      <c r="N349" s="12" t="str">
        <f t="shared" si="93"/>
        <v/>
      </c>
      <c r="O349" s="12" t="str">
        <f t="shared" si="94"/>
        <v/>
      </c>
      <c r="P349" s="12" t="str">
        <f t="shared" si="95"/>
        <v/>
      </c>
      <c r="Q349" s="12" t="str">
        <f t="shared" si="99"/>
        <v/>
      </c>
      <c r="R349" s="26" t="str">
        <f t="shared" si="96"/>
        <v/>
      </c>
      <c r="S349" s="26" t="str">
        <f t="shared" si="105"/>
        <v/>
      </c>
      <c r="T349" s="26" t="str">
        <f t="shared" si="100"/>
        <v/>
      </c>
      <c r="U349" s="26" t="str">
        <f t="shared" si="101"/>
        <v/>
      </c>
      <c r="V349" s="26" t="str">
        <f t="shared" si="102"/>
        <v/>
      </c>
      <c r="W349" s="20" t="str">
        <f t="shared" si="103"/>
        <v/>
      </c>
      <c r="X349" s="20" t="str">
        <f t="shared" si="104"/>
        <v/>
      </c>
      <c r="Y349" s="86" t="str">
        <f t="shared" si="106"/>
        <v/>
      </c>
      <c r="Z349" s="31"/>
    </row>
    <row r="350" spans="2:26" outlineLevel="1">
      <c r="B350" s="14">
        <f t="shared" si="90"/>
        <v>347</v>
      </c>
      <c r="C350" s="37"/>
      <c r="D350" s="40"/>
      <c r="E350" s="39"/>
      <c r="F350" s="37"/>
      <c r="G350" s="39"/>
      <c r="H350" s="37"/>
      <c r="I350" s="37"/>
      <c r="J350" s="41" t="str">
        <f t="shared" si="91"/>
        <v/>
      </c>
      <c r="K350" s="12" t="str">
        <f t="shared" si="97"/>
        <v/>
      </c>
      <c r="L350" s="12" t="str">
        <f t="shared" si="98"/>
        <v/>
      </c>
      <c r="M350" s="12" t="str">
        <f t="shared" si="92"/>
        <v/>
      </c>
      <c r="N350" s="12" t="str">
        <f t="shared" si="93"/>
        <v/>
      </c>
      <c r="O350" s="12" t="str">
        <f t="shared" si="94"/>
        <v/>
      </c>
      <c r="P350" s="12" t="str">
        <f t="shared" si="95"/>
        <v/>
      </c>
      <c r="Q350" s="12" t="str">
        <f t="shared" si="99"/>
        <v/>
      </c>
      <c r="R350" s="26" t="str">
        <f t="shared" si="96"/>
        <v/>
      </c>
      <c r="S350" s="26" t="str">
        <f t="shared" si="105"/>
        <v/>
      </c>
      <c r="T350" s="26" t="str">
        <f t="shared" si="100"/>
        <v/>
      </c>
      <c r="U350" s="26" t="str">
        <f t="shared" si="101"/>
        <v/>
      </c>
      <c r="V350" s="26" t="str">
        <f t="shared" si="102"/>
        <v/>
      </c>
      <c r="W350" s="20" t="str">
        <f t="shared" si="103"/>
        <v/>
      </c>
      <c r="X350" s="20" t="str">
        <f t="shared" si="104"/>
        <v/>
      </c>
      <c r="Y350" s="86" t="str">
        <f t="shared" si="106"/>
        <v/>
      </c>
      <c r="Z350" s="31"/>
    </row>
    <row r="351" spans="2:26" outlineLevel="1">
      <c r="B351" s="14">
        <f t="shared" si="90"/>
        <v>348</v>
      </c>
      <c r="C351" s="37"/>
      <c r="D351" s="40"/>
      <c r="E351" s="39"/>
      <c r="F351" s="37"/>
      <c r="G351" s="39"/>
      <c r="H351" s="37"/>
      <c r="I351" s="37"/>
      <c r="J351" s="41" t="str">
        <f t="shared" si="91"/>
        <v/>
      </c>
      <c r="K351" s="12" t="str">
        <f t="shared" si="97"/>
        <v/>
      </c>
      <c r="L351" s="12" t="str">
        <f t="shared" si="98"/>
        <v/>
      </c>
      <c r="M351" s="12" t="str">
        <f t="shared" si="92"/>
        <v/>
      </c>
      <c r="N351" s="12" t="str">
        <f t="shared" si="93"/>
        <v/>
      </c>
      <c r="O351" s="12" t="str">
        <f t="shared" si="94"/>
        <v/>
      </c>
      <c r="P351" s="12" t="str">
        <f t="shared" si="95"/>
        <v/>
      </c>
      <c r="Q351" s="12" t="str">
        <f t="shared" si="99"/>
        <v/>
      </c>
      <c r="R351" s="26" t="str">
        <f t="shared" si="96"/>
        <v/>
      </c>
      <c r="S351" s="26" t="str">
        <f t="shared" si="105"/>
        <v/>
      </c>
      <c r="T351" s="26" t="str">
        <f t="shared" si="100"/>
        <v/>
      </c>
      <c r="U351" s="26" t="str">
        <f t="shared" si="101"/>
        <v/>
      </c>
      <c r="V351" s="26" t="str">
        <f t="shared" si="102"/>
        <v/>
      </c>
      <c r="W351" s="20" t="str">
        <f t="shared" si="103"/>
        <v/>
      </c>
      <c r="X351" s="20" t="str">
        <f t="shared" si="104"/>
        <v/>
      </c>
      <c r="Y351" s="86" t="str">
        <f t="shared" si="106"/>
        <v/>
      </c>
      <c r="Z351" s="31"/>
    </row>
    <row r="352" spans="2:26" outlineLevel="1">
      <c r="B352" s="14">
        <f t="shared" si="90"/>
        <v>349</v>
      </c>
      <c r="C352" s="37"/>
      <c r="D352" s="40"/>
      <c r="E352" s="39"/>
      <c r="F352" s="37"/>
      <c r="G352" s="39"/>
      <c r="H352" s="37"/>
      <c r="I352" s="37"/>
      <c r="J352" s="41" t="str">
        <f t="shared" si="91"/>
        <v/>
      </c>
      <c r="K352" s="12" t="str">
        <f t="shared" si="97"/>
        <v/>
      </c>
      <c r="L352" s="12" t="str">
        <f t="shared" si="98"/>
        <v/>
      </c>
      <c r="M352" s="12" t="str">
        <f t="shared" si="92"/>
        <v/>
      </c>
      <c r="N352" s="12" t="str">
        <f t="shared" si="93"/>
        <v/>
      </c>
      <c r="O352" s="12" t="str">
        <f t="shared" si="94"/>
        <v/>
      </c>
      <c r="P352" s="12" t="str">
        <f t="shared" si="95"/>
        <v/>
      </c>
      <c r="Q352" s="12" t="str">
        <f t="shared" si="99"/>
        <v/>
      </c>
      <c r="R352" s="26" t="str">
        <f t="shared" si="96"/>
        <v/>
      </c>
      <c r="S352" s="26" t="str">
        <f t="shared" si="105"/>
        <v/>
      </c>
      <c r="T352" s="26" t="str">
        <f t="shared" si="100"/>
        <v/>
      </c>
      <c r="U352" s="26" t="str">
        <f t="shared" si="101"/>
        <v/>
      </c>
      <c r="V352" s="26" t="str">
        <f t="shared" si="102"/>
        <v/>
      </c>
      <c r="W352" s="20" t="str">
        <f t="shared" si="103"/>
        <v/>
      </c>
      <c r="X352" s="20" t="str">
        <f t="shared" si="104"/>
        <v/>
      </c>
      <c r="Y352" s="86" t="str">
        <f t="shared" si="106"/>
        <v/>
      </c>
      <c r="Z352" s="31"/>
    </row>
    <row r="353" spans="2:26" outlineLevel="1">
      <c r="B353" s="14">
        <f t="shared" si="90"/>
        <v>350</v>
      </c>
      <c r="C353" s="37"/>
      <c r="D353" s="40"/>
      <c r="E353" s="39"/>
      <c r="F353" s="37"/>
      <c r="G353" s="39"/>
      <c r="H353" s="37"/>
      <c r="I353" s="37"/>
      <c r="J353" s="41" t="str">
        <f t="shared" si="91"/>
        <v/>
      </c>
      <c r="K353" s="12" t="str">
        <f t="shared" si="97"/>
        <v/>
      </c>
      <c r="L353" s="12" t="str">
        <f t="shared" si="98"/>
        <v/>
      </c>
      <c r="M353" s="12" t="str">
        <f t="shared" si="92"/>
        <v/>
      </c>
      <c r="N353" s="12" t="str">
        <f t="shared" si="93"/>
        <v/>
      </c>
      <c r="O353" s="12" t="str">
        <f t="shared" si="94"/>
        <v/>
      </c>
      <c r="P353" s="12" t="str">
        <f t="shared" si="95"/>
        <v/>
      </c>
      <c r="Q353" s="12" t="str">
        <f t="shared" si="99"/>
        <v/>
      </c>
      <c r="R353" s="26" t="str">
        <f t="shared" si="96"/>
        <v/>
      </c>
      <c r="S353" s="26" t="str">
        <f t="shared" si="105"/>
        <v/>
      </c>
      <c r="T353" s="26" t="str">
        <f t="shared" si="100"/>
        <v/>
      </c>
      <c r="U353" s="26" t="str">
        <f t="shared" si="101"/>
        <v/>
      </c>
      <c r="V353" s="26" t="str">
        <f t="shared" si="102"/>
        <v/>
      </c>
      <c r="W353" s="20" t="str">
        <f t="shared" si="103"/>
        <v/>
      </c>
      <c r="X353" s="20" t="str">
        <f t="shared" si="104"/>
        <v/>
      </c>
      <c r="Y353" s="86" t="str">
        <f t="shared" si="106"/>
        <v/>
      </c>
      <c r="Z353" s="31"/>
    </row>
    <row r="354" spans="2:26" outlineLevel="1">
      <c r="B354" s="14">
        <f t="shared" si="90"/>
        <v>351</v>
      </c>
      <c r="C354" s="37"/>
      <c r="D354" s="40"/>
      <c r="E354" s="39"/>
      <c r="F354" s="37"/>
      <c r="G354" s="39"/>
      <c r="H354" s="37"/>
      <c r="I354" s="37"/>
      <c r="J354" s="41" t="str">
        <f t="shared" si="91"/>
        <v/>
      </c>
      <c r="K354" s="12" t="str">
        <f t="shared" si="97"/>
        <v/>
      </c>
      <c r="L354" s="12" t="str">
        <f t="shared" si="98"/>
        <v/>
      </c>
      <c r="M354" s="12" t="str">
        <f t="shared" si="92"/>
        <v/>
      </c>
      <c r="N354" s="12" t="str">
        <f t="shared" si="93"/>
        <v/>
      </c>
      <c r="O354" s="12" t="str">
        <f t="shared" si="94"/>
        <v/>
      </c>
      <c r="P354" s="12" t="str">
        <f t="shared" si="95"/>
        <v/>
      </c>
      <c r="Q354" s="12" t="str">
        <f t="shared" si="99"/>
        <v/>
      </c>
      <c r="R354" s="26" t="str">
        <f t="shared" si="96"/>
        <v/>
      </c>
      <c r="S354" s="26" t="str">
        <f t="shared" si="105"/>
        <v/>
      </c>
      <c r="T354" s="26" t="str">
        <f t="shared" si="100"/>
        <v/>
      </c>
      <c r="U354" s="26" t="str">
        <f t="shared" si="101"/>
        <v/>
      </c>
      <c r="V354" s="26" t="str">
        <f t="shared" si="102"/>
        <v/>
      </c>
      <c r="W354" s="20" t="str">
        <f t="shared" si="103"/>
        <v/>
      </c>
      <c r="X354" s="20" t="str">
        <f t="shared" si="104"/>
        <v/>
      </c>
      <c r="Y354" s="86" t="str">
        <f t="shared" si="106"/>
        <v/>
      </c>
      <c r="Z354" s="31"/>
    </row>
    <row r="355" spans="2:26" outlineLevel="1">
      <c r="B355" s="14">
        <f t="shared" si="90"/>
        <v>352</v>
      </c>
      <c r="C355" s="37"/>
      <c r="D355" s="40"/>
      <c r="E355" s="39"/>
      <c r="F355" s="37"/>
      <c r="G355" s="39"/>
      <c r="H355" s="37"/>
      <c r="I355" s="37"/>
      <c r="J355" s="41" t="str">
        <f t="shared" si="91"/>
        <v/>
      </c>
      <c r="K355" s="12" t="str">
        <f t="shared" si="97"/>
        <v/>
      </c>
      <c r="L355" s="12" t="str">
        <f t="shared" si="98"/>
        <v/>
      </c>
      <c r="M355" s="12" t="str">
        <f t="shared" si="92"/>
        <v/>
      </c>
      <c r="N355" s="12" t="str">
        <f t="shared" si="93"/>
        <v/>
      </c>
      <c r="O355" s="12" t="str">
        <f t="shared" si="94"/>
        <v/>
      </c>
      <c r="P355" s="12" t="str">
        <f t="shared" si="95"/>
        <v/>
      </c>
      <c r="Q355" s="12" t="str">
        <f t="shared" si="99"/>
        <v/>
      </c>
      <c r="R355" s="26" t="str">
        <f t="shared" si="96"/>
        <v/>
      </c>
      <c r="S355" s="26" t="str">
        <f t="shared" si="105"/>
        <v/>
      </c>
      <c r="T355" s="26" t="str">
        <f t="shared" si="100"/>
        <v/>
      </c>
      <c r="U355" s="26" t="str">
        <f t="shared" si="101"/>
        <v/>
      </c>
      <c r="V355" s="26" t="str">
        <f t="shared" si="102"/>
        <v/>
      </c>
      <c r="W355" s="20" t="str">
        <f t="shared" si="103"/>
        <v/>
      </c>
      <c r="X355" s="20" t="str">
        <f t="shared" si="104"/>
        <v/>
      </c>
      <c r="Y355" s="86" t="str">
        <f t="shared" si="106"/>
        <v/>
      </c>
      <c r="Z355" s="31"/>
    </row>
    <row r="356" spans="2:26" outlineLevel="1">
      <c r="B356" s="14">
        <f t="shared" si="90"/>
        <v>353</v>
      </c>
      <c r="C356" s="37"/>
      <c r="D356" s="40"/>
      <c r="E356" s="39"/>
      <c r="F356" s="37"/>
      <c r="G356" s="39"/>
      <c r="H356" s="37"/>
      <c r="I356" s="37"/>
      <c r="J356" s="41" t="str">
        <f t="shared" si="91"/>
        <v/>
      </c>
      <c r="K356" s="12" t="str">
        <f t="shared" si="97"/>
        <v/>
      </c>
      <c r="L356" s="12" t="str">
        <f t="shared" si="98"/>
        <v/>
      </c>
      <c r="M356" s="12" t="str">
        <f t="shared" si="92"/>
        <v/>
      </c>
      <c r="N356" s="12" t="str">
        <f t="shared" si="93"/>
        <v/>
      </c>
      <c r="O356" s="12" t="str">
        <f t="shared" si="94"/>
        <v/>
      </c>
      <c r="P356" s="12" t="str">
        <f t="shared" si="95"/>
        <v/>
      </c>
      <c r="Q356" s="12" t="str">
        <f t="shared" si="99"/>
        <v/>
      </c>
      <c r="R356" s="26" t="str">
        <f t="shared" si="96"/>
        <v/>
      </c>
      <c r="S356" s="26" t="str">
        <f t="shared" si="105"/>
        <v/>
      </c>
      <c r="T356" s="26" t="str">
        <f t="shared" si="100"/>
        <v/>
      </c>
      <c r="U356" s="26" t="str">
        <f t="shared" si="101"/>
        <v/>
      </c>
      <c r="V356" s="26" t="str">
        <f t="shared" si="102"/>
        <v/>
      </c>
      <c r="W356" s="20" t="str">
        <f t="shared" si="103"/>
        <v/>
      </c>
      <c r="X356" s="20" t="str">
        <f t="shared" si="104"/>
        <v/>
      </c>
      <c r="Y356" s="86" t="str">
        <f t="shared" si="106"/>
        <v/>
      </c>
      <c r="Z356" s="31"/>
    </row>
    <row r="357" spans="2:26" outlineLevel="1">
      <c r="B357" s="14">
        <f t="shared" si="90"/>
        <v>354</v>
      </c>
      <c r="C357" s="37"/>
      <c r="D357" s="40"/>
      <c r="E357" s="39"/>
      <c r="F357" s="37"/>
      <c r="G357" s="39"/>
      <c r="H357" s="37"/>
      <c r="I357" s="37"/>
      <c r="J357" s="41" t="str">
        <f t="shared" si="91"/>
        <v/>
      </c>
      <c r="K357" s="12" t="str">
        <f t="shared" si="97"/>
        <v/>
      </c>
      <c r="L357" s="12" t="str">
        <f t="shared" si="98"/>
        <v/>
      </c>
      <c r="M357" s="12" t="str">
        <f t="shared" si="92"/>
        <v/>
      </c>
      <c r="N357" s="12" t="str">
        <f t="shared" si="93"/>
        <v/>
      </c>
      <c r="O357" s="12" t="str">
        <f t="shared" si="94"/>
        <v/>
      </c>
      <c r="P357" s="12" t="str">
        <f t="shared" si="95"/>
        <v/>
      </c>
      <c r="Q357" s="12" t="str">
        <f t="shared" si="99"/>
        <v/>
      </c>
      <c r="R357" s="26" t="str">
        <f t="shared" si="96"/>
        <v/>
      </c>
      <c r="S357" s="26" t="str">
        <f t="shared" si="105"/>
        <v/>
      </c>
      <c r="T357" s="26" t="str">
        <f t="shared" si="100"/>
        <v/>
      </c>
      <c r="U357" s="26" t="str">
        <f t="shared" si="101"/>
        <v/>
      </c>
      <c r="V357" s="26" t="str">
        <f t="shared" si="102"/>
        <v/>
      </c>
      <c r="W357" s="20" t="str">
        <f t="shared" si="103"/>
        <v/>
      </c>
      <c r="X357" s="20" t="str">
        <f t="shared" si="104"/>
        <v/>
      </c>
      <c r="Y357" s="86" t="str">
        <f t="shared" si="106"/>
        <v/>
      </c>
      <c r="Z357" s="31"/>
    </row>
    <row r="358" spans="2:26" outlineLevel="1">
      <c r="B358" s="14">
        <f t="shared" si="90"/>
        <v>355</v>
      </c>
      <c r="C358" s="37"/>
      <c r="D358" s="40"/>
      <c r="E358" s="39"/>
      <c r="F358" s="37"/>
      <c r="G358" s="39"/>
      <c r="H358" s="37"/>
      <c r="I358" s="37"/>
      <c r="J358" s="41" t="str">
        <f t="shared" si="91"/>
        <v/>
      </c>
      <c r="K358" s="12" t="str">
        <f t="shared" si="97"/>
        <v/>
      </c>
      <c r="L358" s="12" t="str">
        <f t="shared" si="98"/>
        <v/>
      </c>
      <c r="M358" s="12" t="str">
        <f t="shared" si="92"/>
        <v/>
      </c>
      <c r="N358" s="12" t="str">
        <f t="shared" si="93"/>
        <v/>
      </c>
      <c r="O358" s="12" t="str">
        <f t="shared" si="94"/>
        <v/>
      </c>
      <c r="P358" s="12" t="str">
        <f t="shared" si="95"/>
        <v/>
      </c>
      <c r="Q358" s="12" t="str">
        <f t="shared" si="99"/>
        <v/>
      </c>
      <c r="R358" s="26" t="str">
        <f t="shared" si="96"/>
        <v/>
      </c>
      <c r="S358" s="26" t="str">
        <f t="shared" si="105"/>
        <v/>
      </c>
      <c r="T358" s="26" t="str">
        <f t="shared" si="100"/>
        <v/>
      </c>
      <c r="U358" s="26" t="str">
        <f t="shared" si="101"/>
        <v/>
      </c>
      <c r="V358" s="26" t="str">
        <f t="shared" si="102"/>
        <v/>
      </c>
      <c r="W358" s="20" t="str">
        <f t="shared" si="103"/>
        <v/>
      </c>
      <c r="X358" s="20" t="str">
        <f t="shared" si="104"/>
        <v/>
      </c>
      <c r="Y358" s="86" t="str">
        <f t="shared" si="106"/>
        <v/>
      </c>
      <c r="Z358" s="31"/>
    </row>
    <row r="359" spans="2:26" outlineLevel="1">
      <c r="B359" s="14">
        <f t="shared" si="90"/>
        <v>356</v>
      </c>
      <c r="C359" s="37"/>
      <c r="D359" s="40"/>
      <c r="E359" s="39"/>
      <c r="F359" s="37"/>
      <c r="G359" s="39"/>
      <c r="H359" s="37"/>
      <c r="I359" s="37"/>
      <c r="J359" s="41" t="str">
        <f t="shared" si="91"/>
        <v/>
      </c>
      <c r="K359" s="12" t="str">
        <f t="shared" si="97"/>
        <v/>
      </c>
      <c r="L359" s="12" t="str">
        <f t="shared" si="98"/>
        <v/>
      </c>
      <c r="M359" s="12" t="str">
        <f t="shared" si="92"/>
        <v/>
      </c>
      <c r="N359" s="12" t="str">
        <f t="shared" si="93"/>
        <v/>
      </c>
      <c r="O359" s="12" t="str">
        <f t="shared" si="94"/>
        <v/>
      </c>
      <c r="P359" s="12" t="str">
        <f t="shared" si="95"/>
        <v/>
      </c>
      <c r="Q359" s="12" t="str">
        <f t="shared" si="99"/>
        <v/>
      </c>
      <c r="R359" s="26" t="str">
        <f t="shared" si="96"/>
        <v/>
      </c>
      <c r="S359" s="26" t="str">
        <f t="shared" si="105"/>
        <v/>
      </c>
      <c r="T359" s="26" t="str">
        <f t="shared" si="100"/>
        <v/>
      </c>
      <c r="U359" s="26" t="str">
        <f t="shared" si="101"/>
        <v/>
      </c>
      <c r="V359" s="26" t="str">
        <f t="shared" si="102"/>
        <v/>
      </c>
      <c r="W359" s="20" t="str">
        <f t="shared" si="103"/>
        <v/>
      </c>
      <c r="X359" s="20" t="str">
        <f t="shared" si="104"/>
        <v/>
      </c>
      <c r="Y359" s="86" t="str">
        <f t="shared" si="106"/>
        <v/>
      </c>
      <c r="Z359" s="31"/>
    </row>
    <row r="360" spans="2:26" outlineLevel="1">
      <c r="B360" s="14">
        <f t="shared" si="90"/>
        <v>357</v>
      </c>
      <c r="C360" s="37"/>
      <c r="D360" s="40"/>
      <c r="E360" s="39"/>
      <c r="F360" s="37"/>
      <c r="G360" s="39"/>
      <c r="H360" s="37"/>
      <c r="I360" s="37"/>
      <c r="J360" s="41" t="str">
        <f t="shared" si="91"/>
        <v/>
      </c>
      <c r="K360" s="12" t="str">
        <f t="shared" si="97"/>
        <v/>
      </c>
      <c r="L360" s="12" t="str">
        <f t="shared" si="98"/>
        <v/>
      </c>
      <c r="M360" s="12" t="str">
        <f t="shared" si="92"/>
        <v/>
      </c>
      <c r="N360" s="12" t="str">
        <f t="shared" si="93"/>
        <v/>
      </c>
      <c r="O360" s="12" t="str">
        <f t="shared" si="94"/>
        <v/>
      </c>
      <c r="P360" s="12" t="str">
        <f t="shared" si="95"/>
        <v/>
      </c>
      <c r="Q360" s="12" t="str">
        <f t="shared" si="99"/>
        <v/>
      </c>
      <c r="R360" s="26" t="str">
        <f t="shared" si="96"/>
        <v/>
      </c>
      <c r="S360" s="26" t="str">
        <f t="shared" si="105"/>
        <v/>
      </c>
      <c r="T360" s="26" t="str">
        <f t="shared" si="100"/>
        <v/>
      </c>
      <c r="U360" s="26" t="str">
        <f t="shared" si="101"/>
        <v/>
      </c>
      <c r="V360" s="26" t="str">
        <f t="shared" si="102"/>
        <v/>
      </c>
      <c r="W360" s="20" t="str">
        <f t="shared" si="103"/>
        <v/>
      </c>
      <c r="X360" s="20" t="str">
        <f t="shared" si="104"/>
        <v/>
      </c>
      <c r="Y360" s="86" t="str">
        <f t="shared" si="106"/>
        <v/>
      </c>
      <c r="Z360" s="31"/>
    </row>
    <row r="361" spans="2:26" outlineLevel="1">
      <c r="B361" s="14">
        <f t="shared" si="90"/>
        <v>358</v>
      </c>
      <c r="C361" s="37"/>
      <c r="D361" s="40"/>
      <c r="E361" s="39"/>
      <c r="F361" s="37"/>
      <c r="G361" s="39"/>
      <c r="H361" s="37"/>
      <c r="I361" s="37"/>
      <c r="J361" s="41" t="str">
        <f t="shared" si="91"/>
        <v/>
      </c>
      <c r="K361" s="12" t="str">
        <f t="shared" si="97"/>
        <v/>
      </c>
      <c r="L361" s="12" t="str">
        <f t="shared" si="98"/>
        <v/>
      </c>
      <c r="M361" s="12" t="str">
        <f t="shared" si="92"/>
        <v/>
      </c>
      <c r="N361" s="12" t="str">
        <f t="shared" si="93"/>
        <v/>
      </c>
      <c r="O361" s="12" t="str">
        <f t="shared" si="94"/>
        <v/>
      </c>
      <c r="P361" s="12" t="str">
        <f t="shared" si="95"/>
        <v/>
      </c>
      <c r="Q361" s="12" t="str">
        <f t="shared" si="99"/>
        <v/>
      </c>
      <c r="R361" s="26" t="str">
        <f t="shared" si="96"/>
        <v/>
      </c>
      <c r="S361" s="26" t="str">
        <f t="shared" si="105"/>
        <v/>
      </c>
      <c r="T361" s="26" t="str">
        <f t="shared" si="100"/>
        <v/>
      </c>
      <c r="U361" s="26" t="str">
        <f t="shared" si="101"/>
        <v/>
      </c>
      <c r="V361" s="26" t="str">
        <f t="shared" si="102"/>
        <v/>
      </c>
      <c r="W361" s="20" t="str">
        <f t="shared" si="103"/>
        <v/>
      </c>
      <c r="X361" s="20" t="str">
        <f t="shared" si="104"/>
        <v/>
      </c>
      <c r="Y361" s="86" t="str">
        <f t="shared" si="106"/>
        <v/>
      </c>
      <c r="Z361" s="31"/>
    </row>
    <row r="362" spans="2:26" outlineLevel="1">
      <c r="B362" s="14">
        <f t="shared" si="90"/>
        <v>359</v>
      </c>
      <c r="C362" s="37"/>
      <c r="D362" s="40"/>
      <c r="E362" s="39"/>
      <c r="F362" s="37"/>
      <c r="G362" s="39"/>
      <c r="H362" s="37"/>
      <c r="I362" s="37"/>
      <c r="J362" s="41" t="str">
        <f t="shared" si="91"/>
        <v/>
      </c>
      <c r="K362" s="12" t="str">
        <f t="shared" si="97"/>
        <v/>
      </c>
      <c r="L362" s="12" t="str">
        <f t="shared" si="98"/>
        <v/>
      </c>
      <c r="M362" s="12" t="str">
        <f t="shared" si="92"/>
        <v/>
      </c>
      <c r="N362" s="12" t="str">
        <f t="shared" si="93"/>
        <v/>
      </c>
      <c r="O362" s="12" t="str">
        <f t="shared" si="94"/>
        <v/>
      </c>
      <c r="P362" s="12" t="str">
        <f t="shared" si="95"/>
        <v/>
      </c>
      <c r="Q362" s="12" t="str">
        <f t="shared" si="99"/>
        <v/>
      </c>
      <c r="R362" s="26" t="str">
        <f t="shared" si="96"/>
        <v/>
      </c>
      <c r="S362" s="26" t="str">
        <f t="shared" si="105"/>
        <v/>
      </c>
      <c r="T362" s="26" t="str">
        <f t="shared" si="100"/>
        <v/>
      </c>
      <c r="U362" s="26" t="str">
        <f t="shared" si="101"/>
        <v/>
      </c>
      <c r="V362" s="26" t="str">
        <f t="shared" si="102"/>
        <v/>
      </c>
      <c r="W362" s="20" t="str">
        <f t="shared" si="103"/>
        <v/>
      </c>
      <c r="X362" s="20" t="str">
        <f t="shared" si="104"/>
        <v/>
      </c>
      <c r="Y362" s="86" t="str">
        <f t="shared" si="106"/>
        <v/>
      </c>
      <c r="Z362" s="31"/>
    </row>
    <row r="363" spans="2:26" outlineLevel="1">
      <c r="B363" s="14">
        <f t="shared" si="90"/>
        <v>360</v>
      </c>
      <c r="C363" s="37"/>
      <c r="D363" s="40"/>
      <c r="E363" s="39"/>
      <c r="F363" s="37"/>
      <c r="G363" s="39"/>
      <c r="H363" s="37"/>
      <c r="I363" s="37"/>
      <c r="J363" s="41" t="str">
        <f t="shared" si="91"/>
        <v/>
      </c>
      <c r="K363" s="12" t="str">
        <f t="shared" si="97"/>
        <v/>
      </c>
      <c r="L363" s="12" t="str">
        <f t="shared" si="98"/>
        <v/>
      </c>
      <c r="M363" s="12" t="str">
        <f t="shared" si="92"/>
        <v/>
      </c>
      <c r="N363" s="12" t="str">
        <f t="shared" si="93"/>
        <v/>
      </c>
      <c r="O363" s="12" t="str">
        <f t="shared" si="94"/>
        <v/>
      </c>
      <c r="P363" s="12" t="str">
        <f t="shared" si="95"/>
        <v/>
      </c>
      <c r="Q363" s="12" t="str">
        <f t="shared" si="99"/>
        <v/>
      </c>
      <c r="R363" s="26" t="str">
        <f t="shared" si="96"/>
        <v/>
      </c>
      <c r="S363" s="26" t="str">
        <f t="shared" si="105"/>
        <v/>
      </c>
      <c r="T363" s="26" t="str">
        <f t="shared" si="100"/>
        <v/>
      </c>
      <c r="U363" s="26" t="str">
        <f t="shared" si="101"/>
        <v/>
      </c>
      <c r="V363" s="26" t="str">
        <f t="shared" si="102"/>
        <v/>
      </c>
      <c r="W363" s="20" t="str">
        <f t="shared" si="103"/>
        <v/>
      </c>
      <c r="X363" s="20" t="str">
        <f t="shared" si="104"/>
        <v/>
      </c>
      <c r="Y363" s="86" t="str">
        <f t="shared" si="106"/>
        <v/>
      </c>
      <c r="Z363" s="31"/>
    </row>
    <row r="364" spans="2:26" outlineLevel="1">
      <c r="B364" s="14">
        <f t="shared" si="90"/>
        <v>361</v>
      </c>
      <c r="C364" s="37"/>
      <c r="D364" s="40"/>
      <c r="E364" s="39"/>
      <c r="F364" s="37"/>
      <c r="G364" s="39"/>
      <c r="H364" s="37"/>
      <c r="I364" s="37"/>
      <c r="J364" s="41" t="str">
        <f t="shared" si="91"/>
        <v/>
      </c>
      <c r="K364" s="12" t="str">
        <f t="shared" si="97"/>
        <v/>
      </c>
      <c r="L364" s="12" t="str">
        <f t="shared" si="98"/>
        <v/>
      </c>
      <c r="M364" s="12" t="str">
        <f t="shared" si="92"/>
        <v/>
      </c>
      <c r="N364" s="12" t="str">
        <f t="shared" si="93"/>
        <v/>
      </c>
      <c r="O364" s="12" t="str">
        <f t="shared" si="94"/>
        <v/>
      </c>
      <c r="P364" s="12" t="str">
        <f t="shared" si="95"/>
        <v/>
      </c>
      <c r="Q364" s="12" t="str">
        <f t="shared" si="99"/>
        <v/>
      </c>
      <c r="R364" s="26" t="str">
        <f t="shared" si="96"/>
        <v/>
      </c>
      <c r="S364" s="26" t="str">
        <f t="shared" si="105"/>
        <v/>
      </c>
      <c r="T364" s="26" t="str">
        <f t="shared" si="100"/>
        <v/>
      </c>
      <c r="U364" s="26" t="str">
        <f t="shared" si="101"/>
        <v/>
      </c>
      <c r="V364" s="26" t="str">
        <f t="shared" si="102"/>
        <v/>
      </c>
      <c r="W364" s="20" t="str">
        <f t="shared" si="103"/>
        <v/>
      </c>
      <c r="X364" s="20" t="str">
        <f t="shared" si="104"/>
        <v/>
      </c>
      <c r="Y364" s="86" t="str">
        <f t="shared" si="106"/>
        <v/>
      </c>
      <c r="Z364" s="31"/>
    </row>
    <row r="365" spans="2:26" outlineLevel="1">
      <c r="B365" s="14">
        <f t="shared" si="90"/>
        <v>362</v>
      </c>
      <c r="C365" s="37"/>
      <c r="D365" s="40"/>
      <c r="E365" s="39"/>
      <c r="F365" s="37"/>
      <c r="G365" s="39"/>
      <c r="H365" s="37"/>
      <c r="I365" s="37"/>
      <c r="J365" s="41" t="str">
        <f t="shared" si="91"/>
        <v/>
      </c>
      <c r="K365" s="12" t="str">
        <f t="shared" si="97"/>
        <v/>
      </c>
      <c r="L365" s="12" t="str">
        <f t="shared" si="98"/>
        <v/>
      </c>
      <c r="M365" s="12" t="str">
        <f t="shared" si="92"/>
        <v/>
      </c>
      <c r="N365" s="12" t="str">
        <f t="shared" si="93"/>
        <v/>
      </c>
      <c r="O365" s="12" t="str">
        <f t="shared" si="94"/>
        <v/>
      </c>
      <c r="P365" s="12" t="str">
        <f t="shared" si="95"/>
        <v/>
      </c>
      <c r="Q365" s="12" t="str">
        <f t="shared" si="99"/>
        <v/>
      </c>
      <c r="R365" s="26" t="str">
        <f t="shared" si="96"/>
        <v/>
      </c>
      <c r="S365" s="26" t="str">
        <f t="shared" si="105"/>
        <v/>
      </c>
      <c r="T365" s="26" t="str">
        <f t="shared" si="100"/>
        <v/>
      </c>
      <c r="U365" s="26" t="str">
        <f t="shared" si="101"/>
        <v/>
      </c>
      <c r="V365" s="26" t="str">
        <f t="shared" si="102"/>
        <v/>
      </c>
      <c r="W365" s="20" t="str">
        <f t="shared" si="103"/>
        <v/>
      </c>
      <c r="X365" s="20" t="str">
        <f t="shared" si="104"/>
        <v/>
      </c>
      <c r="Y365" s="86" t="str">
        <f t="shared" si="106"/>
        <v/>
      </c>
      <c r="Z365" s="31"/>
    </row>
    <row r="366" spans="2:26" outlineLevel="1">
      <c r="B366" s="14">
        <f t="shared" si="90"/>
        <v>363</v>
      </c>
      <c r="C366" s="37"/>
      <c r="D366" s="40"/>
      <c r="E366" s="39"/>
      <c r="F366" s="37"/>
      <c r="G366" s="39"/>
      <c r="H366" s="37"/>
      <c r="I366" s="37"/>
      <c r="J366" s="41" t="str">
        <f t="shared" si="91"/>
        <v/>
      </c>
      <c r="K366" s="12" t="str">
        <f t="shared" si="97"/>
        <v/>
      </c>
      <c r="L366" s="12" t="str">
        <f t="shared" si="98"/>
        <v/>
      </c>
      <c r="M366" s="12" t="str">
        <f t="shared" si="92"/>
        <v/>
      </c>
      <c r="N366" s="12" t="str">
        <f t="shared" si="93"/>
        <v/>
      </c>
      <c r="O366" s="12" t="str">
        <f t="shared" si="94"/>
        <v/>
      </c>
      <c r="P366" s="12" t="str">
        <f t="shared" si="95"/>
        <v/>
      </c>
      <c r="Q366" s="12" t="str">
        <f t="shared" si="99"/>
        <v/>
      </c>
      <c r="R366" s="26" t="str">
        <f t="shared" si="96"/>
        <v/>
      </c>
      <c r="S366" s="26" t="str">
        <f t="shared" si="105"/>
        <v/>
      </c>
      <c r="T366" s="26" t="str">
        <f t="shared" si="100"/>
        <v/>
      </c>
      <c r="U366" s="26" t="str">
        <f t="shared" si="101"/>
        <v/>
      </c>
      <c r="V366" s="26" t="str">
        <f t="shared" si="102"/>
        <v/>
      </c>
      <c r="W366" s="20" t="str">
        <f t="shared" si="103"/>
        <v/>
      </c>
      <c r="X366" s="20" t="str">
        <f t="shared" si="104"/>
        <v/>
      </c>
      <c r="Y366" s="86" t="str">
        <f t="shared" si="106"/>
        <v/>
      </c>
      <c r="Z366" s="31"/>
    </row>
    <row r="367" spans="2:26" outlineLevel="1">
      <c r="B367" s="14">
        <f t="shared" si="90"/>
        <v>364</v>
      </c>
      <c r="C367" s="37"/>
      <c r="D367" s="40"/>
      <c r="E367" s="39"/>
      <c r="F367" s="37"/>
      <c r="G367" s="39"/>
      <c r="H367" s="37"/>
      <c r="I367" s="37"/>
      <c r="J367" s="41" t="str">
        <f t="shared" si="91"/>
        <v/>
      </c>
      <c r="K367" s="12" t="str">
        <f t="shared" si="97"/>
        <v/>
      </c>
      <c r="L367" s="12" t="str">
        <f t="shared" si="98"/>
        <v/>
      </c>
      <c r="M367" s="12" t="str">
        <f t="shared" si="92"/>
        <v/>
      </c>
      <c r="N367" s="12" t="str">
        <f t="shared" si="93"/>
        <v/>
      </c>
      <c r="O367" s="12" t="str">
        <f t="shared" si="94"/>
        <v/>
      </c>
      <c r="P367" s="12" t="str">
        <f t="shared" si="95"/>
        <v/>
      </c>
      <c r="Q367" s="12" t="str">
        <f t="shared" si="99"/>
        <v/>
      </c>
      <c r="R367" s="26" t="str">
        <f t="shared" si="96"/>
        <v/>
      </c>
      <c r="S367" s="26" t="str">
        <f t="shared" si="105"/>
        <v/>
      </c>
      <c r="T367" s="26" t="str">
        <f t="shared" si="100"/>
        <v/>
      </c>
      <c r="U367" s="26" t="str">
        <f t="shared" si="101"/>
        <v/>
      </c>
      <c r="V367" s="26" t="str">
        <f t="shared" si="102"/>
        <v/>
      </c>
      <c r="W367" s="20" t="str">
        <f t="shared" si="103"/>
        <v/>
      </c>
      <c r="X367" s="20" t="str">
        <f t="shared" si="104"/>
        <v/>
      </c>
      <c r="Y367" s="86" t="str">
        <f t="shared" si="106"/>
        <v/>
      </c>
      <c r="Z367" s="31"/>
    </row>
    <row r="368" spans="2:26" outlineLevel="1">
      <c r="B368" s="14">
        <f t="shared" si="90"/>
        <v>365</v>
      </c>
      <c r="C368" s="37"/>
      <c r="D368" s="40"/>
      <c r="E368" s="39"/>
      <c r="F368" s="37"/>
      <c r="G368" s="39"/>
      <c r="H368" s="37"/>
      <c r="I368" s="37"/>
      <c r="J368" s="41" t="str">
        <f t="shared" si="91"/>
        <v/>
      </c>
      <c r="K368" s="12" t="str">
        <f t="shared" si="97"/>
        <v/>
      </c>
      <c r="L368" s="12" t="str">
        <f t="shared" si="98"/>
        <v/>
      </c>
      <c r="M368" s="12" t="str">
        <f t="shared" si="92"/>
        <v/>
      </c>
      <c r="N368" s="12" t="str">
        <f t="shared" si="93"/>
        <v/>
      </c>
      <c r="O368" s="12" t="str">
        <f t="shared" si="94"/>
        <v/>
      </c>
      <c r="P368" s="12" t="str">
        <f t="shared" si="95"/>
        <v/>
      </c>
      <c r="Q368" s="12" t="str">
        <f t="shared" si="99"/>
        <v/>
      </c>
      <c r="R368" s="26" t="str">
        <f t="shared" si="96"/>
        <v/>
      </c>
      <c r="S368" s="26" t="str">
        <f t="shared" si="105"/>
        <v/>
      </c>
      <c r="T368" s="26" t="str">
        <f t="shared" si="100"/>
        <v/>
      </c>
      <c r="U368" s="26" t="str">
        <f t="shared" si="101"/>
        <v/>
      </c>
      <c r="V368" s="26" t="str">
        <f t="shared" si="102"/>
        <v/>
      </c>
      <c r="W368" s="20" t="str">
        <f t="shared" si="103"/>
        <v/>
      </c>
      <c r="X368" s="20" t="str">
        <f t="shared" si="104"/>
        <v/>
      </c>
      <c r="Y368" s="86" t="str">
        <f t="shared" si="106"/>
        <v/>
      </c>
      <c r="Z368" s="31"/>
    </row>
    <row r="369" spans="2:26" outlineLevel="1">
      <c r="B369" s="14">
        <f t="shared" si="90"/>
        <v>366</v>
      </c>
      <c r="C369" s="37"/>
      <c r="D369" s="40"/>
      <c r="E369" s="39"/>
      <c r="F369" s="37"/>
      <c r="G369" s="39"/>
      <c r="H369" s="37"/>
      <c r="I369" s="37"/>
      <c r="J369" s="41" t="str">
        <f t="shared" si="91"/>
        <v/>
      </c>
      <c r="K369" s="12" t="str">
        <f t="shared" si="97"/>
        <v/>
      </c>
      <c r="L369" s="12" t="str">
        <f t="shared" si="98"/>
        <v/>
      </c>
      <c r="M369" s="12" t="str">
        <f t="shared" si="92"/>
        <v/>
      </c>
      <c r="N369" s="12" t="str">
        <f t="shared" si="93"/>
        <v/>
      </c>
      <c r="O369" s="12" t="str">
        <f t="shared" si="94"/>
        <v/>
      </c>
      <c r="P369" s="12" t="str">
        <f t="shared" si="95"/>
        <v/>
      </c>
      <c r="Q369" s="12" t="str">
        <f t="shared" si="99"/>
        <v/>
      </c>
      <c r="R369" s="26" t="str">
        <f t="shared" si="96"/>
        <v/>
      </c>
      <c r="S369" s="26" t="str">
        <f t="shared" si="105"/>
        <v/>
      </c>
      <c r="T369" s="26" t="str">
        <f t="shared" si="100"/>
        <v/>
      </c>
      <c r="U369" s="26" t="str">
        <f t="shared" si="101"/>
        <v/>
      </c>
      <c r="V369" s="26" t="str">
        <f t="shared" si="102"/>
        <v/>
      </c>
      <c r="W369" s="20" t="str">
        <f t="shared" si="103"/>
        <v/>
      </c>
      <c r="X369" s="20" t="str">
        <f t="shared" si="104"/>
        <v/>
      </c>
      <c r="Y369" s="86" t="str">
        <f t="shared" si="106"/>
        <v/>
      </c>
      <c r="Z369" s="31"/>
    </row>
    <row r="370" spans="2:26" outlineLevel="1">
      <c r="B370" s="14">
        <f t="shared" si="90"/>
        <v>367</v>
      </c>
      <c r="C370" s="37"/>
      <c r="D370" s="40"/>
      <c r="E370" s="39"/>
      <c r="F370" s="37"/>
      <c r="G370" s="39"/>
      <c r="H370" s="37"/>
      <c r="I370" s="37"/>
      <c r="J370" s="41" t="str">
        <f t="shared" si="91"/>
        <v/>
      </c>
      <c r="K370" s="12" t="str">
        <f t="shared" si="97"/>
        <v/>
      </c>
      <c r="L370" s="12" t="str">
        <f t="shared" si="98"/>
        <v/>
      </c>
      <c r="M370" s="12" t="str">
        <f t="shared" si="92"/>
        <v/>
      </c>
      <c r="N370" s="12" t="str">
        <f t="shared" si="93"/>
        <v/>
      </c>
      <c r="O370" s="12" t="str">
        <f t="shared" si="94"/>
        <v/>
      </c>
      <c r="P370" s="12" t="str">
        <f t="shared" si="95"/>
        <v/>
      </c>
      <c r="Q370" s="12" t="str">
        <f t="shared" si="99"/>
        <v/>
      </c>
      <c r="R370" s="26" t="str">
        <f t="shared" si="96"/>
        <v/>
      </c>
      <c r="S370" s="26" t="str">
        <f t="shared" si="105"/>
        <v/>
      </c>
      <c r="T370" s="26" t="str">
        <f t="shared" si="100"/>
        <v/>
      </c>
      <c r="U370" s="26" t="str">
        <f t="shared" si="101"/>
        <v/>
      </c>
      <c r="V370" s="26" t="str">
        <f t="shared" si="102"/>
        <v/>
      </c>
      <c r="W370" s="20" t="str">
        <f t="shared" si="103"/>
        <v/>
      </c>
      <c r="X370" s="20" t="str">
        <f t="shared" si="104"/>
        <v/>
      </c>
      <c r="Y370" s="86" t="str">
        <f t="shared" si="106"/>
        <v/>
      </c>
      <c r="Z370" s="31"/>
    </row>
    <row r="371" spans="2:26" outlineLevel="1">
      <c r="B371" s="14">
        <f t="shared" si="90"/>
        <v>368</v>
      </c>
      <c r="C371" s="37"/>
      <c r="D371" s="40"/>
      <c r="E371" s="39"/>
      <c r="F371" s="37"/>
      <c r="G371" s="39"/>
      <c r="H371" s="37"/>
      <c r="I371" s="37"/>
      <c r="J371" s="41" t="str">
        <f t="shared" si="91"/>
        <v/>
      </c>
      <c r="K371" s="12" t="str">
        <f t="shared" si="97"/>
        <v/>
      </c>
      <c r="L371" s="12" t="str">
        <f t="shared" si="98"/>
        <v/>
      </c>
      <c r="M371" s="12" t="str">
        <f t="shared" si="92"/>
        <v/>
      </c>
      <c r="N371" s="12" t="str">
        <f t="shared" si="93"/>
        <v/>
      </c>
      <c r="O371" s="12" t="str">
        <f t="shared" si="94"/>
        <v/>
      </c>
      <c r="P371" s="12" t="str">
        <f t="shared" si="95"/>
        <v/>
      </c>
      <c r="Q371" s="12" t="str">
        <f t="shared" si="99"/>
        <v/>
      </c>
      <c r="R371" s="26" t="str">
        <f t="shared" si="96"/>
        <v/>
      </c>
      <c r="S371" s="26" t="str">
        <f t="shared" si="105"/>
        <v/>
      </c>
      <c r="T371" s="26" t="str">
        <f t="shared" si="100"/>
        <v/>
      </c>
      <c r="U371" s="26" t="str">
        <f t="shared" si="101"/>
        <v/>
      </c>
      <c r="V371" s="26" t="str">
        <f t="shared" si="102"/>
        <v/>
      </c>
      <c r="W371" s="20" t="str">
        <f t="shared" si="103"/>
        <v/>
      </c>
      <c r="X371" s="20" t="str">
        <f t="shared" si="104"/>
        <v/>
      </c>
      <c r="Y371" s="86" t="str">
        <f t="shared" si="106"/>
        <v/>
      </c>
      <c r="Z371" s="31"/>
    </row>
    <row r="372" spans="2:26" outlineLevel="1">
      <c r="B372" s="14">
        <f t="shared" si="90"/>
        <v>369</v>
      </c>
      <c r="C372" s="37"/>
      <c r="D372" s="40"/>
      <c r="E372" s="39"/>
      <c r="F372" s="37"/>
      <c r="G372" s="39"/>
      <c r="H372" s="37"/>
      <c r="I372" s="37"/>
      <c r="J372" s="41" t="str">
        <f t="shared" si="91"/>
        <v/>
      </c>
      <c r="K372" s="12" t="str">
        <f t="shared" si="97"/>
        <v/>
      </c>
      <c r="L372" s="12" t="str">
        <f t="shared" si="98"/>
        <v/>
      </c>
      <c r="M372" s="12" t="str">
        <f t="shared" si="92"/>
        <v/>
      </c>
      <c r="N372" s="12" t="str">
        <f t="shared" si="93"/>
        <v/>
      </c>
      <c r="O372" s="12" t="str">
        <f t="shared" si="94"/>
        <v/>
      </c>
      <c r="P372" s="12" t="str">
        <f t="shared" si="95"/>
        <v/>
      </c>
      <c r="Q372" s="12" t="str">
        <f t="shared" si="99"/>
        <v/>
      </c>
      <c r="R372" s="26" t="str">
        <f t="shared" si="96"/>
        <v/>
      </c>
      <c r="S372" s="26" t="str">
        <f t="shared" si="105"/>
        <v/>
      </c>
      <c r="T372" s="26" t="str">
        <f t="shared" si="100"/>
        <v/>
      </c>
      <c r="U372" s="26" t="str">
        <f t="shared" si="101"/>
        <v/>
      </c>
      <c r="V372" s="26" t="str">
        <f t="shared" si="102"/>
        <v/>
      </c>
      <c r="W372" s="20" t="str">
        <f t="shared" si="103"/>
        <v/>
      </c>
      <c r="X372" s="20" t="str">
        <f t="shared" si="104"/>
        <v/>
      </c>
      <c r="Y372" s="86" t="str">
        <f t="shared" si="106"/>
        <v/>
      </c>
      <c r="Z372" s="31"/>
    </row>
    <row r="373" spans="2:26" outlineLevel="1">
      <c r="B373" s="14">
        <f t="shared" si="90"/>
        <v>370</v>
      </c>
      <c r="C373" s="37"/>
      <c r="D373" s="40"/>
      <c r="E373" s="39"/>
      <c r="F373" s="37"/>
      <c r="G373" s="39"/>
      <c r="H373" s="37"/>
      <c r="I373" s="37"/>
      <c r="J373" s="41" t="str">
        <f t="shared" si="91"/>
        <v/>
      </c>
      <c r="K373" s="12" t="str">
        <f t="shared" si="97"/>
        <v/>
      </c>
      <c r="L373" s="12" t="str">
        <f t="shared" si="98"/>
        <v/>
      </c>
      <c r="M373" s="12" t="str">
        <f t="shared" si="92"/>
        <v/>
      </c>
      <c r="N373" s="12" t="str">
        <f t="shared" si="93"/>
        <v/>
      </c>
      <c r="O373" s="12" t="str">
        <f t="shared" si="94"/>
        <v/>
      </c>
      <c r="P373" s="12" t="str">
        <f t="shared" si="95"/>
        <v/>
      </c>
      <c r="Q373" s="12" t="str">
        <f t="shared" si="99"/>
        <v/>
      </c>
      <c r="R373" s="26" t="str">
        <f t="shared" si="96"/>
        <v/>
      </c>
      <c r="S373" s="26" t="str">
        <f t="shared" si="105"/>
        <v/>
      </c>
      <c r="T373" s="26" t="str">
        <f t="shared" si="100"/>
        <v/>
      </c>
      <c r="U373" s="26" t="str">
        <f t="shared" si="101"/>
        <v/>
      </c>
      <c r="V373" s="26" t="str">
        <f t="shared" si="102"/>
        <v/>
      </c>
      <c r="W373" s="20" t="str">
        <f t="shared" si="103"/>
        <v/>
      </c>
      <c r="X373" s="20" t="str">
        <f t="shared" si="104"/>
        <v/>
      </c>
      <c r="Y373" s="86" t="str">
        <f t="shared" si="106"/>
        <v/>
      </c>
      <c r="Z373" s="31"/>
    </row>
    <row r="374" spans="2:26" outlineLevel="1">
      <c r="B374" s="14">
        <f t="shared" si="90"/>
        <v>371</v>
      </c>
      <c r="C374" s="37"/>
      <c r="D374" s="40"/>
      <c r="E374" s="39"/>
      <c r="F374" s="37"/>
      <c r="G374" s="39"/>
      <c r="H374" s="37"/>
      <c r="I374" s="37"/>
      <c r="J374" s="41" t="str">
        <f t="shared" si="91"/>
        <v/>
      </c>
      <c r="K374" s="12" t="str">
        <f t="shared" si="97"/>
        <v/>
      </c>
      <c r="L374" s="12" t="str">
        <f t="shared" si="98"/>
        <v/>
      </c>
      <c r="M374" s="12" t="str">
        <f t="shared" si="92"/>
        <v/>
      </c>
      <c r="N374" s="12" t="str">
        <f t="shared" si="93"/>
        <v/>
      </c>
      <c r="O374" s="12" t="str">
        <f t="shared" si="94"/>
        <v/>
      </c>
      <c r="P374" s="12" t="str">
        <f t="shared" si="95"/>
        <v/>
      </c>
      <c r="Q374" s="12" t="str">
        <f t="shared" si="99"/>
        <v/>
      </c>
      <c r="R374" s="26" t="str">
        <f t="shared" si="96"/>
        <v/>
      </c>
      <c r="S374" s="26" t="str">
        <f t="shared" si="105"/>
        <v/>
      </c>
      <c r="T374" s="26" t="str">
        <f t="shared" si="100"/>
        <v/>
      </c>
      <c r="U374" s="26" t="str">
        <f t="shared" si="101"/>
        <v/>
      </c>
      <c r="V374" s="26" t="str">
        <f t="shared" si="102"/>
        <v/>
      </c>
      <c r="W374" s="20" t="str">
        <f t="shared" si="103"/>
        <v/>
      </c>
      <c r="X374" s="20" t="str">
        <f t="shared" si="104"/>
        <v/>
      </c>
      <c r="Y374" s="86" t="str">
        <f t="shared" si="106"/>
        <v/>
      </c>
      <c r="Z374" s="31"/>
    </row>
    <row r="375" spans="2:26" outlineLevel="1">
      <c r="B375" s="14">
        <f t="shared" si="90"/>
        <v>372</v>
      </c>
      <c r="C375" s="37"/>
      <c r="D375" s="40"/>
      <c r="E375" s="39"/>
      <c r="F375" s="37"/>
      <c r="G375" s="39"/>
      <c r="H375" s="37"/>
      <c r="I375" s="37"/>
      <c r="J375" s="41" t="str">
        <f t="shared" si="91"/>
        <v/>
      </c>
      <c r="K375" s="12" t="str">
        <f t="shared" si="97"/>
        <v/>
      </c>
      <c r="L375" s="12" t="str">
        <f t="shared" si="98"/>
        <v/>
      </c>
      <c r="M375" s="12" t="str">
        <f t="shared" si="92"/>
        <v/>
      </c>
      <c r="N375" s="12" t="str">
        <f t="shared" si="93"/>
        <v/>
      </c>
      <c r="O375" s="12" t="str">
        <f t="shared" si="94"/>
        <v/>
      </c>
      <c r="P375" s="12" t="str">
        <f t="shared" si="95"/>
        <v/>
      </c>
      <c r="Q375" s="12" t="str">
        <f t="shared" si="99"/>
        <v/>
      </c>
      <c r="R375" s="26" t="str">
        <f t="shared" si="96"/>
        <v/>
      </c>
      <c r="S375" s="26" t="str">
        <f t="shared" si="105"/>
        <v/>
      </c>
      <c r="T375" s="26" t="str">
        <f t="shared" si="100"/>
        <v/>
      </c>
      <c r="U375" s="26" t="str">
        <f t="shared" si="101"/>
        <v/>
      </c>
      <c r="V375" s="26" t="str">
        <f t="shared" si="102"/>
        <v/>
      </c>
      <c r="W375" s="20" t="str">
        <f t="shared" si="103"/>
        <v/>
      </c>
      <c r="X375" s="20" t="str">
        <f t="shared" si="104"/>
        <v/>
      </c>
      <c r="Y375" s="86" t="str">
        <f t="shared" si="106"/>
        <v/>
      </c>
      <c r="Z375" s="31"/>
    </row>
    <row r="376" spans="2:26" outlineLevel="1">
      <c r="B376" s="14">
        <f t="shared" si="90"/>
        <v>373</v>
      </c>
      <c r="C376" s="37"/>
      <c r="D376" s="40"/>
      <c r="E376" s="39"/>
      <c r="F376" s="37"/>
      <c r="G376" s="39"/>
      <c r="H376" s="37"/>
      <c r="I376" s="37"/>
      <c r="J376" s="41" t="str">
        <f t="shared" si="91"/>
        <v/>
      </c>
      <c r="K376" s="12" t="str">
        <f t="shared" si="97"/>
        <v/>
      </c>
      <c r="L376" s="12" t="str">
        <f t="shared" si="98"/>
        <v/>
      </c>
      <c r="M376" s="12" t="str">
        <f t="shared" si="92"/>
        <v/>
      </c>
      <c r="N376" s="12" t="str">
        <f t="shared" si="93"/>
        <v/>
      </c>
      <c r="O376" s="12" t="str">
        <f t="shared" si="94"/>
        <v/>
      </c>
      <c r="P376" s="12" t="str">
        <f t="shared" si="95"/>
        <v/>
      </c>
      <c r="Q376" s="12" t="str">
        <f t="shared" si="99"/>
        <v/>
      </c>
      <c r="R376" s="26" t="str">
        <f t="shared" si="96"/>
        <v/>
      </c>
      <c r="S376" s="26" t="str">
        <f t="shared" si="105"/>
        <v/>
      </c>
      <c r="T376" s="26" t="str">
        <f t="shared" si="100"/>
        <v/>
      </c>
      <c r="U376" s="26" t="str">
        <f t="shared" si="101"/>
        <v/>
      </c>
      <c r="V376" s="26" t="str">
        <f t="shared" si="102"/>
        <v/>
      </c>
      <c r="W376" s="20" t="str">
        <f t="shared" si="103"/>
        <v/>
      </c>
      <c r="X376" s="20" t="str">
        <f t="shared" si="104"/>
        <v/>
      </c>
      <c r="Y376" s="86" t="str">
        <f t="shared" si="106"/>
        <v/>
      </c>
      <c r="Z376" s="31"/>
    </row>
    <row r="377" spans="2:26" outlineLevel="1">
      <c r="B377" s="14">
        <f t="shared" si="90"/>
        <v>374</v>
      </c>
      <c r="C377" s="37"/>
      <c r="D377" s="40"/>
      <c r="E377" s="39"/>
      <c r="F377" s="37"/>
      <c r="G377" s="39"/>
      <c r="H377" s="37"/>
      <c r="I377" s="37"/>
      <c r="J377" s="41" t="str">
        <f t="shared" si="91"/>
        <v/>
      </c>
      <c r="K377" s="12" t="str">
        <f t="shared" si="97"/>
        <v/>
      </c>
      <c r="L377" s="12" t="str">
        <f t="shared" si="98"/>
        <v/>
      </c>
      <c r="M377" s="12" t="str">
        <f t="shared" si="92"/>
        <v/>
      </c>
      <c r="N377" s="12" t="str">
        <f t="shared" si="93"/>
        <v/>
      </c>
      <c r="O377" s="12" t="str">
        <f t="shared" si="94"/>
        <v/>
      </c>
      <c r="P377" s="12" t="str">
        <f t="shared" si="95"/>
        <v/>
      </c>
      <c r="Q377" s="12" t="str">
        <f t="shared" si="99"/>
        <v/>
      </c>
      <c r="R377" s="26" t="str">
        <f t="shared" si="96"/>
        <v/>
      </c>
      <c r="S377" s="26" t="str">
        <f t="shared" si="105"/>
        <v/>
      </c>
      <c r="T377" s="26" t="str">
        <f t="shared" si="100"/>
        <v/>
      </c>
      <c r="U377" s="26" t="str">
        <f t="shared" si="101"/>
        <v/>
      </c>
      <c r="V377" s="26" t="str">
        <f t="shared" si="102"/>
        <v/>
      </c>
      <c r="W377" s="20" t="str">
        <f t="shared" si="103"/>
        <v/>
      </c>
      <c r="X377" s="20" t="str">
        <f t="shared" si="104"/>
        <v/>
      </c>
      <c r="Y377" s="86" t="str">
        <f t="shared" si="106"/>
        <v/>
      </c>
      <c r="Z377" s="31"/>
    </row>
    <row r="378" spans="2:26" outlineLevel="1">
      <c r="B378" s="14">
        <f t="shared" si="90"/>
        <v>375</v>
      </c>
      <c r="C378" s="37"/>
      <c r="D378" s="40"/>
      <c r="E378" s="39"/>
      <c r="F378" s="37"/>
      <c r="G378" s="39"/>
      <c r="H378" s="37"/>
      <c r="I378" s="37"/>
      <c r="J378" s="41" t="str">
        <f t="shared" si="91"/>
        <v/>
      </c>
      <c r="K378" s="12" t="str">
        <f t="shared" si="97"/>
        <v/>
      </c>
      <c r="L378" s="12" t="str">
        <f t="shared" si="98"/>
        <v/>
      </c>
      <c r="M378" s="12" t="str">
        <f t="shared" si="92"/>
        <v/>
      </c>
      <c r="N378" s="12" t="str">
        <f t="shared" si="93"/>
        <v/>
      </c>
      <c r="O378" s="12" t="str">
        <f t="shared" si="94"/>
        <v/>
      </c>
      <c r="P378" s="12" t="str">
        <f t="shared" si="95"/>
        <v/>
      </c>
      <c r="Q378" s="12" t="str">
        <f t="shared" si="99"/>
        <v/>
      </c>
      <c r="R378" s="26" t="str">
        <f t="shared" si="96"/>
        <v/>
      </c>
      <c r="S378" s="26" t="str">
        <f t="shared" si="105"/>
        <v/>
      </c>
      <c r="T378" s="26" t="str">
        <f t="shared" si="100"/>
        <v/>
      </c>
      <c r="U378" s="26" t="str">
        <f t="shared" si="101"/>
        <v/>
      </c>
      <c r="V378" s="26" t="str">
        <f t="shared" si="102"/>
        <v/>
      </c>
      <c r="W378" s="20" t="str">
        <f t="shared" si="103"/>
        <v/>
      </c>
      <c r="X378" s="20" t="str">
        <f t="shared" si="104"/>
        <v/>
      </c>
      <c r="Y378" s="86" t="str">
        <f t="shared" si="106"/>
        <v/>
      </c>
      <c r="Z378" s="31"/>
    </row>
    <row r="379" spans="2:26" outlineLevel="1">
      <c r="B379" s="14">
        <f t="shared" si="90"/>
        <v>376</v>
      </c>
      <c r="C379" s="37"/>
      <c r="D379" s="40"/>
      <c r="E379" s="39"/>
      <c r="F379" s="37"/>
      <c r="G379" s="39"/>
      <c r="H379" s="37"/>
      <c r="I379" s="37"/>
      <c r="J379" s="41" t="str">
        <f t="shared" si="91"/>
        <v/>
      </c>
      <c r="K379" s="12" t="str">
        <f t="shared" si="97"/>
        <v/>
      </c>
      <c r="L379" s="12" t="str">
        <f t="shared" si="98"/>
        <v/>
      </c>
      <c r="M379" s="12" t="str">
        <f t="shared" si="92"/>
        <v/>
      </c>
      <c r="N379" s="12" t="str">
        <f t="shared" si="93"/>
        <v/>
      </c>
      <c r="O379" s="12" t="str">
        <f t="shared" si="94"/>
        <v/>
      </c>
      <c r="P379" s="12" t="str">
        <f t="shared" si="95"/>
        <v/>
      </c>
      <c r="Q379" s="12" t="str">
        <f t="shared" si="99"/>
        <v/>
      </c>
      <c r="R379" s="26" t="str">
        <f t="shared" si="96"/>
        <v/>
      </c>
      <c r="S379" s="26" t="str">
        <f t="shared" si="105"/>
        <v/>
      </c>
      <c r="T379" s="26" t="str">
        <f t="shared" si="100"/>
        <v/>
      </c>
      <c r="U379" s="26" t="str">
        <f t="shared" si="101"/>
        <v/>
      </c>
      <c r="V379" s="26" t="str">
        <f t="shared" si="102"/>
        <v/>
      </c>
      <c r="W379" s="20" t="str">
        <f t="shared" si="103"/>
        <v/>
      </c>
      <c r="X379" s="20" t="str">
        <f t="shared" si="104"/>
        <v/>
      </c>
      <c r="Y379" s="86" t="str">
        <f t="shared" si="106"/>
        <v/>
      </c>
      <c r="Z379" s="31"/>
    </row>
    <row r="380" spans="2:26" outlineLevel="1">
      <c r="B380" s="14">
        <f t="shared" si="90"/>
        <v>377</v>
      </c>
      <c r="C380" s="37"/>
      <c r="D380" s="40"/>
      <c r="E380" s="39"/>
      <c r="F380" s="37"/>
      <c r="G380" s="39"/>
      <c r="H380" s="37"/>
      <c r="I380" s="37"/>
      <c r="J380" s="41" t="str">
        <f t="shared" si="91"/>
        <v/>
      </c>
      <c r="K380" s="12" t="str">
        <f t="shared" si="97"/>
        <v/>
      </c>
      <c r="L380" s="12" t="str">
        <f t="shared" si="98"/>
        <v/>
      </c>
      <c r="M380" s="12" t="str">
        <f t="shared" si="92"/>
        <v/>
      </c>
      <c r="N380" s="12" t="str">
        <f t="shared" si="93"/>
        <v/>
      </c>
      <c r="O380" s="12" t="str">
        <f t="shared" si="94"/>
        <v/>
      </c>
      <c r="P380" s="12" t="str">
        <f t="shared" si="95"/>
        <v/>
      </c>
      <c r="Q380" s="12" t="str">
        <f t="shared" si="99"/>
        <v/>
      </c>
      <c r="R380" s="26" t="str">
        <f t="shared" si="96"/>
        <v/>
      </c>
      <c r="S380" s="26" t="str">
        <f t="shared" si="105"/>
        <v/>
      </c>
      <c r="T380" s="26" t="str">
        <f t="shared" si="100"/>
        <v/>
      </c>
      <c r="U380" s="26" t="str">
        <f t="shared" si="101"/>
        <v/>
      </c>
      <c r="V380" s="26" t="str">
        <f t="shared" si="102"/>
        <v/>
      </c>
      <c r="W380" s="20" t="str">
        <f t="shared" si="103"/>
        <v/>
      </c>
      <c r="X380" s="20" t="str">
        <f t="shared" si="104"/>
        <v/>
      </c>
      <c r="Y380" s="86" t="str">
        <f t="shared" si="106"/>
        <v/>
      </c>
      <c r="Z380" s="31"/>
    </row>
    <row r="381" spans="2:26" outlineLevel="1">
      <c r="B381" s="14">
        <f t="shared" si="90"/>
        <v>378</v>
      </c>
      <c r="C381" s="37"/>
      <c r="D381" s="40"/>
      <c r="E381" s="39"/>
      <c r="F381" s="37"/>
      <c r="G381" s="39"/>
      <c r="H381" s="37"/>
      <c r="I381" s="37"/>
      <c r="J381" s="41" t="str">
        <f t="shared" si="91"/>
        <v/>
      </c>
      <c r="K381" s="12" t="str">
        <f t="shared" si="97"/>
        <v/>
      </c>
      <c r="L381" s="12" t="str">
        <f t="shared" si="98"/>
        <v/>
      </c>
      <c r="M381" s="12" t="str">
        <f t="shared" si="92"/>
        <v/>
      </c>
      <c r="N381" s="12" t="str">
        <f t="shared" si="93"/>
        <v/>
      </c>
      <c r="O381" s="12" t="str">
        <f t="shared" si="94"/>
        <v/>
      </c>
      <c r="P381" s="12" t="str">
        <f t="shared" si="95"/>
        <v/>
      </c>
      <c r="Q381" s="12" t="str">
        <f t="shared" si="99"/>
        <v/>
      </c>
      <c r="R381" s="26" t="str">
        <f t="shared" si="96"/>
        <v/>
      </c>
      <c r="S381" s="26" t="str">
        <f t="shared" si="105"/>
        <v/>
      </c>
      <c r="T381" s="26" t="str">
        <f t="shared" si="100"/>
        <v/>
      </c>
      <c r="U381" s="26" t="str">
        <f t="shared" si="101"/>
        <v/>
      </c>
      <c r="V381" s="26" t="str">
        <f t="shared" si="102"/>
        <v/>
      </c>
      <c r="W381" s="20" t="str">
        <f t="shared" si="103"/>
        <v/>
      </c>
      <c r="X381" s="20" t="str">
        <f t="shared" si="104"/>
        <v/>
      </c>
      <c r="Y381" s="86" t="str">
        <f t="shared" si="106"/>
        <v/>
      </c>
      <c r="Z381" s="31"/>
    </row>
    <row r="382" spans="2:26" outlineLevel="1">
      <c r="B382" s="14">
        <f t="shared" si="90"/>
        <v>379</v>
      </c>
      <c r="C382" s="37"/>
      <c r="D382" s="40"/>
      <c r="E382" s="39"/>
      <c r="F382" s="37"/>
      <c r="G382" s="39"/>
      <c r="H382" s="37"/>
      <c r="I382" s="37"/>
      <c r="J382" s="41" t="str">
        <f t="shared" si="91"/>
        <v/>
      </c>
      <c r="K382" s="12" t="str">
        <f t="shared" si="97"/>
        <v/>
      </c>
      <c r="L382" s="12" t="str">
        <f t="shared" si="98"/>
        <v/>
      </c>
      <c r="M382" s="12" t="str">
        <f t="shared" si="92"/>
        <v/>
      </c>
      <c r="N382" s="12" t="str">
        <f t="shared" si="93"/>
        <v/>
      </c>
      <c r="O382" s="12" t="str">
        <f t="shared" si="94"/>
        <v/>
      </c>
      <c r="P382" s="12" t="str">
        <f t="shared" si="95"/>
        <v/>
      </c>
      <c r="Q382" s="12" t="str">
        <f t="shared" si="99"/>
        <v/>
      </c>
      <c r="R382" s="26" t="str">
        <f t="shared" si="96"/>
        <v/>
      </c>
      <c r="S382" s="26" t="str">
        <f t="shared" si="105"/>
        <v/>
      </c>
      <c r="T382" s="26" t="str">
        <f t="shared" si="100"/>
        <v/>
      </c>
      <c r="U382" s="26" t="str">
        <f t="shared" si="101"/>
        <v/>
      </c>
      <c r="V382" s="26" t="str">
        <f t="shared" si="102"/>
        <v/>
      </c>
      <c r="W382" s="20" t="str">
        <f t="shared" si="103"/>
        <v/>
      </c>
      <c r="X382" s="20" t="str">
        <f t="shared" si="104"/>
        <v/>
      </c>
      <c r="Y382" s="86" t="str">
        <f t="shared" si="106"/>
        <v/>
      </c>
      <c r="Z382" s="31"/>
    </row>
    <row r="383" spans="2:26" outlineLevel="1">
      <c r="B383" s="14">
        <f t="shared" si="90"/>
        <v>380</v>
      </c>
      <c r="C383" s="37"/>
      <c r="D383" s="40"/>
      <c r="E383" s="39"/>
      <c r="F383" s="37"/>
      <c r="G383" s="39"/>
      <c r="H383" s="37"/>
      <c r="I383" s="37"/>
      <c r="J383" s="41" t="str">
        <f t="shared" si="91"/>
        <v/>
      </c>
      <c r="K383" s="12" t="str">
        <f t="shared" si="97"/>
        <v/>
      </c>
      <c r="L383" s="12" t="str">
        <f t="shared" si="98"/>
        <v/>
      </c>
      <c r="M383" s="12" t="str">
        <f t="shared" si="92"/>
        <v/>
      </c>
      <c r="N383" s="12" t="str">
        <f t="shared" si="93"/>
        <v/>
      </c>
      <c r="O383" s="12" t="str">
        <f t="shared" si="94"/>
        <v/>
      </c>
      <c r="P383" s="12" t="str">
        <f t="shared" si="95"/>
        <v/>
      </c>
      <c r="Q383" s="12" t="str">
        <f t="shared" si="99"/>
        <v/>
      </c>
      <c r="R383" s="26" t="str">
        <f t="shared" si="96"/>
        <v/>
      </c>
      <c r="S383" s="26" t="str">
        <f t="shared" si="105"/>
        <v/>
      </c>
      <c r="T383" s="26" t="str">
        <f t="shared" si="100"/>
        <v/>
      </c>
      <c r="U383" s="26" t="str">
        <f t="shared" si="101"/>
        <v/>
      </c>
      <c r="V383" s="26" t="str">
        <f t="shared" si="102"/>
        <v/>
      </c>
      <c r="W383" s="20" t="str">
        <f t="shared" si="103"/>
        <v/>
      </c>
      <c r="X383" s="20" t="str">
        <f t="shared" si="104"/>
        <v/>
      </c>
      <c r="Y383" s="86" t="str">
        <f t="shared" si="106"/>
        <v/>
      </c>
      <c r="Z383" s="31"/>
    </row>
    <row r="384" spans="2:26" outlineLevel="1">
      <c r="B384" s="14">
        <f t="shared" si="90"/>
        <v>381</v>
      </c>
      <c r="C384" s="37"/>
      <c r="D384" s="40"/>
      <c r="E384" s="39"/>
      <c r="F384" s="37"/>
      <c r="G384" s="39"/>
      <c r="H384" s="37"/>
      <c r="I384" s="37"/>
      <c r="J384" s="41" t="str">
        <f t="shared" si="91"/>
        <v/>
      </c>
      <c r="K384" s="12" t="str">
        <f t="shared" si="97"/>
        <v/>
      </c>
      <c r="L384" s="12" t="str">
        <f t="shared" si="98"/>
        <v/>
      </c>
      <c r="M384" s="12" t="str">
        <f t="shared" si="92"/>
        <v/>
      </c>
      <c r="N384" s="12" t="str">
        <f t="shared" si="93"/>
        <v/>
      </c>
      <c r="O384" s="12" t="str">
        <f t="shared" si="94"/>
        <v/>
      </c>
      <c r="P384" s="12" t="str">
        <f t="shared" si="95"/>
        <v/>
      </c>
      <c r="Q384" s="12" t="str">
        <f t="shared" si="99"/>
        <v/>
      </c>
      <c r="R384" s="26" t="str">
        <f t="shared" si="96"/>
        <v/>
      </c>
      <c r="S384" s="26" t="str">
        <f t="shared" si="105"/>
        <v/>
      </c>
      <c r="T384" s="26" t="str">
        <f t="shared" si="100"/>
        <v/>
      </c>
      <c r="U384" s="26" t="str">
        <f t="shared" si="101"/>
        <v/>
      </c>
      <c r="V384" s="26" t="str">
        <f t="shared" si="102"/>
        <v/>
      </c>
      <c r="W384" s="20" t="str">
        <f t="shared" si="103"/>
        <v/>
      </c>
      <c r="X384" s="20" t="str">
        <f t="shared" si="104"/>
        <v/>
      </c>
      <c r="Y384" s="86" t="str">
        <f t="shared" si="106"/>
        <v/>
      </c>
      <c r="Z384" s="31"/>
    </row>
    <row r="385" spans="2:29" outlineLevel="1">
      <c r="B385" s="14">
        <f t="shared" si="90"/>
        <v>382</v>
      </c>
      <c r="C385" s="37"/>
      <c r="D385" s="40"/>
      <c r="E385" s="39"/>
      <c r="F385" s="37"/>
      <c r="G385" s="39"/>
      <c r="H385" s="37"/>
      <c r="I385" s="37"/>
      <c r="J385" s="41" t="str">
        <f t="shared" si="91"/>
        <v/>
      </c>
      <c r="K385" s="12" t="str">
        <f t="shared" si="97"/>
        <v/>
      </c>
      <c r="L385" s="12" t="str">
        <f t="shared" si="98"/>
        <v/>
      </c>
      <c r="M385" s="12" t="str">
        <f t="shared" si="92"/>
        <v/>
      </c>
      <c r="N385" s="12" t="str">
        <f t="shared" si="93"/>
        <v/>
      </c>
      <c r="O385" s="12" t="str">
        <f t="shared" si="94"/>
        <v/>
      </c>
      <c r="P385" s="12" t="str">
        <f t="shared" si="95"/>
        <v/>
      </c>
      <c r="Q385" s="12" t="str">
        <f t="shared" si="99"/>
        <v/>
      </c>
      <c r="R385" s="26" t="str">
        <f t="shared" si="96"/>
        <v/>
      </c>
      <c r="S385" s="26" t="str">
        <f t="shared" si="105"/>
        <v/>
      </c>
      <c r="T385" s="26" t="str">
        <f t="shared" si="100"/>
        <v/>
      </c>
      <c r="U385" s="26" t="str">
        <f t="shared" si="101"/>
        <v/>
      </c>
      <c r="V385" s="26" t="str">
        <f t="shared" si="102"/>
        <v/>
      </c>
      <c r="W385" s="20" t="str">
        <f t="shared" si="103"/>
        <v/>
      </c>
      <c r="X385" s="20" t="str">
        <f t="shared" si="104"/>
        <v/>
      </c>
      <c r="Y385" s="86" t="str">
        <f t="shared" si="106"/>
        <v/>
      </c>
      <c r="Z385" s="31"/>
    </row>
    <row r="386" spans="2:29" outlineLevel="1">
      <c r="B386" s="14">
        <f t="shared" ref="B386:B449" si="107">1+B385</f>
        <v>383</v>
      </c>
      <c r="C386" s="37"/>
      <c r="D386" s="40"/>
      <c r="E386" s="39"/>
      <c r="F386" s="37"/>
      <c r="G386" s="39"/>
      <c r="H386" s="37"/>
      <c r="I386" s="37"/>
      <c r="J386" s="41" t="str">
        <f t="shared" si="91"/>
        <v/>
      </c>
      <c r="K386" s="12" t="str">
        <f t="shared" si="97"/>
        <v/>
      </c>
      <c r="L386" s="12" t="str">
        <f t="shared" si="98"/>
        <v/>
      </c>
      <c r="M386" s="12" t="str">
        <f t="shared" si="92"/>
        <v/>
      </c>
      <c r="N386" s="12" t="str">
        <f t="shared" si="93"/>
        <v/>
      </c>
      <c r="O386" s="12" t="str">
        <f t="shared" si="94"/>
        <v/>
      </c>
      <c r="P386" s="12" t="str">
        <f t="shared" si="95"/>
        <v/>
      </c>
      <c r="Q386" s="12" t="str">
        <f t="shared" si="99"/>
        <v/>
      </c>
      <c r="R386" s="26" t="str">
        <f t="shared" si="96"/>
        <v/>
      </c>
      <c r="S386" s="26" t="str">
        <f t="shared" si="105"/>
        <v/>
      </c>
      <c r="T386" s="26" t="str">
        <f t="shared" si="100"/>
        <v/>
      </c>
      <c r="U386" s="26" t="str">
        <f t="shared" si="101"/>
        <v/>
      </c>
      <c r="V386" s="26" t="str">
        <f t="shared" si="102"/>
        <v/>
      </c>
      <c r="W386" s="20" t="str">
        <f t="shared" si="103"/>
        <v/>
      </c>
      <c r="X386" s="20" t="str">
        <f t="shared" si="104"/>
        <v/>
      </c>
      <c r="Y386" s="86" t="str">
        <f t="shared" si="106"/>
        <v/>
      </c>
      <c r="Z386" s="31"/>
      <c r="AC386">
        <f>20/12</f>
        <v>1.6666666666666667</v>
      </c>
    </row>
    <row r="387" spans="2:29" outlineLevel="1">
      <c r="B387" s="14">
        <f t="shared" si="107"/>
        <v>384</v>
      </c>
      <c r="C387" s="37"/>
      <c r="D387" s="40"/>
      <c r="E387" s="39"/>
      <c r="F387" s="37"/>
      <c r="G387" s="39"/>
      <c r="H387" s="37"/>
      <c r="I387" s="37"/>
      <c r="J387" s="41" t="str">
        <f t="shared" si="91"/>
        <v/>
      </c>
      <c r="K387" s="12" t="str">
        <f t="shared" si="97"/>
        <v/>
      </c>
      <c r="L387" s="12" t="str">
        <f t="shared" si="98"/>
        <v/>
      </c>
      <c r="M387" s="12" t="str">
        <f t="shared" si="92"/>
        <v/>
      </c>
      <c r="N387" s="12" t="str">
        <f t="shared" si="93"/>
        <v/>
      </c>
      <c r="O387" s="12" t="str">
        <f t="shared" si="94"/>
        <v/>
      </c>
      <c r="P387" s="12" t="str">
        <f t="shared" si="95"/>
        <v/>
      </c>
      <c r="Q387" s="12" t="str">
        <f t="shared" si="99"/>
        <v/>
      </c>
      <c r="R387" s="26" t="str">
        <f t="shared" si="96"/>
        <v/>
      </c>
      <c r="S387" s="26" t="str">
        <f t="shared" si="105"/>
        <v/>
      </c>
      <c r="T387" s="26" t="str">
        <f t="shared" si="100"/>
        <v/>
      </c>
      <c r="U387" s="26" t="str">
        <f t="shared" si="101"/>
        <v/>
      </c>
      <c r="V387" s="26" t="str">
        <f t="shared" si="102"/>
        <v/>
      </c>
      <c r="W387" s="20" t="str">
        <f t="shared" si="103"/>
        <v/>
      </c>
      <c r="X387" s="20" t="str">
        <f t="shared" si="104"/>
        <v/>
      </c>
      <c r="Y387" s="86" t="str">
        <f t="shared" si="106"/>
        <v/>
      </c>
      <c r="Z387" s="31"/>
      <c r="AC387">
        <f>AC386</f>
        <v>1.6666666666666667</v>
      </c>
    </row>
    <row r="388" spans="2:29" outlineLevel="1">
      <c r="B388" s="14">
        <f t="shared" si="107"/>
        <v>385</v>
      </c>
      <c r="C388" s="37"/>
      <c r="D388" s="40"/>
      <c r="E388" s="39"/>
      <c r="F388" s="37"/>
      <c r="G388" s="39"/>
      <c r="H388" s="37"/>
      <c r="I388" s="37"/>
      <c r="J388" s="41" t="str">
        <f t="shared" ref="J388:J451" si="108">IF(D388="","",+$E$2*D388)</f>
        <v/>
      </c>
      <c r="K388" s="12" t="str">
        <f t="shared" si="97"/>
        <v/>
      </c>
      <c r="L388" s="12" t="str">
        <f t="shared" si="98"/>
        <v/>
      </c>
      <c r="M388" s="12" t="str">
        <f t="shared" ref="M388:M451" si="109">IF(E388="","",IF($L388="x",E388/12*3.14,(LEFT($E388,FIND("*",$E388)-1)+0)*12/144*2+(RIGHT($E388,LEN($E388)-FIND("*",$E388)))*12/144*2))</f>
        <v/>
      </c>
      <c r="N388" s="12" t="str">
        <f t="shared" ref="N388:N451" si="110">IF(E388="","",M388*IF(I388="y",MAX(0,J388-$AC$13),J388))</f>
        <v/>
      </c>
      <c r="O388" s="12" t="str">
        <f t="shared" ref="O388:O451" si="111">IF(E388="","",$AC$5*N388)</f>
        <v/>
      </c>
      <c r="P388" s="12" t="str">
        <f t="shared" ref="P388:P451" si="112">IF(D388="","",IFERROR(IF(ISERROR(FIND("*",$E388)),0,ROUND((O388*$AC$6),-1)),""))</f>
        <v/>
      </c>
      <c r="Q388" s="12" t="str">
        <f t="shared" si="99"/>
        <v/>
      </c>
      <c r="R388" s="26" t="str">
        <f t="shared" ref="R388:R451" si="113">IF(E388="","",IF(F388="x",N388*$AC$7,0))</f>
        <v/>
      </c>
      <c r="S388" s="26" t="str">
        <f t="shared" si="105"/>
        <v/>
      </c>
      <c r="T388" s="26" t="str">
        <f t="shared" si="100"/>
        <v/>
      </c>
      <c r="U388" s="26" t="str">
        <f t="shared" si="101"/>
        <v/>
      </c>
      <c r="V388" s="26" t="str">
        <f t="shared" si="102"/>
        <v/>
      </c>
      <c r="W388" s="20" t="str">
        <f t="shared" si="103"/>
        <v/>
      </c>
      <c r="X388" s="20" t="str">
        <f t="shared" si="104"/>
        <v/>
      </c>
      <c r="Y388" s="86" t="str">
        <f t="shared" si="106"/>
        <v/>
      </c>
      <c r="Z388" s="31"/>
    </row>
    <row r="389" spans="2:29" outlineLevel="1">
      <c r="B389" s="14">
        <f t="shared" si="107"/>
        <v>386</v>
      </c>
      <c r="C389" s="37"/>
      <c r="D389" s="40"/>
      <c r="E389" s="39"/>
      <c r="F389" s="37"/>
      <c r="G389" s="39"/>
      <c r="H389" s="37"/>
      <c r="I389" s="37"/>
      <c r="J389" s="41" t="str">
        <f t="shared" si="108"/>
        <v/>
      </c>
      <c r="K389" s="12" t="str">
        <f t="shared" ref="K389:K452" si="114">IF($D389="","",IF(ISERROR(FIND("*",$E389)),"","x"))</f>
        <v/>
      </c>
      <c r="L389" s="12" t="str">
        <f t="shared" ref="L389:L452" si="115">IF($D389="","",IF(ISERROR(FIND("*",$E389)),"x",""))</f>
        <v/>
      </c>
      <c r="M389" s="12" t="str">
        <f t="shared" si="109"/>
        <v/>
      </c>
      <c r="N389" s="12" t="str">
        <f t="shared" si="110"/>
        <v/>
      </c>
      <c r="O389" s="12" t="str">
        <f t="shared" si="111"/>
        <v/>
      </c>
      <c r="P389" s="12" t="str">
        <f t="shared" si="112"/>
        <v/>
      </c>
      <c r="Q389" s="12" t="str">
        <f t="shared" ref="Q389:Q452" si="116">IF(D389="","",IFERROR(IF(ISERROR(FIND("*",$E389)),INDEX($AP$5:$AP$16,MATCH($E389,$AL$5:$AL$16,0),1)*$J389,0),""))</f>
        <v/>
      </c>
      <c r="R389" s="26" t="str">
        <f t="shared" si="113"/>
        <v/>
      </c>
      <c r="S389" s="26" t="str">
        <f t="shared" si="105"/>
        <v/>
      </c>
      <c r="T389" s="26" t="str">
        <f t="shared" ref="T389:T452" si="117">IF(E389="","",IF(H389="x",IF(G389="x",0,25),0))</f>
        <v/>
      </c>
      <c r="U389" s="26" t="str">
        <f t="shared" ref="U389:U452" si="118">IF(D389="","",SUM(P389,R389,S389,T389)*$U$2)</f>
        <v/>
      </c>
      <c r="V389" s="26" t="str">
        <f t="shared" ref="V389:V452" si="119">IF(D389="","",SUM($Q389)*$V$2)</f>
        <v/>
      </c>
      <c r="W389" s="20" t="str">
        <f t="shared" ref="W389:W452" si="120">IF($D389="","",SUM(P389:U389))</f>
        <v/>
      </c>
      <c r="X389" s="20" t="str">
        <f t="shared" ref="X389:X452" si="121">IF(J389="","",ROUNDUP(J389*$AC$9+IF(R389=0,0,$AC$8*J389)+IF(G389="x",$AC$12,0)+IF(H389="x",0.5*25,0),-1))</f>
        <v/>
      </c>
      <c r="Y389" s="86" t="str">
        <f t="shared" si="106"/>
        <v/>
      </c>
      <c r="Z389" s="31"/>
      <c r="AC389">
        <f>SUM(AC386:AC387)*2</f>
        <v>6.666666666666667</v>
      </c>
    </row>
    <row r="390" spans="2:29" outlineLevel="1">
      <c r="B390" s="14">
        <f t="shared" si="107"/>
        <v>387</v>
      </c>
      <c r="C390" s="37"/>
      <c r="D390" s="40"/>
      <c r="E390" s="39"/>
      <c r="F390" s="37"/>
      <c r="G390" s="39"/>
      <c r="H390" s="37"/>
      <c r="I390" s="37"/>
      <c r="J390" s="41" t="str">
        <f t="shared" si="108"/>
        <v/>
      </c>
      <c r="K390" s="12" t="str">
        <f t="shared" si="114"/>
        <v/>
      </c>
      <c r="L390" s="12" t="str">
        <f t="shared" si="115"/>
        <v/>
      </c>
      <c r="M390" s="12" t="str">
        <f t="shared" si="109"/>
        <v/>
      </c>
      <c r="N390" s="12" t="str">
        <f t="shared" si="110"/>
        <v/>
      </c>
      <c r="O390" s="12" t="str">
        <f t="shared" si="111"/>
        <v/>
      </c>
      <c r="P390" s="12" t="str">
        <f t="shared" si="112"/>
        <v/>
      </c>
      <c r="Q390" s="12" t="str">
        <f t="shared" si="116"/>
        <v/>
      </c>
      <c r="R390" s="26" t="str">
        <f t="shared" si="113"/>
        <v/>
      </c>
      <c r="S390" s="26" t="str">
        <f t="shared" ref="S390:S453" si="122">IF(E390="","",IF(I390="x",$AC$13*INDEX($AN$19:$AN$30,MATCH($E390,$AL$19:$AL$30,0),1)*1.25,0))</f>
        <v/>
      </c>
      <c r="T390" s="26" t="str">
        <f t="shared" si="117"/>
        <v/>
      </c>
      <c r="U390" s="26" t="str">
        <f t="shared" si="118"/>
        <v/>
      </c>
      <c r="V390" s="26" t="str">
        <f t="shared" si="119"/>
        <v/>
      </c>
      <c r="W390" s="20" t="str">
        <f t="shared" si="120"/>
        <v/>
      </c>
      <c r="X390" s="20" t="str">
        <f t="shared" si="121"/>
        <v/>
      </c>
      <c r="Y390" s="86" t="str">
        <f t="shared" si="106"/>
        <v/>
      </c>
      <c r="Z390" s="31"/>
      <c r="AC390">
        <f>47/12</f>
        <v>3.9166666666666665</v>
      </c>
    </row>
    <row r="391" spans="2:29" outlineLevel="1">
      <c r="B391" s="14">
        <f t="shared" si="107"/>
        <v>388</v>
      </c>
      <c r="C391" s="37"/>
      <c r="D391" s="40"/>
      <c r="E391" s="39"/>
      <c r="F391" s="37"/>
      <c r="G391" s="39"/>
      <c r="H391" s="37"/>
      <c r="I391" s="37"/>
      <c r="J391" s="41" t="str">
        <f t="shared" si="108"/>
        <v/>
      </c>
      <c r="K391" s="12" t="str">
        <f t="shared" si="114"/>
        <v/>
      </c>
      <c r="L391" s="12" t="str">
        <f t="shared" si="115"/>
        <v/>
      </c>
      <c r="M391" s="12" t="str">
        <f t="shared" si="109"/>
        <v/>
      </c>
      <c r="N391" s="12" t="str">
        <f t="shared" si="110"/>
        <v/>
      </c>
      <c r="O391" s="12" t="str">
        <f t="shared" si="111"/>
        <v/>
      </c>
      <c r="P391" s="12" t="str">
        <f t="shared" si="112"/>
        <v/>
      </c>
      <c r="Q391" s="12" t="str">
        <f t="shared" si="116"/>
        <v/>
      </c>
      <c r="R391" s="26" t="str">
        <f t="shared" si="113"/>
        <v/>
      </c>
      <c r="S391" s="26" t="str">
        <f t="shared" si="122"/>
        <v/>
      </c>
      <c r="T391" s="26" t="str">
        <f t="shared" si="117"/>
        <v/>
      </c>
      <c r="U391" s="26" t="str">
        <f t="shared" si="118"/>
        <v/>
      </c>
      <c r="V391" s="26" t="str">
        <f t="shared" si="119"/>
        <v/>
      </c>
      <c r="W391" s="20" t="str">
        <f t="shared" si="120"/>
        <v/>
      </c>
      <c r="X391" s="20" t="str">
        <f t="shared" si="121"/>
        <v/>
      </c>
      <c r="Y391" s="86" t="str">
        <f t="shared" si="106"/>
        <v/>
      </c>
      <c r="Z391" s="31"/>
      <c r="AC391">
        <f>AC390*AC389</f>
        <v>26.111111111111111</v>
      </c>
    </row>
    <row r="392" spans="2:29" outlineLevel="1">
      <c r="B392" s="14">
        <f t="shared" si="107"/>
        <v>389</v>
      </c>
      <c r="C392" s="37"/>
      <c r="D392" s="40"/>
      <c r="E392" s="39"/>
      <c r="F392" s="37"/>
      <c r="G392" s="39"/>
      <c r="H392" s="37"/>
      <c r="I392" s="37"/>
      <c r="J392" s="41" t="str">
        <f t="shared" si="108"/>
        <v/>
      </c>
      <c r="K392" s="12" t="str">
        <f t="shared" si="114"/>
        <v/>
      </c>
      <c r="L392" s="12" t="str">
        <f t="shared" si="115"/>
        <v/>
      </c>
      <c r="M392" s="12" t="str">
        <f t="shared" si="109"/>
        <v/>
      </c>
      <c r="N392" s="12" t="str">
        <f t="shared" si="110"/>
        <v/>
      </c>
      <c r="O392" s="12" t="str">
        <f t="shared" si="111"/>
        <v/>
      </c>
      <c r="P392" s="12" t="str">
        <f t="shared" si="112"/>
        <v/>
      </c>
      <c r="Q392" s="12" t="str">
        <f t="shared" si="116"/>
        <v/>
      </c>
      <c r="R392" s="26" t="str">
        <f t="shared" si="113"/>
        <v/>
      </c>
      <c r="S392" s="26" t="str">
        <f t="shared" si="122"/>
        <v/>
      </c>
      <c r="T392" s="26" t="str">
        <f t="shared" si="117"/>
        <v/>
      </c>
      <c r="U392" s="26" t="str">
        <f t="shared" si="118"/>
        <v/>
      </c>
      <c r="V392" s="26" t="str">
        <f t="shared" si="119"/>
        <v/>
      </c>
      <c r="W392" s="20" t="str">
        <f t="shared" si="120"/>
        <v/>
      </c>
      <c r="X392" s="20" t="str">
        <f t="shared" si="121"/>
        <v/>
      </c>
      <c r="Y392" s="86" t="str">
        <f t="shared" si="106"/>
        <v/>
      </c>
      <c r="Z392" s="31"/>
      <c r="AC392">
        <f>AC391*AC5</f>
        <v>32.630220000000001</v>
      </c>
    </row>
    <row r="393" spans="2:29" outlineLevel="1">
      <c r="B393" s="14">
        <f t="shared" si="107"/>
        <v>390</v>
      </c>
      <c r="C393" s="37"/>
      <c r="D393" s="40"/>
      <c r="E393" s="39"/>
      <c r="F393" s="37"/>
      <c r="G393" s="39"/>
      <c r="H393" s="37"/>
      <c r="I393" s="37"/>
      <c r="J393" s="41" t="str">
        <f t="shared" si="108"/>
        <v/>
      </c>
      <c r="K393" s="12" t="str">
        <f t="shared" si="114"/>
        <v/>
      </c>
      <c r="L393" s="12" t="str">
        <f t="shared" si="115"/>
        <v/>
      </c>
      <c r="M393" s="12" t="str">
        <f t="shared" si="109"/>
        <v/>
      </c>
      <c r="N393" s="12" t="str">
        <f t="shared" si="110"/>
        <v/>
      </c>
      <c r="O393" s="12" t="str">
        <f t="shared" si="111"/>
        <v/>
      </c>
      <c r="P393" s="12" t="str">
        <f t="shared" si="112"/>
        <v/>
      </c>
      <c r="Q393" s="12" t="str">
        <f t="shared" si="116"/>
        <v/>
      </c>
      <c r="R393" s="26" t="str">
        <f t="shared" si="113"/>
        <v/>
      </c>
      <c r="S393" s="26" t="str">
        <f t="shared" si="122"/>
        <v/>
      </c>
      <c r="T393" s="26" t="str">
        <f t="shared" si="117"/>
        <v/>
      </c>
      <c r="U393" s="26" t="str">
        <f t="shared" si="118"/>
        <v/>
      </c>
      <c r="V393" s="26" t="str">
        <f t="shared" si="119"/>
        <v/>
      </c>
      <c r="W393" s="20" t="str">
        <f t="shared" si="120"/>
        <v/>
      </c>
      <c r="X393" s="20" t="str">
        <f t="shared" si="121"/>
        <v/>
      </c>
      <c r="Y393" s="86" t="str">
        <f t="shared" si="106"/>
        <v/>
      </c>
      <c r="Z393" s="31"/>
      <c r="AC393">
        <v>110</v>
      </c>
    </row>
    <row r="394" spans="2:29" outlineLevel="1">
      <c r="B394" s="14">
        <f t="shared" si="107"/>
        <v>391</v>
      </c>
      <c r="C394" s="37"/>
      <c r="D394" s="40"/>
      <c r="E394" s="39"/>
      <c r="F394" s="37"/>
      <c r="G394" s="39"/>
      <c r="H394" s="37"/>
      <c r="I394" s="37"/>
      <c r="J394" s="41" t="str">
        <f t="shared" si="108"/>
        <v/>
      </c>
      <c r="K394" s="12" t="str">
        <f t="shared" si="114"/>
        <v/>
      </c>
      <c r="L394" s="12" t="str">
        <f t="shared" si="115"/>
        <v/>
      </c>
      <c r="M394" s="12" t="str">
        <f t="shared" si="109"/>
        <v/>
      </c>
      <c r="N394" s="12" t="str">
        <f t="shared" si="110"/>
        <v/>
      </c>
      <c r="O394" s="12" t="str">
        <f t="shared" si="111"/>
        <v/>
      </c>
      <c r="P394" s="12" t="str">
        <f t="shared" si="112"/>
        <v/>
      </c>
      <c r="Q394" s="12" t="str">
        <f t="shared" si="116"/>
        <v/>
      </c>
      <c r="R394" s="26" t="str">
        <f t="shared" si="113"/>
        <v/>
      </c>
      <c r="S394" s="26" t="str">
        <f t="shared" si="122"/>
        <v/>
      </c>
      <c r="T394" s="26" t="str">
        <f t="shared" si="117"/>
        <v/>
      </c>
      <c r="U394" s="26" t="str">
        <f t="shared" si="118"/>
        <v/>
      </c>
      <c r="V394" s="26" t="str">
        <f t="shared" si="119"/>
        <v/>
      </c>
      <c r="W394" s="20" t="str">
        <f t="shared" si="120"/>
        <v/>
      </c>
      <c r="X394" s="20" t="str">
        <f t="shared" si="121"/>
        <v/>
      </c>
      <c r="Y394" s="86" t="str">
        <f t="shared" si="106"/>
        <v/>
      </c>
      <c r="Z394" s="31"/>
      <c r="AC394">
        <f>AC393/AC392</f>
        <v>3.3711081322773797</v>
      </c>
    </row>
    <row r="395" spans="2:29" outlineLevel="1">
      <c r="B395" s="14">
        <f t="shared" si="107"/>
        <v>392</v>
      </c>
      <c r="C395" s="37"/>
      <c r="D395" s="40"/>
      <c r="E395" s="39"/>
      <c r="F395" s="37"/>
      <c r="G395" s="39"/>
      <c r="H395" s="37"/>
      <c r="I395" s="37"/>
      <c r="J395" s="41" t="str">
        <f t="shared" si="108"/>
        <v/>
      </c>
      <c r="K395" s="12" t="str">
        <f t="shared" si="114"/>
        <v/>
      </c>
      <c r="L395" s="12" t="str">
        <f t="shared" si="115"/>
        <v/>
      </c>
      <c r="M395" s="12" t="str">
        <f t="shared" si="109"/>
        <v/>
      </c>
      <c r="N395" s="12" t="str">
        <f t="shared" si="110"/>
        <v/>
      </c>
      <c r="O395" s="12" t="str">
        <f t="shared" si="111"/>
        <v/>
      </c>
      <c r="P395" s="12" t="str">
        <f t="shared" si="112"/>
        <v/>
      </c>
      <c r="Q395" s="12" t="str">
        <f t="shared" si="116"/>
        <v/>
      </c>
      <c r="R395" s="26" t="str">
        <f t="shared" si="113"/>
        <v/>
      </c>
      <c r="S395" s="26" t="str">
        <f t="shared" si="122"/>
        <v/>
      </c>
      <c r="T395" s="26" t="str">
        <f t="shared" si="117"/>
        <v/>
      </c>
      <c r="U395" s="26" t="str">
        <f t="shared" si="118"/>
        <v/>
      </c>
      <c r="V395" s="26" t="str">
        <f t="shared" si="119"/>
        <v/>
      </c>
      <c r="W395" s="20" t="str">
        <f t="shared" si="120"/>
        <v/>
      </c>
      <c r="X395" s="20" t="str">
        <f t="shared" si="121"/>
        <v/>
      </c>
      <c r="Y395" s="86" t="str">
        <f t="shared" si="106"/>
        <v/>
      </c>
      <c r="Z395" s="31"/>
    </row>
    <row r="396" spans="2:29" outlineLevel="1">
      <c r="B396" s="14">
        <f t="shared" si="107"/>
        <v>393</v>
      </c>
      <c r="C396" s="37"/>
      <c r="D396" s="40"/>
      <c r="E396" s="39"/>
      <c r="F396" s="37"/>
      <c r="G396" s="39"/>
      <c r="H396" s="37"/>
      <c r="I396" s="37"/>
      <c r="J396" s="41" t="str">
        <f t="shared" si="108"/>
        <v/>
      </c>
      <c r="K396" s="12" t="str">
        <f t="shared" si="114"/>
        <v/>
      </c>
      <c r="L396" s="12" t="str">
        <f t="shared" si="115"/>
        <v/>
      </c>
      <c r="M396" s="12" t="str">
        <f t="shared" si="109"/>
        <v/>
      </c>
      <c r="N396" s="12" t="str">
        <f t="shared" si="110"/>
        <v/>
      </c>
      <c r="O396" s="12" t="str">
        <f t="shared" si="111"/>
        <v/>
      </c>
      <c r="P396" s="12" t="str">
        <f t="shared" si="112"/>
        <v/>
      </c>
      <c r="Q396" s="12" t="str">
        <f t="shared" si="116"/>
        <v/>
      </c>
      <c r="R396" s="26" t="str">
        <f t="shared" si="113"/>
        <v/>
      </c>
      <c r="S396" s="26" t="str">
        <f t="shared" si="122"/>
        <v/>
      </c>
      <c r="T396" s="26" t="str">
        <f t="shared" si="117"/>
        <v/>
      </c>
      <c r="U396" s="26" t="str">
        <f t="shared" si="118"/>
        <v/>
      </c>
      <c r="V396" s="26" t="str">
        <f t="shared" si="119"/>
        <v/>
      </c>
      <c r="W396" s="20" t="str">
        <f t="shared" si="120"/>
        <v/>
      </c>
      <c r="X396" s="20" t="str">
        <f t="shared" si="121"/>
        <v/>
      </c>
      <c r="Y396" s="86" t="str">
        <f t="shared" si="106"/>
        <v/>
      </c>
      <c r="Z396" s="31"/>
    </row>
    <row r="397" spans="2:29" outlineLevel="1">
      <c r="B397" s="14">
        <f t="shared" si="107"/>
        <v>394</v>
      </c>
      <c r="C397" s="37"/>
      <c r="D397" s="40"/>
      <c r="E397" s="39"/>
      <c r="F397" s="37"/>
      <c r="G397" s="39"/>
      <c r="H397" s="37"/>
      <c r="I397" s="37"/>
      <c r="J397" s="41" t="str">
        <f t="shared" si="108"/>
        <v/>
      </c>
      <c r="K397" s="12" t="str">
        <f t="shared" si="114"/>
        <v/>
      </c>
      <c r="L397" s="12" t="str">
        <f t="shared" si="115"/>
        <v/>
      </c>
      <c r="M397" s="12" t="str">
        <f t="shared" si="109"/>
        <v/>
      </c>
      <c r="N397" s="12" t="str">
        <f t="shared" si="110"/>
        <v/>
      </c>
      <c r="O397" s="12" t="str">
        <f t="shared" si="111"/>
        <v/>
      </c>
      <c r="P397" s="12" t="str">
        <f t="shared" si="112"/>
        <v/>
      </c>
      <c r="Q397" s="12" t="str">
        <f t="shared" si="116"/>
        <v/>
      </c>
      <c r="R397" s="26" t="str">
        <f t="shared" si="113"/>
        <v/>
      </c>
      <c r="S397" s="26" t="str">
        <f t="shared" si="122"/>
        <v/>
      </c>
      <c r="T397" s="26" t="str">
        <f t="shared" si="117"/>
        <v/>
      </c>
      <c r="U397" s="26" t="str">
        <f t="shared" si="118"/>
        <v/>
      </c>
      <c r="V397" s="26" t="str">
        <f t="shared" si="119"/>
        <v/>
      </c>
      <c r="W397" s="20" t="str">
        <f t="shared" si="120"/>
        <v/>
      </c>
      <c r="X397" s="20" t="str">
        <f t="shared" si="121"/>
        <v/>
      </c>
      <c r="Y397" s="86" t="str">
        <f t="shared" si="106"/>
        <v/>
      </c>
      <c r="Z397" s="31"/>
    </row>
    <row r="398" spans="2:29" outlineLevel="1">
      <c r="B398" s="14">
        <f t="shared" si="107"/>
        <v>395</v>
      </c>
      <c r="C398" s="37"/>
      <c r="D398" s="40"/>
      <c r="E398" s="39"/>
      <c r="F398" s="37"/>
      <c r="G398" s="39"/>
      <c r="H398" s="37"/>
      <c r="I398" s="37"/>
      <c r="J398" s="41" t="str">
        <f t="shared" si="108"/>
        <v/>
      </c>
      <c r="K398" s="12" t="str">
        <f t="shared" si="114"/>
        <v/>
      </c>
      <c r="L398" s="12" t="str">
        <f t="shared" si="115"/>
        <v/>
      </c>
      <c r="M398" s="12" t="str">
        <f t="shared" si="109"/>
        <v/>
      </c>
      <c r="N398" s="12" t="str">
        <f t="shared" si="110"/>
        <v/>
      </c>
      <c r="O398" s="12" t="str">
        <f t="shared" si="111"/>
        <v/>
      </c>
      <c r="P398" s="12" t="str">
        <f t="shared" si="112"/>
        <v/>
      </c>
      <c r="Q398" s="12" t="str">
        <f t="shared" si="116"/>
        <v/>
      </c>
      <c r="R398" s="26" t="str">
        <f t="shared" si="113"/>
        <v/>
      </c>
      <c r="S398" s="26" t="str">
        <f t="shared" si="122"/>
        <v/>
      </c>
      <c r="T398" s="26" t="str">
        <f t="shared" si="117"/>
        <v/>
      </c>
      <c r="U398" s="26" t="str">
        <f t="shared" si="118"/>
        <v/>
      </c>
      <c r="V398" s="26" t="str">
        <f t="shared" si="119"/>
        <v/>
      </c>
      <c r="W398" s="20" t="str">
        <f t="shared" si="120"/>
        <v/>
      </c>
      <c r="X398" s="20" t="str">
        <f t="shared" si="121"/>
        <v/>
      </c>
      <c r="Y398" s="86" t="str">
        <f t="shared" si="106"/>
        <v/>
      </c>
      <c r="Z398" s="31"/>
    </row>
    <row r="399" spans="2:29" outlineLevel="1">
      <c r="B399" s="14">
        <f t="shared" si="107"/>
        <v>396</v>
      </c>
      <c r="C399" s="37"/>
      <c r="D399" s="40"/>
      <c r="E399" s="39"/>
      <c r="F399" s="37"/>
      <c r="G399" s="39"/>
      <c r="H399" s="37"/>
      <c r="I399" s="37"/>
      <c r="J399" s="41" t="str">
        <f t="shared" si="108"/>
        <v/>
      </c>
      <c r="K399" s="12" t="str">
        <f t="shared" si="114"/>
        <v/>
      </c>
      <c r="L399" s="12" t="str">
        <f t="shared" si="115"/>
        <v/>
      </c>
      <c r="M399" s="12" t="str">
        <f t="shared" si="109"/>
        <v/>
      </c>
      <c r="N399" s="12" t="str">
        <f t="shared" si="110"/>
        <v/>
      </c>
      <c r="O399" s="12" t="str">
        <f t="shared" si="111"/>
        <v/>
      </c>
      <c r="P399" s="12" t="str">
        <f t="shared" si="112"/>
        <v/>
      </c>
      <c r="Q399" s="12" t="str">
        <f t="shared" si="116"/>
        <v/>
      </c>
      <c r="R399" s="26" t="str">
        <f t="shared" si="113"/>
        <v/>
      </c>
      <c r="S399" s="26" t="str">
        <f t="shared" si="122"/>
        <v/>
      </c>
      <c r="T399" s="26" t="str">
        <f t="shared" si="117"/>
        <v/>
      </c>
      <c r="U399" s="26" t="str">
        <f t="shared" si="118"/>
        <v/>
      </c>
      <c r="V399" s="26" t="str">
        <f t="shared" si="119"/>
        <v/>
      </c>
      <c r="W399" s="20" t="str">
        <f t="shared" si="120"/>
        <v/>
      </c>
      <c r="X399" s="20" t="str">
        <f t="shared" si="121"/>
        <v/>
      </c>
      <c r="Y399" s="86" t="str">
        <f t="shared" si="106"/>
        <v/>
      </c>
      <c r="Z399" s="31"/>
    </row>
    <row r="400" spans="2:29" outlineLevel="1">
      <c r="B400" s="14">
        <f t="shared" si="107"/>
        <v>397</v>
      </c>
      <c r="C400" s="37"/>
      <c r="D400" s="40"/>
      <c r="E400" s="39"/>
      <c r="F400" s="37"/>
      <c r="G400" s="39"/>
      <c r="H400" s="37"/>
      <c r="I400" s="37"/>
      <c r="J400" s="41" t="str">
        <f t="shared" si="108"/>
        <v/>
      </c>
      <c r="K400" s="12" t="str">
        <f t="shared" si="114"/>
        <v/>
      </c>
      <c r="L400" s="12" t="str">
        <f t="shared" si="115"/>
        <v/>
      </c>
      <c r="M400" s="12" t="str">
        <f t="shared" si="109"/>
        <v/>
      </c>
      <c r="N400" s="12" t="str">
        <f t="shared" si="110"/>
        <v/>
      </c>
      <c r="O400" s="12" t="str">
        <f t="shared" si="111"/>
        <v/>
      </c>
      <c r="P400" s="12" t="str">
        <f t="shared" si="112"/>
        <v/>
      </c>
      <c r="Q400" s="12" t="str">
        <f t="shared" si="116"/>
        <v/>
      </c>
      <c r="R400" s="26" t="str">
        <f t="shared" si="113"/>
        <v/>
      </c>
      <c r="S400" s="26" t="str">
        <f t="shared" si="122"/>
        <v/>
      </c>
      <c r="T400" s="26" t="str">
        <f t="shared" si="117"/>
        <v/>
      </c>
      <c r="U400" s="26" t="str">
        <f t="shared" si="118"/>
        <v/>
      </c>
      <c r="V400" s="26" t="str">
        <f t="shared" si="119"/>
        <v/>
      </c>
      <c r="W400" s="20" t="str">
        <f t="shared" si="120"/>
        <v/>
      </c>
      <c r="X400" s="20" t="str">
        <f t="shared" si="121"/>
        <v/>
      </c>
      <c r="Y400" s="86" t="str">
        <f t="shared" ref="Y400:Y463" si="123">IFERROR(+W400+X400,"")</f>
        <v/>
      </c>
      <c r="Z400" s="31"/>
    </row>
    <row r="401" spans="2:26" outlineLevel="1">
      <c r="B401" s="14">
        <f t="shared" si="107"/>
        <v>398</v>
      </c>
      <c r="C401" s="37"/>
      <c r="D401" s="40"/>
      <c r="E401" s="39"/>
      <c r="F401" s="37"/>
      <c r="G401" s="39"/>
      <c r="H401" s="37"/>
      <c r="I401" s="37"/>
      <c r="J401" s="41" t="str">
        <f t="shared" si="108"/>
        <v/>
      </c>
      <c r="K401" s="12" t="str">
        <f t="shared" si="114"/>
        <v/>
      </c>
      <c r="L401" s="12" t="str">
        <f t="shared" si="115"/>
        <v/>
      </c>
      <c r="M401" s="12" t="str">
        <f t="shared" si="109"/>
        <v/>
      </c>
      <c r="N401" s="12" t="str">
        <f t="shared" si="110"/>
        <v/>
      </c>
      <c r="O401" s="12" t="str">
        <f t="shared" si="111"/>
        <v/>
      </c>
      <c r="P401" s="12" t="str">
        <f t="shared" si="112"/>
        <v/>
      </c>
      <c r="Q401" s="12" t="str">
        <f t="shared" si="116"/>
        <v/>
      </c>
      <c r="R401" s="26" t="str">
        <f t="shared" si="113"/>
        <v/>
      </c>
      <c r="S401" s="26" t="str">
        <f t="shared" si="122"/>
        <v/>
      </c>
      <c r="T401" s="26" t="str">
        <f t="shared" si="117"/>
        <v/>
      </c>
      <c r="U401" s="26" t="str">
        <f t="shared" si="118"/>
        <v/>
      </c>
      <c r="V401" s="26" t="str">
        <f t="shared" si="119"/>
        <v/>
      </c>
      <c r="W401" s="20" t="str">
        <f t="shared" si="120"/>
        <v/>
      </c>
      <c r="X401" s="20" t="str">
        <f t="shared" si="121"/>
        <v/>
      </c>
      <c r="Y401" s="86" t="str">
        <f t="shared" si="123"/>
        <v/>
      </c>
      <c r="Z401" s="31"/>
    </row>
    <row r="402" spans="2:26" outlineLevel="1">
      <c r="B402" s="14">
        <f t="shared" si="107"/>
        <v>399</v>
      </c>
      <c r="C402" s="37"/>
      <c r="D402" s="40"/>
      <c r="E402" s="39"/>
      <c r="F402" s="37"/>
      <c r="G402" s="39"/>
      <c r="H402" s="37"/>
      <c r="I402" s="37"/>
      <c r="J402" s="41" t="str">
        <f t="shared" si="108"/>
        <v/>
      </c>
      <c r="K402" s="12" t="str">
        <f t="shared" si="114"/>
        <v/>
      </c>
      <c r="L402" s="12" t="str">
        <f t="shared" si="115"/>
        <v/>
      </c>
      <c r="M402" s="12" t="str">
        <f t="shared" si="109"/>
        <v/>
      </c>
      <c r="N402" s="12" t="str">
        <f t="shared" si="110"/>
        <v/>
      </c>
      <c r="O402" s="12" t="str">
        <f t="shared" si="111"/>
        <v/>
      </c>
      <c r="P402" s="12" t="str">
        <f t="shared" si="112"/>
        <v/>
      </c>
      <c r="Q402" s="12" t="str">
        <f t="shared" si="116"/>
        <v/>
      </c>
      <c r="R402" s="26" t="str">
        <f t="shared" si="113"/>
        <v/>
      </c>
      <c r="S402" s="26" t="str">
        <f t="shared" si="122"/>
        <v/>
      </c>
      <c r="T402" s="26" t="str">
        <f t="shared" si="117"/>
        <v/>
      </c>
      <c r="U402" s="26" t="str">
        <f t="shared" si="118"/>
        <v/>
      </c>
      <c r="V402" s="26" t="str">
        <f t="shared" si="119"/>
        <v/>
      </c>
      <c r="W402" s="20" t="str">
        <f t="shared" si="120"/>
        <v/>
      </c>
      <c r="X402" s="20" t="str">
        <f t="shared" si="121"/>
        <v/>
      </c>
      <c r="Y402" s="86" t="str">
        <f t="shared" si="123"/>
        <v/>
      </c>
      <c r="Z402" s="31"/>
    </row>
    <row r="403" spans="2:26" outlineLevel="1">
      <c r="B403" s="14">
        <f t="shared" si="107"/>
        <v>400</v>
      </c>
      <c r="C403" s="37"/>
      <c r="D403" s="40"/>
      <c r="E403" s="39"/>
      <c r="F403" s="37"/>
      <c r="G403" s="39"/>
      <c r="H403" s="37"/>
      <c r="I403" s="37"/>
      <c r="J403" s="41" t="str">
        <f t="shared" si="108"/>
        <v/>
      </c>
      <c r="K403" s="12" t="str">
        <f t="shared" si="114"/>
        <v/>
      </c>
      <c r="L403" s="12" t="str">
        <f t="shared" si="115"/>
        <v/>
      </c>
      <c r="M403" s="12" t="str">
        <f t="shared" si="109"/>
        <v/>
      </c>
      <c r="N403" s="12" t="str">
        <f t="shared" si="110"/>
        <v/>
      </c>
      <c r="O403" s="12" t="str">
        <f t="shared" si="111"/>
        <v/>
      </c>
      <c r="P403" s="12" t="str">
        <f t="shared" si="112"/>
        <v/>
      </c>
      <c r="Q403" s="12" t="str">
        <f t="shared" si="116"/>
        <v/>
      </c>
      <c r="R403" s="26" t="str">
        <f t="shared" si="113"/>
        <v/>
      </c>
      <c r="S403" s="26" t="str">
        <f t="shared" si="122"/>
        <v/>
      </c>
      <c r="T403" s="26" t="str">
        <f t="shared" si="117"/>
        <v/>
      </c>
      <c r="U403" s="26" t="str">
        <f t="shared" si="118"/>
        <v/>
      </c>
      <c r="V403" s="26" t="str">
        <f t="shared" si="119"/>
        <v/>
      </c>
      <c r="W403" s="20" t="str">
        <f t="shared" si="120"/>
        <v/>
      </c>
      <c r="X403" s="20" t="str">
        <f t="shared" si="121"/>
        <v/>
      </c>
      <c r="Y403" s="86" t="str">
        <f t="shared" si="123"/>
        <v/>
      </c>
      <c r="Z403" s="31"/>
    </row>
    <row r="404" spans="2:26" outlineLevel="1">
      <c r="B404" s="14">
        <f t="shared" si="107"/>
        <v>401</v>
      </c>
      <c r="C404" s="37"/>
      <c r="D404" s="40"/>
      <c r="E404" s="39"/>
      <c r="F404" s="37"/>
      <c r="G404" s="39"/>
      <c r="H404" s="37"/>
      <c r="I404" s="37"/>
      <c r="J404" s="41" t="str">
        <f t="shared" si="108"/>
        <v/>
      </c>
      <c r="K404" s="12" t="str">
        <f t="shared" si="114"/>
        <v/>
      </c>
      <c r="L404" s="12" t="str">
        <f t="shared" si="115"/>
        <v/>
      </c>
      <c r="M404" s="12" t="str">
        <f t="shared" si="109"/>
        <v/>
      </c>
      <c r="N404" s="12" t="str">
        <f t="shared" si="110"/>
        <v/>
      </c>
      <c r="O404" s="12" t="str">
        <f t="shared" si="111"/>
        <v/>
      </c>
      <c r="P404" s="12" t="str">
        <f t="shared" si="112"/>
        <v/>
      </c>
      <c r="Q404" s="12" t="str">
        <f t="shared" si="116"/>
        <v/>
      </c>
      <c r="R404" s="26" t="str">
        <f t="shared" si="113"/>
        <v/>
      </c>
      <c r="S404" s="26" t="str">
        <f t="shared" si="122"/>
        <v/>
      </c>
      <c r="T404" s="26" t="str">
        <f t="shared" si="117"/>
        <v/>
      </c>
      <c r="U404" s="26" t="str">
        <f t="shared" si="118"/>
        <v/>
      </c>
      <c r="V404" s="26" t="str">
        <f t="shared" si="119"/>
        <v/>
      </c>
      <c r="W404" s="20" t="str">
        <f t="shared" si="120"/>
        <v/>
      </c>
      <c r="X404" s="20" t="str">
        <f t="shared" si="121"/>
        <v/>
      </c>
      <c r="Y404" s="86" t="str">
        <f t="shared" si="123"/>
        <v/>
      </c>
      <c r="Z404" s="31"/>
    </row>
    <row r="405" spans="2:26" outlineLevel="1">
      <c r="B405" s="14">
        <f t="shared" si="107"/>
        <v>402</v>
      </c>
      <c r="C405" s="37"/>
      <c r="D405" s="40"/>
      <c r="E405" s="39"/>
      <c r="F405" s="37"/>
      <c r="G405" s="39"/>
      <c r="H405" s="37"/>
      <c r="I405" s="37"/>
      <c r="J405" s="41" t="str">
        <f t="shared" si="108"/>
        <v/>
      </c>
      <c r="K405" s="12" t="str">
        <f t="shared" si="114"/>
        <v/>
      </c>
      <c r="L405" s="12" t="str">
        <f t="shared" si="115"/>
        <v/>
      </c>
      <c r="M405" s="12" t="str">
        <f t="shared" si="109"/>
        <v/>
      </c>
      <c r="N405" s="12" t="str">
        <f t="shared" si="110"/>
        <v/>
      </c>
      <c r="O405" s="12" t="str">
        <f t="shared" si="111"/>
        <v/>
      </c>
      <c r="P405" s="12" t="str">
        <f t="shared" si="112"/>
        <v/>
      </c>
      <c r="Q405" s="12" t="str">
        <f t="shared" si="116"/>
        <v/>
      </c>
      <c r="R405" s="26" t="str">
        <f t="shared" si="113"/>
        <v/>
      </c>
      <c r="S405" s="26" t="str">
        <f t="shared" si="122"/>
        <v/>
      </c>
      <c r="T405" s="26" t="str">
        <f t="shared" si="117"/>
        <v/>
      </c>
      <c r="U405" s="26" t="str">
        <f t="shared" si="118"/>
        <v/>
      </c>
      <c r="V405" s="26" t="str">
        <f t="shared" si="119"/>
        <v/>
      </c>
      <c r="W405" s="20" t="str">
        <f t="shared" si="120"/>
        <v/>
      </c>
      <c r="X405" s="20" t="str">
        <f t="shared" si="121"/>
        <v/>
      </c>
      <c r="Y405" s="86" t="str">
        <f t="shared" si="123"/>
        <v/>
      </c>
      <c r="Z405" s="31"/>
    </row>
    <row r="406" spans="2:26" outlineLevel="1">
      <c r="B406" s="14">
        <f t="shared" si="107"/>
        <v>403</v>
      </c>
      <c r="C406" s="37"/>
      <c r="D406" s="40"/>
      <c r="E406" s="39"/>
      <c r="F406" s="37"/>
      <c r="G406" s="39"/>
      <c r="H406" s="37"/>
      <c r="I406" s="37"/>
      <c r="J406" s="41" t="str">
        <f t="shared" si="108"/>
        <v/>
      </c>
      <c r="K406" s="12" t="str">
        <f t="shared" si="114"/>
        <v/>
      </c>
      <c r="L406" s="12" t="str">
        <f t="shared" si="115"/>
        <v/>
      </c>
      <c r="M406" s="12" t="str">
        <f t="shared" si="109"/>
        <v/>
      </c>
      <c r="N406" s="12" t="str">
        <f t="shared" si="110"/>
        <v/>
      </c>
      <c r="O406" s="12" t="str">
        <f t="shared" si="111"/>
        <v/>
      </c>
      <c r="P406" s="12" t="str">
        <f t="shared" si="112"/>
        <v/>
      </c>
      <c r="Q406" s="12" t="str">
        <f t="shared" si="116"/>
        <v/>
      </c>
      <c r="R406" s="26" t="str">
        <f t="shared" si="113"/>
        <v/>
      </c>
      <c r="S406" s="26" t="str">
        <f t="shared" si="122"/>
        <v/>
      </c>
      <c r="T406" s="26" t="str">
        <f t="shared" si="117"/>
        <v/>
      </c>
      <c r="U406" s="26" t="str">
        <f t="shared" si="118"/>
        <v/>
      </c>
      <c r="V406" s="26" t="str">
        <f t="shared" si="119"/>
        <v/>
      </c>
      <c r="W406" s="20" t="str">
        <f t="shared" si="120"/>
        <v/>
      </c>
      <c r="X406" s="20" t="str">
        <f t="shared" si="121"/>
        <v/>
      </c>
      <c r="Y406" s="86" t="str">
        <f t="shared" si="123"/>
        <v/>
      </c>
      <c r="Z406" s="31"/>
    </row>
    <row r="407" spans="2:26" outlineLevel="1">
      <c r="B407" s="14">
        <f t="shared" si="107"/>
        <v>404</v>
      </c>
      <c r="C407" s="37"/>
      <c r="D407" s="40"/>
      <c r="E407" s="39"/>
      <c r="F407" s="37"/>
      <c r="G407" s="39"/>
      <c r="H407" s="37"/>
      <c r="I407" s="37"/>
      <c r="J407" s="41" t="str">
        <f t="shared" si="108"/>
        <v/>
      </c>
      <c r="K407" s="12" t="str">
        <f t="shared" si="114"/>
        <v/>
      </c>
      <c r="L407" s="12" t="str">
        <f t="shared" si="115"/>
        <v/>
      </c>
      <c r="M407" s="12" t="str">
        <f t="shared" si="109"/>
        <v/>
      </c>
      <c r="N407" s="12" t="str">
        <f t="shared" si="110"/>
        <v/>
      </c>
      <c r="O407" s="12" t="str">
        <f t="shared" si="111"/>
        <v/>
      </c>
      <c r="P407" s="12" t="str">
        <f t="shared" si="112"/>
        <v/>
      </c>
      <c r="Q407" s="12" t="str">
        <f t="shared" si="116"/>
        <v/>
      </c>
      <c r="R407" s="26" t="str">
        <f t="shared" si="113"/>
        <v/>
      </c>
      <c r="S407" s="26" t="str">
        <f t="shared" si="122"/>
        <v/>
      </c>
      <c r="T407" s="26" t="str">
        <f t="shared" si="117"/>
        <v/>
      </c>
      <c r="U407" s="26" t="str">
        <f t="shared" si="118"/>
        <v/>
      </c>
      <c r="V407" s="26" t="str">
        <f t="shared" si="119"/>
        <v/>
      </c>
      <c r="W407" s="20" t="str">
        <f t="shared" si="120"/>
        <v/>
      </c>
      <c r="X407" s="20" t="str">
        <f t="shared" si="121"/>
        <v/>
      </c>
      <c r="Y407" s="86" t="str">
        <f t="shared" si="123"/>
        <v/>
      </c>
      <c r="Z407" s="31"/>
    </row>
    <row r="408" spans="2:26" outlineLevel="1">
      <c r="B408" s="14">
        <f t="shared" si="107"/>
        <v>405</v>
      </c>
      <c r="C408" s="37"/>
      <c r="D408" s="40"/>
      <c r="E408" s="39"/>
      <c r="F408" s="37"/>
      <c r="G408" s="39"/>
      <c r="H408" s="37"/>
      <c r="I408" s="37"/>
      <c r="J408" s="41" t="str">
        <f t="shared" si="108"/>
        <v/>
      </c>
      <c r="K408" s="12" t="str">
        <f t="shared" si="114"/>
        <v/>
      </c>
      <c r="L408" s="12" t="str">
        <f t="shared" si="115"/>
        <v/>
      </c>
      <c r="M408" s="12" t="str">
        <f t="shared" si="109"/>
        <v/>
      </c>
      <c r="N408" s="12" t="str">
        <f t="shared" si="110"/>
        <v/>
      </c>
      <c r="O408" s="12" t="str">
        <f t="shared" si="111"/>
        <v/>
      </c>
      <c r="P408" s="12" t="str">
        <f t="shared" si="112"/>
        <v/>
      </c>
      <c r="Q408" s="12" t="str">
        <f t="shared" si="116"/>
        <v/>
      </c>
      <c r="R408" s="26" t="str">
        <f t="shared" si="113"/>
        <v/>
      </c>
      <c r="S408" s="26" t="str">
        <f t="shared" si="122"/>
        <v/>
      </c>
      <c r="T408" s="26" t="str">
        <f t="shared" si="117"/>
        <v/>
      </c>
      <c r="U408" s="26" t="str">
        <f t="shared" si="118"/>
        <v/>
      </c>
      <c r="V408" s="26" t="str">
        <f t="shared" si="119"/>
        <v/>
      </c>
      <c r="W408" s="20" t="str">
        <f t="shared" si="120"/>
        <v/>
      </c>
      <c r="X408" s="20" t="str">
        <f t="shared" si="121"/>
        <v/>
      </c>
      <c r="Y408" s="86" t="str">
        <f t="shared" si="123"/>
        <v/>
      </c>
      <c r="Z408" s="31"/>
    </row>
    <row r="409" spans="2:26" outlineLevel="1">
      <c r="B409" s="14">
        <f t="shared" si="107"/>
        <v>406</v>
      </c>
      <c r="C409" s="37"/>
      <c r="D409" s="40"/>
      <c r="E409" s="39"/>
      <c r="F409" s="37"/>
      <c r="G409" s="39"/>
      <c r="H409" s="37"/>
      <c r="I409" s="37"/>
      <c r="J409" s="41" t="str">
        <f t="shared" si="108"/>
        <v/>
      </c>
      <c r="K409" s="12" t="str">
        <f t="shared" si="114"/>
        <v/>
      </c>
      <c r="L409" s="12" t="str">
        <f t="shared" si="115"/>
        <v/>
      </c>
      <c r="M409" s="12" t="str">
        <f t="shared" si="109"/>
        <v/>
      </c>
      <c r="N409" s="12" t="str">
        <f t="shared" si="110"/>
        <v/>
      </c>
      <c r="O409" s="12" t="str">
        <f t="shared" si="111"/>
        <v/>
      </c>
      <c r="P409" s="12" t="str">
        <f t="shared" si="112"/>
        <v/>
      </c>
      <c r="Q409" s="12" t="str">
        <f t="shared" si="116"/>
        <v/>
      </c>
      <c r="R409" s="26" t="str">
        <f t="shared" si="113"/>
        <v/>
      </c>
      <c r="S409" s="26" t="str">
        <f t="shared" si="122"/>
        <v/>
      </c>
      <c r="T409" s="26" t="str">
        <f t="shared" si="117"/>
        <v/>
      </c>
      <c r="U409" s="26" t="str">
        <f t="shared" si="118"/>
        <v/>
      </c>
      <c r="V409" s="26" t="str">
        <f t="shared" si="119"/>
        <v/>
      </c>
      <c r="W409" s="20" t="str">
        <f t="shared" si="120"/>
        <v/>
      </c>
      <c r="X409" s="20" t="str">
        <f t="shared" si="121"/>
        <v/>
      </c>
      <c r="Y409" s="86" t="str">
        <f t="shared" si="123"/>
        <v/>
      </c>
      <c r="Z409" s="31"/>
    </row>
    <row r="410" spans="2:26" outlineLevel="1">
      <c r="B410" s="14">
        <f t="shared" si="107"/>
        <v>407</v>
      </c>
      <c r="C410" s="37"/>
      <c r="D410" s="40"/>
      <c r="E410" s="39"/>
      <c r="F410" s="37"/>
      <c r="G410" s="39"/>
      <c r="H410" s="37"/>
      <c r="I410" s="37"/>
      <c r="J410" s="41" t="str">
        <f t="shared" si="108"/>
        <v/>
      </c>
      <c r="K410" s="12" t="str">
        <f t="shared" si="114"/>
        <v/>
      </c>
      <c r="L410" s="12" t="str">
        <f t="shared" si="115"/>
        <v/>
      </c>
      <c r="M410" s="12" t="str">
        <f t="shared" si="109"/>
        <v/>
      </c>
      <c r="N410" s="12" t="str">
        <f t="shared" si="110"/>
        <v/>
      </c>
      <c r="O410" s="12" t="str">
        <f t="shared" si="111"/>
        <v/>
      </c>
      <c r="P410" s="12" t="str">
        <f t="shared" si="112"/>
        <v/>
      </c>
      <c r="Q410" s="12" t="str">
        <f t="shared" si="116"/>
        <v/>
      </c>
      <c r="R410" s="26" t="str">
        <f t="shared" si="113"/>
        <v/>
      </c>
      <c r="S410" s="26" t="str">
        <f t="shared" si="122"/>
        <v/>
      </c>
      <c r="T410" s="26" t="str">
        <f t="shared" si="117"/>
        <v/>
      </c>
      <c r="U410" s="26" t="str">
        <f t="shared" si="118"/>
        <v/>
      </c>
      <c r="V410" s="26" t="str">
        <f t="shared" si="119"/>
        <v/>
      </c>
      <c r="W410" s="20" t="str">
        <f t="shared" si="120"/>
        <v/>
      </c>
      <c r="X410" s="20" t="str">
        <f t="shared" si="121"/>
        <v/>
      </c>
      <c r="Y410" s="86" t="str">
        <f t="shared" si="123"/>
        <v/>
      </c>
      <c r="Z410" s="31"/>
    </row>
    <row r="411" spans="2:26" outlineLevel="1">
      <c r="B411" s="14">
        <f t="shared" si="107"/>
        <v>408</v>
      </c>
      <c r="C411" s="37"/>
      <c r="D411" s="40"/>
      <c r="E411" s="39"/>
      <c r="F411" s="37"/>
      <c r="G411" s="39"/>
      <c r="H411" s="37"/>
      <c r="I411" s="37"/>
      <c r="J411" s="41" t="str">
        <f t="shared" si="108"/>
        <v/>
      </c>
      <c r="K411" s="12" t="str">
        <f t="shared" si="114"/>
        <v/>
      </c>
      <c r="L411" s="12" t="str">
        <f t="shared" si="115"/>
        <v/>
      </c>
      <c r="M411" s="12" t="str">
        <f t="shared" si="109"/>
        <v/>
      </c>
      <c r="N411" s="12" t="str">
        <f t="shared" si="110"/>
        <v/>
      </c>
      <c r="O411" s="12" t="str">
        <f t="shared" si="111"/>
        <v/>
      </c>
      <c r="P411" s="12" t="str">
        <f t="shared" si="112"/>
        <v/>
      </c>
      <c r="Q411" s="12" t="str">
        <f t="shared" si="116"/>
        <v/>
      </c>
      <c r="R411" s="26" t="str">
        <f t="shared" si="113"/>
        <v/>
      </c>
      <c r="S411" s="26" t="str">
        <f t="shared" si="122"/>
        <v/>
      </c>
      <c r="T411" s="26" t="str">
        <f t="shared" si="117"/>
        <v/>
      </c>
      <c r="U411" s="26" t="str">
        <f t="shared" si="118"/>
        <v/>
      </c>
      <c r="V411" s="26" t="str">
        <f t="shared" si="119"/>
        <v/>
      </c>
      <c r="W411" s="20" t="str">
        <f t="shared" si="120"/>
        <v/>
      </c>
      <c r="X411" s="20" t="str">
        <f t="shared" si="121"/>
        <v/>
      </c>
      <c r="Y411" s="86" t="str">
        <f t="shared" si="123"/>
        <v/>
      </c>
      <c r="Z411" s="31"/>
    </row>
    <row r="412" spans="2:26" outlineLevel="1">
      <c r="B412" s="14">
        <f t="shared" si="107"/>
        <v>409</v>
      </c>
      <c r="C412" s="37"/>
      <c r="D412" s="40"/>
      <c r="E412" s="39"/>
      <c r="F412" s="37"/>
      <c r="G412" s="39"/>
      <c r="H412" s="37"/>
      <c r="I412" s="37"/>
      <c r="J412" s="41" t="str">
        <f t="shared" si="108"/>
        <v/>
      </c>
      <c r="K412" s="12" t="str">
        <f t="shared" si="114"/>
        <v/>
      </c>
      <c r="L412" s="12" t="str">
        <f t="shared" si="115"/>
        <v/>
      </c>
      <c r="M412" s="12" t="str">
        <f t="shared" si="109"/>
        <v/>
      </c>
      <c r="N412" s="12" t="str">
        <f t="shared" si="110"/>
        <v/>
      </c>
      <c r="O412" s="12" t="str">
        <f t="shared" si="111"/>
        <v/>
      </c>
      <c r="P412" s="12" t="str">
        <f t="shared" si="112"/>
        <v/>
      </c>
      <c r="Q412" s="12" t="str">
        <f t="shared" si="116"/>
        <v/>
      </c>
      <c r="R412" s="26" t="str">
        <f t="shared" si="113"/>
        <v/>
      </c>
      <c r="S412" s="26" t="str">
        <f t="shared" si="122"/>
        <v/>
      </c>
      <c r="T412" s="26" t="str">
        <f t="shared" si="117"/>
        <v/>
      </c>
      <c r="U412" s="26" t="str">
        <f t="shared" si="118"/>
        <v/>
      </c>
      <c r="V412" s="26" t="str">
        <f t="shared" si="119"/>
        <v/>
      </c>
      <c r="W412" s="20" t="str">
        <f t="shared" si="120"/>
        <v/>
      </c>
      <c r="X412" s="20" t="str">
        <f t="shared" si="121"/>
        <v/>
      </c>
      <c r="Y412" s="86" t="str">
        <f t="shared" si="123"/>
        <v/>
      </c>
      <c r="Z412" s="31"/>
    </row>
    <row r="413" spans="2:26" outlineLevel="1">
      <c r="B413" s="14">
        <f t="shared" si="107"/>
        <v>410</v>
      </c>
      <c r="C413" s="37"/>
      <c r="D413" s="40"/>
      <c r="E413" s="39"/>
      <c r="F413" s="37"/>
      <c r="G413" s="39"/>
      <c r="H413" s="37"/>
      <c r="I413" s="37"/>
      <c r="J413" s="41" t="str">
        <f t="shared" si="108"/>
        <v/>
      </c>
      <c r="K413" s="12" t="str">
        <f t="shared" si="114"/>
        <v/>
      </c>
      <c r="L413" s="12" t="str">
        <f t="shared" si="115"/>
        <v/>
      </c>
      <c r="M413" s="12" t="str">
        <f t="shared" si="109"/>
        <v/>
      </c>
      <c r="N413" s="12" t="str">
        <f t="shared" si="110"/>
        <v/>
      </c>
      <c r="O413" s="12" t="str">
        <f t="shared" si="111"/>
        <v/>
      </c>
      <c r="P413" s="12" t="str">
        <f t="shared" si="112"/>
        <v/>
      </c>
      <c r="Q413" s="12" t="str">
        <f t="shared" si="116"/>
        <v/>
      </c>
      <c r="R413" s="26" t="str">
        <f t="shared" si="113"/>
        <v/>
      </c>
      <c r="S413" s="26" t="str">
        <f t="shared" si="122"/>
        <v/>
      </c>
      <c r="T413" s="26" t="str">
        <f t="shared" si="117"/>
        <v/>
      </c>
      <c r="U413" s="26" t="str">
        <f t="shared" si="118"/>
        <v/>
      </c>
      <c r="V413" s="26" t="str">
        <f t="shared" si="119"/>
        <v/>
      </c>
      <c r="W413" s="20" t="str">
        <f t="shared" si="120"/>
        <v/>
      </c>
      <c r="X413" s="20" t="str">
        <f t="shared" si="121"/>
        <v/>
      </c>
      <c r="Y413" s="86" t="str">
        <f t="shared" si="123"/>
        <v/>
      </c>
      <c r="Z413" s="31"/>
    </row>
    <row r="414" spans="2:26" outlineLevel="1">
      <c r="B414" s="14">
        <f t="shared" si="107"/>
        <v>411</v>
      </c>
      <c r="C414" s="37"/>
      <c r="D414" s="40"/>
      <c r="E414" s="39"/>
      <c r="F414" s="37"/>
      <c r="G414" s="39"/>
      <c r="H414" s="37"/>
      <c r="I414" s="37"/>
      <c r="J414" s="41" t="str">
        <f t="shared" si="108"/>
        <v/>
      </c>
      <c r="K414" s="12" t="str">
        <f t="shared" si="114"/>
        <v/>
      </c>
      <c r="L414" s="12" t="str">
        <f t="shared" si="115"/>
        <v/>
      </c>
      <c r="M414" s="12" t="str">
        <f t="shared" si="109"/>
        <v/>
      </c>
      <c r="N414" s="12" t="str">
        <f t="shared" si="110"/>
        <v/>
      </c>
      <c r="O414" s="12" t="str">
        <f t="shared" si="111"/>
        <v/>
      </c>
      <c r="P414" s="12" t="str">
        <f t="shared" si="112"/>
        <v/>
      </c>
      <c r="Q414" s="12" t="str">
        <f t="shared" si="116"/>
        <v/>
      </c>
      <c r="R414" s="26" t="str">
        <f t="shared" si="113"/>
        <v/>
      </c>
      <c r="S414" s="26" t="str">
        <f t="shared" si="122"/>
        <v/>
      </c>
      <c r="T414" s="26" t="str">
        <f t="shared" si="117"/>
        <v/>
      </c>
      <c r="U414" s="26" t="str">
        <f t="shared" si="118"/>
        <v/>
      </c>
      <c r="V414" s="26" t="str">
        <f t="shared" si="119"/>
        <v/>
      </c>
      <c r="W414" s="20" t="str">
        <f t="shared" si="120"/>
        <v/>
      </c>
      <c r="X414" s="20" t="str">
        <f t="shared" si="121"/>
        <v/>
      </c>
      <c r="Y414" s="86" t="str">
        <f t="shared" si="123"/>
        <v/>
      </c>
      <c r="Z414" s="31"/>
    </row>
    <row r="415" spans="2:26" outlineLevel="1">
      <c r="B415" s="14">
        <f t="shared" si="107"/>
        <v>412</v>
      </c>
      <c r="C415" s="37"/>
      <c r="D415" s="40"/>
      <c r="E415" s="39"/>
      <c r="F415" s="37"/>
      <c r="G415" s="39"/>
      <c r="H415" s="37"/>
      <c r="I415" s="37"/>
      <c r="J415" s="41" t="str">
        <f t="shared" si="108"/>
        <v/>
      </c>
      <c r="K415" s="12" t="str">
        <f t="shared" si="114"/>
        <v/>
      </c>
      <c r="L415" s="12" t="str">
        <f t="shared" si="115"/>
        <v/>
      </c>
      <c r="M415" s="12" t="str">
        <f t="shared" si="109"/>
        <v/>
      </c>
      <c r="N415" s="12" t="str">
        <f t="shared" si="110"/>
        <v/>
      </c>
      <c r="O415" s="12" t="str">
        <f t="shared" si="111"/>
        <v/>
      </c>
      <c r="P415" s="12" t="str">
        <f t="shared" si="112"/>
        <v/>
      </c>
      <c r="Q415" s="12" t="str">
        <f t="shared" si="116"/>
        <v/>
      </c>
      <c r="R415" s="26" t="str">
        <f t="shared" si="113"/>
        <v/>
      </c>
      <c r="S415" s="26" t="str">
        <f t="shared" si="122"/>
        <v/>
      </c>
      <c r="T415" s="26" t="str">
        <f t="shared" si="117"/>
        <v/>
      </c>
      <c r="U415" s="26" t="str">
        <f t="shared" si="118"/>
        <v/>
      </c>
      <c r="V415" s="26" t="str">
        <f t="shared" si="119"/>
        <v/>
      </c>
      <c r="W415" s="20" t="str">
        <f t="shared" si="120"/>
        <v/>
      </c>
      <c r="X415" s="20" t="str">
        <f t="shared" si="121"/>
        <v/>
      </c>
      <c r="Y415" s="86" t="str">
        <f t="shared" si="123"/>
        <v/>
      </c>
      <c r="Z415" s="31"/>
    </row>
    <row r="416" spans="2:26" outlineLevel="1">
      <c r="B416" s="14">
        <f t="shared" si="107"/>
        <v>413</v>
      </c>
      <c r="C416" s="37"/>
      <c r="D416" s="40"/>
      <c r="E416" s="39"/>
      <c r="F416" s="37"/>
      <c r="G416" s="39"/>
      <c r="H416" s="37"/>
      <c r="I416" s="37"/>
      <c r="J416" s="41" t="str">
        <f t="shared" si="108"/>
        <v/>
      </c>
      <c r="K416" s="12" t="str">
        <f t="shared" si="114"/>
        <v/>
      </c>
      <c r="L416" s="12" t="str">
        <f t="shared" si="115"/>
        <v/>
      </c>
      <c r="M416" s="12" t="str">
        <f t="shared" si="109"/>
        <v/>
      </c>
      <c r="N416" s="12" t="str">
        <f t="shared" si="110"/>
        <v/>
      </c>
      <c r="O416" s="12" t="str">
        <f t="shared" si="111"/>
        <v/>
      </c>
      <c r="P416" s="12" t="str">
        <f t="shared" si="112"/>
        <v/>
      </c>
      <c r="Q416" s="12" t="str">
        <f t="shared" si="116"/>
        <v/>
      </c>
      <c r="R416" s="26" t="str">
        <f t="shared" si="113"/>
        <v/>
      </c>
      <c r="S416" s="26" t="str">
        <f t="shared" si="122"/>
        <v/>
      </c>
      <c r="T416" s="26" t="str">
        <f t="shared" si="117"/>
        <v/>
      </c>
      <c r="U416" s="26" t="str">
        <f t="shared" si="118"/>
        <v/>
      </c>
      <c r="V416" s="26" t="str">
        <f t="shared" si="119"/>
        <v/>
      </c>
      <c r="W416" s="20" t="str">
        <f t="shared" si="120"/>
        <v/>
      </c>
      <c r="X416" s="20" t="str">
        <f t="shared" si="121"/>
        <v/>
      </c>
      <c r="Y416" s="86" t="str">
        <f t="shared" si="123"/>
        <v/>
      </c>
      <c r="Z416" s="31"/>
    </row>
    <row r="417" spans="2:26" outlineLevel="1">
      <c r="B417" s="14">
        <f t="shared" si="107"/>
        <v>414</v>
      </c>
      <c r="C417" s="37"/>
      <c r="D417" s="40"/>
      <c r="E417" s="39"/>
      <c r="F417" s="37"/>
      <c r="G417" s="39"/>
      <c r="H417" s="37"/>
      <c r="I417" s="37"/>
      <c r="J417" s="41" t="str">
        <f t="shared" si="108"/>
        <v/>
      </c>
      <c r="K417" s="12" t="str">
        <f t="shared" si="114"/>
        <v/>
      </c>
      <c r="L417" s="12" t="str">
        <f t="shared" si="115"/>
        <v/>
      </c>
      <c r="M417" s="12" t="str">
        <f t="shared" si="109"/>
        <v/>
      </c>
      <c r="N417" s="12" t="str">
        <f t="shared" si="110"/>
        <v/>
      </c>
      <c r="O417" s="12" t="str">
        <f t="shared" si="111"/>
        <v/>
      </c>
      <c r="P417" s="12" t="str">
        <f t="shared" si="112"/>
        <v/>
      </c>
      <c r="Q417" s="12" t="str">
        <f t="shared" si="116"/>
        <v/>
      </c>
      <c r="R417" s="26" t="str">
        <f t="shared" si="113"/>
        <v/>
      </c>
      <c r="S417" s="26" t="str">
        <f t="shared" si="122"/>
        <v/>
      </c>
      <c r="T417" s="26" t="str">
        <f t="shared" si="117"/>
        <v/>
      </c>
      <c r="U417" s="26" t="str">
        <f t="shared" si="118"/>
        <v/>
      </c>
      <c r="V417" s="26" t="str">
        <f t="shared" si="119"/>
        <v/>
      </c>
      <c r="W417" s="20" t="str">
        <f t="shared" si="120"/>
        <v/>
      </c>
      <c r="X417" s="20" t="str">
        <f t="shared" si="121"/>
        <v/>
      </c>
      <c r="Y417" s="86" t="str">
        <f t="shared" si="123"/>
        <v/>
      </c>
      <c r="Z417" s="31"/>
    </row>
    <row r="418" spans="2:26" outlineLevel="1">
      <c r="B418" s="14">
        <f t="shared" si="107"/>
        <v>415</v>
      </c>
      <c r="C418" s="37"/>
      <c r="D418" s="40"/>
      <c r="E418" s="39"/>
      <c r="F418" s="37"/>
      <c r="G418" s="39"/>
      <c r="H418" s="37"/>
      <c r="I418" s="37"/>
      <c r="J418" s="41" t="str">
        <f t="shared" si="108"/>
        <v/>
      </c>
      <c r="K418" s="12" t="str">
        <f t="shared" si="114"/>
        <v/>
      </c>
      <c r="L418" s="12" t="str">
        <f t="shared" si="115"/>
        <v/>
      </c>
      <c r="M418" s="12" t="str">
        <f t="shared" si="109"/>
        <v/>
      </c>
      <c r="N418" s="12" t="str">
        <f t="shared" si="110"/>
        <v/>
      </c>
      <c r="O418" s="12" t="str">
        <f t="shared" si="111"/>
        <v/>
      </c>
      <c r="P418" s="12" t="str">
        <f t="shared" si="112"/>
        <v/>
      </c>
      <c r="Q418" s="12" t="str">
        <f t="shared" si="116"/>
        <v/>
      </c>
      <c r="R418" s="26" t="str">
        <f t="shared" si="113"/>
        <v/>
      </c>
      <c r="S418" s="26" t="str">
        <f t="shared" si="122"/>
        <v/>
      </c>
      <c r="T418" s="26" t="str">
        <f t="shared" si="117"/>
        <v/>
      </c>
      <c r="U418" s="26" t="str">
        <f t="shared" si="118"/>
        <v/>
      </c>
      <c r="V418" s="26" t="str">
        <f t="shared" si="119"/>
        <v/>
      </c>
      <c r="W418" s="20" t="str">
        <f t="shared" si="120"/>
        <v/>
      </c>
      <c r="X418" s="20" t="str">
        <f t="shared" si="121"/>
        <v/>
      </c>
      <c r="Y418" s="86" t="str">
        <f t="shared" si="123"/>
        <v/>
      </c>
      <c r="Z418" s="31"/>
    </row>
    <row r="419" spans="2:26" outlineLevel="1">
      <c r="B419" s="14">
        <f t="shared" si="107"/>
        <v>416</v>
      </c>
      <c r="C419" s="37"/>
      <c r="D419" s="40"/>
      <c r="E419" s="39"/>
      <c r="F419" s="37"/>
      <c r="G419" s="39"/>
      <c r="H419" s="37"/>
      <c r="I419" s="37"/>
      <c r="J419" s="41" t="str">
        <f t="shared" si="108"/>
        <v/>
      </c>
      <c r="K419" s="12" t="str">
        <f t="shared" si="114"/>
        <v/>
      </c>
      <c r="L419" s="12" t="str">
        <f t="shared" si="115"/>
        <v/>
      </c>
      <c r="M419" s="12" t="str">
        <f t="shared" si="109"/>
        <v/>
      </c>
      <c r="N419" s="12" t="str">
        <f t="shared" si="110"/>
        <v/>
      </c>
      <c r="O419" s="12" t="str">
        <f t="shared" si="111"/>
        <v/>
      </c>
      <c r="P419" s="12" t="str">
        <f t="shared" si="112"/>
        <v/>
      </c>
      <c r="Q419" s="12" t="str">
        <f t="shared" si="116"/>
        <v/>
      </c>
      <c r="R419" s="26" t="str">
        <f t="shared" si="113"/>
        <v/>
      </c>
      <c r="S419" s="26" t="str">
        <f t="shared" si="122"/>
        <v/>
      </c>
      <c r="T419" s="26" t="str">
        <f t="shared" si="117"/>
        <v/>
      </c>
      <c r="U419" s="26" t="str">
        <f t="shared" si="118"/>
        <v/>
      </c>
      <c r="V419" s="26" t="str">
        <f t="shared" si="119"/>
        <v/>
      </c>
      <c r="W419" s="20" t="str">
        <f t="shared" si="120"/>
        <v/>
      </c>
      <c r="X419" s="20" t="str">
        <f t="shared" si="121"/>
        <v/>
      </c>
      <c r="Y419" s="86" t="str">
        <f t="shared" si="123"/>
        <v/>
      </c>
      <c r="Z419" s="31"/>
    </row>
    <row r="420" spans="2:26" outlineLevel="1">
      <c r="B420" s="14">
        <f t="shared" si="107"/>
        <v>417</v>
      </c>
      <c r="C420" s="37"/>
      <c r="D420" s="40"/>
      <c r="E420" s="39"/>
      <c r="F420" s="37"/>
      <c r="G420" s="39"/>
      <c r="H420" s="37"/>
      <c r="I420" s="37"/>
      <c r="J420" s="41" t="str">
        <f t="shared" si="108"/>
        <v/>
      </c>
      <c r="K420" s="12" t="str">
        <f t="shared" si="114"/>
        <v/>
      </c>
      <c r="L420" s="12" t="str">
        <f t="shared" si="115"/>
        <v/>
      </c>
      <c r="M420" s="12" t="str">
        <f t="shared" si="109"/>
        <v/>
      </c>
      <c r="N420" s="12" t="str">
        <f t="shared" si="110"/>
        <v/>
      </c>
      <c r="O420" s="12" t="str">
        <f t="shared" si="111"/>
        <v/>
      </c>
      <c r="P420" s="12" t="str">
        <f t="shared" si="112"/>
        <v/>
      </c>
      <c r="Q420" s="12" t="str">
        <f t="shared" si="116"/>
        <v/>
      </c>
      <c r="R420" s="26" t="str">
        <f t="shared" si="113"/>
        <v/>
      </c>
      <c r="S420" s="26" t="str">
        <f t="shared" si="122"/>
        <v/>
      </c>
      <c r="T420" s="26" t="str">
        <f t="shared" si="117"/>
        <v/>
      </c>
      <c r="U420" s="26" t="str">
        <f t="shared" si="118"/>
        <v/>
      </c>
      <c r="V420" s="26" t="str">
        <f t="shared" si="119"/>
        <v/>
      </c>
      <c r="W420" s="20" t="str">
        <f t="shared" si="120"/>
        <v/>
      </c>
      <c r="X420" s="20" t="str">
        <f t="shared" si="121"/>
        <v/>
      </c>
      <c r="Y420" s="86" t="str">
        <f t="shared" si="123"/>
        <v/>
      </c>
      <c r="Z420" s="31"/>
    </row>
    <row r="421" spans="2:26" outlineLevel="1">
      <c r="B421" s="14">
        <f t="shared" si="107"/>
        <v>418</v>
      </c>
      <c r="C421" s="37"/>
      <c r="D421" s="40"/>
      <c r="E421" s="39"/>
      <c r="F421" s="37"/>
      <c r="G421" s="39"/>
      <c r="H421" s="37"/>
      <c r="I421" s="37"/>
      <c r="J421" s="41" t="str">
        <f t="shared" si="108"/>
        <v/>
      </c>
      <c r="K421" s="12" t="str">
        <f t="shared" si="114"/>
        <v/>
      </c>
      <c r="L421" s="12" t="str">
        <f t="shared" si="115"/>
        <v/>
      </c>
      <c r="M421" s="12" t="str">
        <f t="shared" si="109"/>
        <v/>
      </c>
      <c r="N421" s="12" t="str">
        <f t="shared" si="110"/>
        <v/>
      </c>
      <c r="O421" s="12" t="str">
        <f t="shared" si="111"/>
        <v/>
      </c>
      <c r="P421" s="12" t="str">
        <f t="shared" si="112"/>
        <v/>
      </c>
      <c r="Q421" s="12" t="str">
        <f t="shared" si="116"/>
        <v/>
      </c>
      <c r="R421" s="26" t="str">
        <f t="shared" si="113"/>
        <v/>
      </c>
      <c r="S421" s="26" t="str">
        <f t="shared" si="122"/>
        <v/>
      </c>
      <c r="T421" s="26" t="str">
        <f t="shared" si="117"/>
        <v/>
      </c>
      <c r="U421" s="26" t="str">
        <f t="shared" si="118"/>
        <v/>
      </c>
      <c r="V421" s="26" t="str">
        <f t="shared" si="119"/>
        <v/>
      </c>
      <c r="W421" s="20" t="str">
        <f t="shared" si="120"/>
        <v/>
      </c>
      <c r="X421" s="20" t="str">
        <f t="shared" si="121"/>
        <v/>
      </c>
      <c r="Y421" s="86" t="str">
        <f t="shared" si="123"/>
        <v/>
      </c>
      <c r="Z421" s="31"/>
    </row>
    <row r="422" spans="2:26" outlineLevel="1">
      <c r="B422" s="14">
        <f t="shared" si="107"/>
        <v>419</v>
      </c>
      <c r="C422" s="37"/>
      <c r="D422" s="40"/>
      <c r="E422" s="39"/>
      <c r="F422" s="37"/>
      <c r="G422" s="39"/>
      <c r="H422" s="37"/>
      <c r="I422" s="37"/>
      <c r="J422" s="41" t="str">
        <f t="shared" si="108"/>
        <v/>
      </c>
      <c r="K422" s="12" t="str">
        <f t="shared" si="114"/>
        <v/>
      </c>
      <c r="L422" s="12" t="str">
        <f t="shared" si="115"/>
        <v/>
      </c>
      <c r="M422" s="12" t="str">
        <f t="shared" si="109"/>
        <v/>
      </c>
      <c r="N422" s="12" t="str">
        <f t="shared" si="110"/>
        <v/>
      </c>
      <c r="O422" s="12" t="str">
        <f t="shared" si="111"/>
        <v/>
      </c>
      <c r="P422" s="12" t="str">
        <f t="shared" si="112"/>
        <v/>
      </c>
      <c r="Q422" s="12" t="str">
        <f t="shared" si="116"/>
        <v/>
      </c>
      <c r="R422" s="26" t="str">
        <f t="shared" si="113"/>
        <v/>
      </c>
      <c r="S422" s="26" t="str">
        <f t="shared" si="122"/>
        <v/>
      </c>
      <c r="T422" s="26" t="str">
        <f t="shared" si="117"/>
        <v/>
      </c>
      <c r="U422" s="26" t="str">
        <f t="shared" si="118"/>
        <v/>
      </c>
      <c r="V422" s="26" t="str">
        <f t="shared" si="119"/>
        <v/>
      </c>
      <c r="W422" s="20" t="str">
        <f t="shared" si="120"/>
        <v/>
      </c>
      <c r="X422" s="20" t="str">
        <f t="shared" si="121"/>
        <v/>
      </c>
      <c r="Y422" s="86" t="str">
        <f t="shared" si="123"/>
        <v/>
      </c>
      <c r="Z422" s="31"/>
    </row>
    <row r="423" spans="2:26" outlineLevel="1">
      <c r="B423" s="14">
        <f t="shared" si="107"/>
        <v>420</v>
      </c>
      <c r="C423" s="37"/>
      <c r="D423" s="40"/>
      <c r="E423" s="39"/>
      <c r="F423" s="37"/>
      <c r="G423" s="39"/>
      <c r="H423" s="37"/>
      <c r="I423" s="37"/>
      <c r="J423" s="41" t="str">
        <f t="shared" si="108"/>
        <v/>
      </c>
      <c r="K423" s="12" t="str">
        <f t="shared" si="114"/>
        <v/>
      </c>
      <c r="L423" s="12" t="str">
        <f t="shared" si="115"/>
        <v/>
      </c>
      <c r="M423" s="12" t="str">
        <f t="shared" si="109"/>
        <v/>
      </c>
      <c r="N423" s="12" t="str">
        <f t="shared" si="110"/>
        <v/>
      </c>
      <c r="O423" s="12" t="str">
        <f t="shared" si="111"/>
        <v/>
      </c>
      <c r="P423" s="12" t="str">
        <f t="shared" si="112"/>
        <v/>
      </c>
      <c r="Q423" s="12" t="str">
        <f t="shared" si="116"/>
        <v/>
      </c>
      <c r="R423" s="26" t="str">
        <f t="shared" si="113"/>
        <v/>
      </c>
      <c r="S423" s="26" t="str">
        <f t="shared" si="122"/>
        <v/>
      </c>
      <c r="T423" s="26" t="str">
        <f t="shared" si="117"/>
        <v/>
      </c>
      <c r="U423" s="26" t="str">
        <f t="shared" si="118"/>
        <v/>
      </c>
      <c r="V423" s="26" t="str">
        <f t="shared" si="119"/>
        <v/>
      </c>
      <c r="W423" s="20" t="str">
        <f t="shared" si="120"/>
        <v/>
      </c>
      <c r="X423" s="20" t="str">
        <f t="shared" si="121"/>
        <v/>
      </c>
      <c r="Y423" s="86" t="str">
        <f t="shared" si="123"/>
        <v/>
      </c>
      <c r="Z423" s="31"/>
    </row>
    <row r="424" spans="2:26" outlineLevel="1">
      <c r="B424" s="14">
        <f t="shared" si="107"/>
        <v>421</v>
      </c>
      <c r="C424" s="37"/>
      <c r="D424" s="40"/>
      <c r="E424" s="39"/>
      <c r="F424" s="37"/>
      <c r="G424" s="39"/>
      <c r="H424" s="37"/>
      <c r="I424" s="37"/>
      <c r="J424" s="41" t="str">
        <f t="shared" si="108"/>
        <v/>
      </c>
      <c r="K424" s="12" t="str">
        <f t="shared" si="114"/>
        <v/>
      </c>
      <c r="L424" s="12" t="str">
        <f t="shared" si="115"/>
        <v/>
      </c>
      <c r="M424" s="12" t="str">
        <f t="shared" si="109"/>
        <v/>
      </c>
      <c r="N424" s="12" t="str">
        <f t="shared" si="110"/>
        <v/>
      </c>
      <c r="O424" s="12" t="str">
        <f t="shared" si="111"/>
        <v/>
      </c>
      <c r="P424" s="12" t="str">
        <f t="shared" si="112"/>
        <v/>
      </c>
      <c r="Q424" s="12" t="str">
        <f t="shared" si="116"/>
        <v/>
      </c>
      <c r="R424" s="26" t="str">
        <f t="shared" si="113"/>
        <v/>
      </c>
      <c r="S424" s="26" t="str">
        <f t="shared" si="122"/>
        <v/>
      </c>
      <c r="T424" s="26" t="str">
        <f t="shared" si="117"/>
        <v/>
      </c>
      <c r="U424" s="26" t="str">
        <f t="shared" si="118"/>
        <v/>
      </c>
      <c r="V424" s="26" t="str">
        <f t="shared" si="119"/>
        <v/>
      </c>
      <c r="W424" s="20" t="str">
        <f t="shared" si="120"/>
        <v/>
      </c>
      <c r="X424" s="20" t="str">
        <f t="shared" si="121"/>
        <v/>
      </c>
      <c r="Y424" s="86" t="str">
        <f t="shared" si="123"/>
        <v/>
      </c>
      <c r="Z424" s="31"/>
    </row>
    <row r="425" spans="2:26" outlineLevel="1">
      <c r="B425" s="14">
        <f t="shared" si="107"/>
        <v>422</v>
      </c>
      <c r="C425" s="37"/>
      <c r="D425" s="40"/>
      <c r="E425" s="39"/>
      <c r="F425" s="37"/>
      <c r="G425" s="39"/>
      <c r="H425" s="37"/>
      <c r="I425" s="37"/>
      <c r="J425" s="41" t="str">
        <f t="shared" si="108"/>
        <v/>
      </c>
      <c r="K425" s="12" t="str">
        <f t="shared" si="114"/>
        <v/>
      </c>
      <c r="L425" s="12" t="str">
        <f t="shared" si="115"/>
        <v/>
      </c>
      <c r="M425" s="12" t="str">
        <f t="shared" si="109"/>
        <v/>
      </c>
      <c r="N425" s="12" t="str">
        <f t="shared" si="110"/>
        <v/>
      </c>
      <c r="O425" s="12" t="str">
        <f t="shared" si="111"/>
        <v/>
      </c>
      <c r="P425" s="12" t="str">
        <f t="shared" si="112"/>
        <v/>
      </c>
      <c r="Q425" s="12" t="str">
        <f t="shared" si="116"/>
        <v/>
      </c>
      <c r="R425" s="26" t="str">
        <f t="shared" si="113"/>
        <v/>
      </c>
      <c r="S425" s="26" t="str">
        <f t="shared" si="122"/>
        <v/>
      </c>
      <c r="T425" s="26" t="str">
        <f t="shared" si="117"/>
        <v/>
      </c>
      <c r="U425" s="26" t="str">
        <f t="shared" si="118"/>
        <v/>
      </c>
      <c r="V425" s="26" t="str">
        <f t="shared" si="119"/>
        <v/>
      </c>
      <c r="W425" s="20" t="str">
        <f t="shared" si="120"/>
        <v/>
      </c>
      <c r="X425" s="20" t="str">
        <f t="shared" si="121"/>
        <v/>
      </c>
      <c r="Y425" s="86" t="str">
        <f t="shared" si="123"/>
        <v/>
      </c>
      <c r="Z425" s="31"/>
    </row>
    <row r="426" spans="2:26" outlineLevel="1">
      <c r="B426" s="14">
        <f t="shared" si="107"/>
        <v>423</v>
      </c>
      <c r="C426" s="37"/>
      <c r="D426" s="40"/>
      <c r="E426" s="39"/>
      <c r="F426" s="37"/>
      <c r="G426" s="39"/>
      <c r="H426" s="37"/>
      <c r="I426" s="37"/>
      <c r="J426" s="41" t="str">
        <f t="shared" si="108"/>
        <v/>
      </c>
      <c r="K426" s="12" t="str">
        <f t="shared" si="114"/>
        <v/>
      </c>
      <c r="L426" s="12" t="str">
        <f t="shared" si="115"/>
        <v/>
      </c>
      <c r="M426" s="12" t="str">
        <f t="shared" si="109"/>
        <v/>
      </c>
      <c r="N426" s="12" t="str">
        <f t="shared" si="110"/>
        <v/>
      </c>
      <c r="O426" s="12" t="str">
        <f t="shared" si="111"/>
        <v/>
      </c>
      <c r="P426" s="12" t="str">
        <f t="shared" si="112"/>
        <v/>
      </c>
      <c r="Q426" s="12" t="str">
        <f t="shared" si="116"/>
        <v/>
      </c>
      <c r="R426" s="26" t="str">
        <f t="shared" si="113"/>
        <v/>
      </c>
      <c r="S426" s="26" t="str">
        <f t="shared" si="122"/>
        <v/>
      </c>
      <c r="T426" s="26" t="str">
        <f t="shared" si="117"/>
        <v/>
      </c>
      <c r="U426" s="26" t="str">
        <f t="shared" si="118"/>
        <v/>
      </c>
      <c r="V426" s="26" t="str">
        <f t="shared" si="119"/>
        <v/>
      </c>
      <c r="W426" s="20" t="str">
        <f t="shared" si="120"/>
        <v/>
      </c>
      <c r="X426" s="20" t="str">
        <f t="shared" si="121"/>
        <v/>
      </c>
      <c r="Y426" s="86" t="str">
        <f t="shared" si="123"/>
        <v/>
      </c>
      <c r="Z426" s="31"/>
    </row>
    <row r="427" spans="2:26" outlineLevel="1">
      <c r="B427" s="14">
        <f t="shared" si="107"/>
        <v>424</v>
      </c>
      <c r="C427" s="37"/>
      <c r="D427" s="40"/>
      <c r="E427" s="39"/>
      <c r="F427" s="37"/>
      <c r="G427" s="39"/>
      <c r="H427" s="37"/>
      <c r="I427" s="37"/>
      <c r="J427" s="41" t="str">
        <f t="shared" si="108"/>
        <v/>
      </c>
      <c r="K427" s="12" t="str">
        <f t="shared" si="114"/>
        <v/>
      </c>
      <c r="L427" s="12" t="str">
        <f t="shared" si="115"/>
        <v/>
      </c>
      <c r="M427" s="12" t="str">
        <f t="shared" si="109"/>
        <v/>
      </c>
      <c r="N427" s="12" t="str">
        <f t="shared" si="110"/>
        <v/>
      </c>
      <c r="O427" s="12" t="str">
        <f t="shared" si="111"/>
        <v/>
      </c>
      <c r="P427" s="12" t="str">
        <f t="shared" si="112"/>
        <v/>
      </c>
      <c r="Q427" s="12" t="str">
        <f t="shared" si="116"/>
        <v/>
      </c>
      <c r="R427" s="26" t="str">
        <f t="shared" si="113"/>
        <v/>
      </c>
      <c r="S427" s="26" t="str">
        <f t="shared" si="122"/>
        <v/>
      </c>
      <c r="T427" s="26" t="str">
        <f t="shared" si="117"/>
        <v/>
      </c>
      <c r="U427" s="26" t="str">
        <f t="shared" si="118"/>
        <v/>
      </c>
      <c r="V427" s="26" t="str">
        <f t="shared" si="119"/>
        <v/>
      </c>
      <c r="W427" s="20" t="str">
        <f t="shared" si="120"/>
        <v/>
      </c>
      <c r="X427" s="20" t="str">
        <f t="shared" si="121"/>
        <v/>
      </c>
      <c r="Y427" s="86" t="str">
        <f t="shared" si="123"/>
        <v/>
      </c>
      <c r="Z427" s="31"/>
    </row>
    <row r="428" spans="2:26" outlineLevel="1">
      <c r="B428" s="14">
        <f t="shared" si="107"/>
        <v>425</v>
      </c>
      <c r="C428" s="37"/>
      <c r="D428" s="40"/>
      <c r="E428" s="39"/>
      <c r="F428" s="37"/>
      <c r="G428" s="39"/>
      <c r="H428" s="37"/>
      <c r="I428" s="37"/>
      <c r="J428" s="41" t="str">
        <f t="shared" si="108"/>
        <v/>
      </c>
      <c r="K428" s="12" t="str">
        <f t="shared" si="114"/>
        <v/>
      </c>
      <c r="L428" s="12" t="str">
        <f t="shared" si="115"/>
        <v/>
      </c>
      <c r="M428" s="12" t="str">
        <f t="shared" si="109"/>
        <v/>
      </c>
      <c r="N428" s="12" t="str">
        <f t="shared" si="110"/>
        <v/>
      </c>
      <c r="O428" s="12" t="str">
        <f t="shared" si="111"/>
        <v/>
      </c>
      <c r="P428" s="12" t="str">
        <f t="shared" si="112"/>
        <v/>
      </c>
      <c r="Q428" s="12" t="str">
        <f t="shared" si="116"/>
        <v/>
      </c>
      <c r="R428" s="26" t="str">
        <f t="shared" si="113"/>
        <v/>
      </c>
      <c r="S428" s="26" t="str">
        <f t="shared" si="122"/>
        <v/>
      </c>
      <c r="T428" s="26" t="str">
        <f t="shared" si="117"/>
        <v/>
      </c>
      <c r="U428" s="26" t="str">
        <f t="shared" si="118"/>
        <v/>
      </c>
      <c r="V428" s="26" t="str">
        <f t="shared" si="119"/>
        <v/>
      </c>
      <c r="W428" s="20" t="str">
        <f t="shared" si="120"/>
        <v/>
      </c>
      <c r="X428" s="20" t="str">
        <f t="shared" si="121"/>
        <v/>
      </c>
      <c r="Y428" s="86" t="str">
        <f t="shared" si="123"/>
        <v/>
      </c>
      <c r="Z428" s="31"/>
    </row>
    <row r="429" spans="2:26" outlineLevel="1">
      <c r="B429" s="14">
        <f t="shared" si="107"/>
        <v>426</v>
      </c>
      <c r="C429" s="37"/>
      <c r="D429" s="40"/>
      <c r="E429" s="39"/>
      <c r="F429" s="37"/>
      <c r="G429" s="39"/>
      <c r="H429" s="37"/>
      <c r="I429" s="37"/>
      <c r="J429" s="41" t="str">
        <f t="shared" si="108"/>
        <v/>
      </c>
      <c r="K429" s="12" t="str">
        <f t="shared" si="114"/>
        <v/>
      </c>
      <c r="L429" s="12" t="str">
        <f t="shared" si="115"/>
        <v/>
      </c>
      <c r="M429" s="12" t="str">
        <f t="shared" si="109"/>
        <v/>
      </c>
      <c r="N429" s="12" t="str">
        <f t="shared" si="110"/>
        <v/>
      </c>
      <c r="O429" s="12" t="str">
        <f t="shared" si="111"/>
        <v/>
      </c>
      <c r="P429" s="12" t="str">
        <f t="shared" si="112"/>
        <v/>
      </c>
      <c r="Q429" s="12" t="str">
        <f t="shared" si="116"/>
        <v/>
      </c>
      <c r="R429" s="26" t="str">
        <f t="shared" si="113"/>
        <v/>
      </c>
      <c r="S429" s="26" t="str">
        <f t="shared" si="122"/>
        <v/>
      </c>
      <c r="T429" s="26" t="str">
        <f t="shared" si="117"/>
        <v/>
      </c>
      <c r="U429" s="26" t="str">
        <f t="shared" si="118"/>
        <v/>
      </c>
      <c r="V429" s="26" t="str">
        <f t="shared" si="119"/>
        <v/>
      </c>
      <c r="W429" s="20" t="str">
        <f t="shared" si="120"/>
        <v/>
      </c>
      <c r="X429" s="20" t="str">
        <f t="shared" si="121"/>
        <v/>
      </c>
      <c r="Y429" s="86" t="str">
        <f t="shared" si="123"/>
        <v/>
      </c>
      <c r="Z429" s="31"/>
    </row>
    <row r="430" spans="2:26" outlineLevel="1">
      <c r="B430" s="14">
        <f t="shared" si="107"/>
        <v>427</v>
      </c>
      <c r="C430" s="37"/>
      <c r="D430" s="40"/>
      <c r="E430" s="39"/>
      <c r="F430" s="37"/>
      <c r="G430" s="39"/>
      <c r="H430" s="37"/>
      <c r="I430" s="37"/>
      <c r="J430" s="41" t="str">
        <f t="shared" si="108"/>
        <v/>
      </c>
      <c r="K430" s="12" t="str">
        <f t="shared" si="114"/>
        <v/>
      </c>
      <c r="L430" s="12" t="str">
        <f t="shared" si="115"/>
        <v/>
      </c>
      <c r="M430" s="12" t="str">
        <f t="shared" si="109"/>
        <v/>
      </c>
      <c r="N430" s="12" t="str">
        <f t="shared" si="110"/>
        <v/>
      </c>
      <c r="O430" s="12" t="str">
        <f t="shared" si="111"/>
        <v/>
      </c>
      <c r="P430" s="12" t="str">
        <f t="shared" si="112"/>
        <v/>
      </c>
      <c r="Q430" s="12" t="str">
        <f t="shared" si="116"/>
        <v/>
      </c>
      <c r="R430" s="26" t="str">
        <f t="shared" si="113"/>
        <v/>
      </c>
      <c r="S430" s="26" t="str">
        <f t="shared" si="122"/>
        <v/>
      </c>
      <c r="T430" s="26" t="str">
        <f t="shared" si="117"/>
        <v/>
      </c>
      <c r="U430" s="26" t="str">
        <f t="shared" si="118"/>
        <v/>
      </c>
      <c r="V430" s="26" t="str">
        <f t="shared" si="119"/>
        <v/>
      </c>
      <c r="W430" s="20" t="str">
        <f t="shared" si="120"/>
        <v/>
      </c>
      <c r="X430" s="20" t="str">
        <f t="shared" si="121"/>
        <v/>
      </c>
      <c r="Y430" s="86" t="str">
        <f t="shared" si="123"/>
        <v/>
      </c>
      <c r="Z430" s="31"/>
    </row>
    <row r="431" spans="2:26" outlineLevel="1">
      <c r="B431" s="14">
        <f t="shared" si="107"/>
        <v>428</v>
      </c>
      <c r="C431" s="37"/>
      <c r="D431" s="40"/>
      <c r="E431" s="39"/>
      <c r="F431" s="37"/>
      <c r="G431" s="39"/>
      <c r="H431" s="37"/>
      <c r="I431" s="37"/>
      <c r="J431" s="41" t="str">
        <f t="shared" si="108"/>
        <v/>
      </c>
      <c r="K431" s="12" t="str">
        <f t="shared" si="114"/>
        <v/>
      </c>
      <c r="L431" s="12" t="str">
        <f t="shared" si="115"/>
        <v/>
      </c>
      <c r="M431" s="12" t="str">
        <f t="shared" si="109"/>
        <v/>
      </c>
      <c r="N431" s="12" t="str">
        <f t="shared" si="110"/>
        <v/>
      </c>
      <c r="O431" s="12" t="str">
        <f t="shared" si="111"/>
        <v/>
      </c>
      <c r="P431" s="12" t="str">
        <f t="shared" si="112"/>
        <v/>
      </c>
      <c r="Q431" s="12" t="str">
        <f t="shared" si="116"/>
        <v/>
      </c>
      <c r="R431" s="26" t="str">
        <f t="shared" si="113"/>
        <v/>
      </c>
      <c r="S431" s="26" t="str">
        <f t="shared" si="122"/>
        <v/>
      </c>
      <c r="T431" s="26" t="str">
        <f t="shared" si="117"/>
        <v/>
      </c>
      <c r="U431" s="26" t="str">
        <f t="shared" si="118"/>
        <v/>
      </c>
      <c r="V431" s="26" t="str">
        <f t="shared" si="119"/>
        <v/>
      </c>
      <c r="W431" s="20" t="str">
        <f t="shared" si="120"/>
        <v/>
      </c>
      <c r="X431" s="20" t="str">
        <f t="shared" si="121"/>
        <v/>
      </c>
      <c r="Y431" s="86" t="str">
        <f t="shared" si="123"/>
        <v/>
      </c>
      <c r="Z431" s="31"/>
    </row>
    <row r="432" spans="2:26" outlineLevel="1">
      <c r="B432" s="14">
        <f t="shared" si="107"/>
        <v>429</v>
      </c>
      <c r="C432" s="37"/>
      <c r="D432" s="40"/>
      <c r="E432" s="39"/>
      <c r="F432" s="37"/>
      <c r="G432" s="39"/>
      <c r="H432" s="37"/>
      <c r="I432" s="37"/>
      <c r="J432" s="41" t="str">
        <f t="shared" si="108"/>
        <v/>
      </c>
      <c r="K432" s="12" t="str">
        <f t="shared" si="114"/>
        <v/>
      </c>
      <c r="L432" s="12" t="str">
        <f t="shared" si="115"/>
        <v/>
      </c>
      <c r="M432" s="12" t="str">
        <f t="shared" si="109"/>
        <v/>
      </c>
      <c r="N432" s="12" t="str">
        <f t="shared" si="110"/>
        <v/>
      </c>
      <c r="O432" s="12" t="str">
        <f t="shared" si="111"/>
        <v/>
      </c>
      <c r="P432" s="12" t="str">
        <f t="shared" si="112"/>
        <v/>
      </c>
      <c r="Q432" s="12" t="str">
        <f t="shared" si="116"/>
        <v/>
      </c>
      <c r="R432" s="26" t="str">
        <f t="shared" si="113"/>
        <v/>
      </c>
      <c r="S432" s="26" t="str">
        <f t="shared" si="122"/>
        <v/>
      </c>
      <c r="T432" s="26" t="str">
        <f t="shared" si="117"/>
        <v/>
      </c>
      <c r="U432" s="26" t="str">
        <f t="shared" si="118"/>
        <v/>
      </c>
      <c r="V432" s="26" t="str">
        <f t="shared" si="119"/>
        <v/>
      </c>
      <c r="W432" s="20" t="str">
        <f t="shared" si="120"/>
        <v/>
      </c>
      <c r="X432" s="20" t="str">
        <f t="shared" si="121"/>
        <v/>
      </c>
      <c r="Y432" s="86" t="str">
        <f t="shared" si="123"/>
        <v/>
      </c>
      <c r="Z432" s="31"/>
    </row>
    <row r="433" spans="2:26" outlineLevel="1">
      <c r="B433" s="14">
        <f t="shared" si="107"/>
        <v>430</v>
      </c>
      <c r="C433" s="37"/>
      <c r="D433" s="40"/>
      <c r="E433" s="39"/>
      <c r="F433" s="37"/>
      <c r="G433" s="39"/>
      <c r="H433" s="37"/>
      <c r="I433" s="37"/>
      <c r="J433" s="41" t="str">
        <f t="shared" si="108"/>
        <v/>
      </c>
      <c r="K433" s="12" t="str">
        <f t="shared" si="114"/>
        <v/>
      </c>
      <c r="L433" s="12" t="str">
        <f t="shared" si="115"/>
        <v/>
      </c>
      <c r="M433" s="12" t="str">
        <f t="shared" si="109"/>
        <v/>
      </c>
      <c r="N433" s="12" t="str">
        <f t="shared" si="110"/>
        <v/>
      </c>
      <c r="O433" s="12" t="str">
        <f t="shared" si="111"/>
        <v/>
      </c>
      <c r="P433" s="12" t="str">
        <f t="shared" si="112"/>
        <v/>
      </c>
      <c r="Q433" s="12" t="str">
        <f t="shared" si="116"/>
        <v/>
      </c>
      <c r="R433" s="26" t="str">
        <f t="shared" si="113"/>
        <v/>
      </c>
      <c r="S433" s="26" t="str">
        <f t="shared" si="122"/>
        <v/>
      </c>
      <c r="T433" s="26" t="str">
        <f t="shared" si="117"/>
        <v/>
      </c>
      <c r="U433" s="26" t="str">
        <f t="shared" si="118"/>
        <v/>
      </c>
      <c r="V433" s="26" t="str">
        <f t="shared" si="119"/>
        <v/>
      </c>
      <c r="W433" s="20" t="str">
        <f t="shared" si="120"/>
        <v/>
      </c>
      <c r="X433" s="20" t="str">
        <f t="shared" si="121"/>
        <v/>
      </c>
      <c r="Y433" s="86" t="str">
        <f t="shared" si="123"/>
        <v/>
      </c>
      <c r="Z433" s="31"/>
    </row>
    <row r="434" spans="2:26" outlineLevel="1">
      <c r="B434" s="14">
        <f t="shared" si="107"/>
        <v>431</v>
      </c>
      <c r="C434" s="37"/>
      <c r="D434" s="40"/>
      <c r="E434" s="39"/>
      <c r="F434" s="37"/>
      <c r="G434" s="39"/>
      <c r="H434" s="37"/>
      <c r="I434" s="37"/>
      <c r="J434" s="41" t="str">
        <f t="shared" si="108"/>
        <v/>
      </c>
      <c r="K434" s="12" t="str">
        <f t="shared" si="114"/>
        <v/>
      </c>
      <c r="L434" s="12" t="str">
        <f t="shared" si="115"/>
        <v/>
      </c>
      <c r="M434" s="12" t="str">
        <f t="shared" si="109"/>
        <v/>
      </c>
      <c r="N434" s="12" t="str">
        <f t="shared" si="110"/>
        <v/>
      </c>
      <c r="O434" s="12" t="str">
        <f t="shared" si="111"/>
        <v/>
      </c>
      <c r="P434" s="12" t="str">
        <f t="shared" si="112"/>
        <v/>
      </c>
      <c r="Q434" s="12" t="str">
        <f t="shared" si="116"/>
        <v/>
      </c>
      <c r="R434" s="26" t="str">
        <f t="shared" si="113"/>
        <v/>
      </c>
      <c r="S434" s="26" t="str">
        <f t="shared" si="122"/>
        <v/>
      </c>
      <c r="T434" s="26" t="str">
        <f t="shared" si="117"/>
        <v/>
      </c>
      <c r="U434" s="26" t="str">
        <f t="shared" si="118"/>
        <v/>
      </c>
      <c r="V434" s="26" t="str">
        <f t="shared" si="119"/>
        <v/>
      </c>
      <c r="W434" s="20" t="str">
        <f t="shared" si="120"/>
        <v/>
      </c>
      <c r="X434" s="20" t="str">
        <f t="shared" si="121"/>
        <v/>
      </c>
      <c r="Y434" s="86" t="str">
        <f t="shared" si="123"/>
        <v/>
      </c>
      <c r="Z434" s="31"/>
    </row>
    <row r="435" spans="2:26" outlineLevel="1">
      <c r="B435" s="14">
        <f t="shared" si="107"/>
        <v>432</v>
      </c>
      <c r="C435" s="37"/>
      <c r="D435" s="40"/>
      <c r="E435" s="39"/>
      <c r="F435" s="37"/>
      <c r="G435" s="39"/>
      <c r="H435" s="37"/>
      <c r="I435" s="37"/>
      <c r="J435" s="41" t="str">
        <f t="shared" si="108"/>
        <v/>
      </c>
      <c r="K435" s="12" t="str">
        <f t="shared" si="114"/>
        <v/>
      </c>
      <c r="L435" s="12" t="str">
        <f t="shared" si="115"/>
        <v/>
      </c>
      <c r="M435" s="12" t="str">
        <f t="shared" si="109"/>
        <v/>
      </c>
      <c r="N435" s="12" t="str">
        <f t="shared" si="110"/>
        <v/>
      </c>
      <c r="O435" s="12" t="str">
        <f t="shared" si="111"/>
        <v/>
      </c>
      <c r="P435" s="12" t="str">
        <f t="shared" si="112"/>
        <v/>
      </c>
      <c r="Q435" s="12" t="str">
        <f t="shared" si="116"/>
        <v/>
      </c>
      <c r="R435" s="26" t="str">
        <f t="shared" si="113"/>
        <v/>
      </c>
      <c r="S435" s="26" t="str">
        <f t="shared" si="122"/>
        <v/>
      </c>
      <c r="T435" s="26" t="str">
        <f t="shared" si="117"/>
        <v/>
      </c>
      <c r="U435" s="26" t="str">
        <f t="shared" si="118"/>
        <v/>
      </c>
      <c r="V435" s="26" t="str">
        <f t="shared" si="119"/>
        <v/>
      </c>
      <c r="W435" s="20" t="str">
        <f t="shared" si="120"/>
        <v/>
      </c>
      <c r="X435" s="20" t="str">
        <f t="shared" si="121"/>
        <v/>
      </c>
      <c r="Y435" s="86" t="str">
        <f t="shared" si="123"/>
        <v/>
      </c>
      <c r="Z435" s="31"/>
    </row>
    <row r="436" spans="2:26" outlineLevel="1">
      <c r="B436" s="14">
        <f t="shared" si="107"/>
        <v>433</v>
      </c>
      <c r="C436" s="37"/>
      <c r="D436" s="40"/>
      <c r="E436" s="39"/>
      <c r="F436" s="37"/>
      <c r="G436" s="39"/>
      <c r="H436" s="37"/>
      <c r="I436" s="37"/>
      <c r="J436" s="41" t="str">
        <f t="shared" si="108"/>
        <v/>
      </c>
      <c r="K436" s="12" t="str">
        <f t="shared" si="114"/>
        <v/>
      </c>
      <c r="L436" s="12" t="str">
        <f t="shared" si="115"/>
        <v/>
      </c>
      <c r="M436" s="12" t="str">
        <f t="shared" si="109"/>
        <v/>
      </c>
      <c r="N436" s="12" t="str">
        <f t="shared" si="110"/>
        <v/>
      </c>
      <c r="O436" s="12" t="str">
        <f t="shared" si="111"/>
        <v/>
      </c>
      <c r="P436" s="12" t="str">
        <f t="shared" si="112"/>
        <v/>
      </c>
      <c r="Q436" s="12" t="str">
        <f t="shared" si="116"/>
        <v/>
      </c>
      <c r="R436" s="26" t="str">
        <f t="shared" si="113"/>
        <v/>
      </c>
      <c r="S436" s="26" t="str">
        <f t="shared" si="122"/>
        <v/>
      </c>
      <c r="T436" s="26" t="str">
        <f t="shared" si="117"/>
        <v/>
      </c>
      <c r="U436" s="26" t="str">
        <f t="shared" si="118"/>
        <v/>
      </c>
      <c r="V436" s="26" t="str">
        <f t="shared" si="119"/>
        <v/>
      </c>
      <c r="W436" s="20" t="str">
        <f t="shared" si="120"/>
        <v/>
      </c>
      <c r="X436" s="20" t="str">
        <f t="shared" si="121"/>
        <v/>
      </c>
      <c r="Y436" s="86" t="str">
        <f t="shared" si="123"/>
        <v/>
      </c>
      <c r="Z436" s="31"/>
    </row>
    <row r="437" spans="2:26" outlineLevel="1">
      <c r="B437" s="14">
        <f t="shared" si="107"/>
        <v>434</v>
      </c>
      <c r="C437" s="37"/>
      <c r="D437" s="40"/>
      <c r="E437" s="39"/>
      <c r="F437" s="37"/>
      <c r="G437" s="39"/>
      <c r="H437" s="37"/>
      <c r="I437" s="37"/>
      <c r="J437" s="41" t="str">
        <f t="shared" si="108"/>
        <v/>
      </c>
      <c r="K437" s="12" t="str">
        <f t="shared" si="114"/>
        <v/>
      </c>
      <c r="L437" s="12" t="str">
        <f t="shared" si="115"/>
        <v/>
      </c>
      <c r="M437" s="12" t="str">
        <f t="shared" si="109"/>
        <v/>
      </c>
      <c r="N437" s="12" t="str">
        <f t="shared" si="110"/>
        <v/>
      </c>
      <c r="O437" s="12" t="str">
        <f t="shared" si="111"/>
        <v/>
      </c>
      <c r="P437" s="12" t="str">
        <f t="shared" si="112"/>
        <v/>
      </c>
      <c r="Q437" s="12" t="str">
        <f t="shared" si="116"/>
        <v/>
      </c>
      <c r="R437" s="26" t="str">
        <f t="shared" si="113"/>
        <v/>
      </c>
      <c r="S437" s="26" t="str">
        <f t="shared" si="122"/>
        <v/>
      </c>
      <c r="T437" s="26" t="str">
        <f t="shared" si="117"/>
        <v/>
      </c>
      <c r="U437" s="26" t="str">
        <f t="shared" si="118"/>
        <v/>
      </c>
      <c r="V437" s="26" t="str">
        <f t="shared" si="119"/>
        <v/>
      </c>
      <c r="W437" s="20" t="str">
        <f t="shared" si="120"/>
        <v/>
      </c>
      <c r="X437" s="20" t="str">
        <f t="shared" si="121"/>
        <v/>
      </c>
      <c r="Y437" s="86" t="str">
        <f t="shared" si="123"/>
        <v/>
      </c>
      <c r="Z437" s="31"/>
    </row>
    <row r="438" spans="2:26" outlineLevel="1">
      <c r="B438" s="14">
        <f t="shared" si="107"/>
        <v>435</v>
      </c>
      <c r="C438" s="37"/>
      <c r="D438" s="40"/>
      <c r="E438" s="39"/>
      <c r="F438" s="37"/>
      <c r="G438" s="39"/>
      <c r="H438" s="37"/>
      <c r="I438" s="37"/>
      <c r="J438" s="41" t="str">
        <f t="shared" si="108"/>
        <v/>
      </c>
      <c r="K438" s="12" t="str">
        <f t="shared" si="114"/>
        <v/>
      </c>
      <c r="L438" s="12" t="str">
        <f t="shared" si="115"/>
        <v/>
      </c>
      <c r="M438" s="12" t="str">
        <f t="shared" si="109"/>
        <v/>
      </c>
      <c r="N438" s="12" t="str">
        <f t="shared" si="110"/>
        <v/>
      </c>
      <c r="O438" s="12" t="str">
        <f t="shared" si="111"/>
        <v/>
      </c>
      <c r="P438" s="12" t="str">
        <f t="shared" si="112"/>
        <v/>
      </c>
      <c r="Q438" s="12" t="str">
        <f t="shared" si="116"/>
        <v/>
      </c>
      <c r="R438" s="26" t="str">
        <f t="shared" si="113"/>
        <v/>
      </c>
      <c r="S438" s="26" t="str">
        <f t="shared" si="122"/>
        <v/>
      </c>
      <c r="T438" s="26" t="str">
        <f t="shared" si="117"/>
        <v/>
      </c>
      <c r="U438" s="26" t="str">
        <f t="shared" si="118"/>
        <v/>
      </c>
      <c r="V438" s="26" t="str">
        <f t="shared" si="119"/>
        <v/>
      </c>
      <c r="W438" s="20" t="str">
        <f t="shared" si="120"/>
        <v/>
      </c>
      <c r="X438" s="20" t="str">
        <f t="shared" si="121"/>
        <v/>
      </c>
      <c r="Y438" s="86" t="str">
        <f t="shared" si="123"/>
        <v/>
      </c>
      <c r="Z438" s="31"/>
    </row>
    <row r="439" spans="2:26" outlineLevel="1">
      <c r="B439" s="14">
        <f t="shared" si="107"/>
        <v>436</v>
      </c>
      <c r="C439" s="37"/>
      <c r="D439" s="40"/>
      <c r="E439" s="39"/>
      <c r="F439" s="37"/>
      <c r="G439" s="39"/>
      <c r="H439" s="37"/>
      <c r="I439" s="37"/>
      <c r="J439" s="41" t="str">
        <f t="shared" si="108"/>
        <v/>
      </c>
      <c r="K439" s="12" t="str">
        <f t="shared" si="114"/>
        <v/>
      </c>
      <c r="L439" s="12" t="str">
        <f t="shared" si="115"/>
        <v/>
      </c>
      <c r="M439" s="12" t="str">
        <f t="shared" si="109"/>
        <v/>
      </c>
      <c r="N439" s="12" t="str">
        <f t="shared" si="110"/>
        <v/>
      </c>
      <c r="O439" s="12" t="str">
        <f t="shared" si="111"/>
        <v/>
      </c>
      <c r="P439" s="12" t="str">
        <f t="shared" si="112"/>
        <v/>
      </c>
      <c r="Q439" s="12" t="str">
        <f t="shared" si="116"/>
        <v/>
      </c>
      <c r="R439" s="26" t="str">
        <f t="shared" si="113"/>
        <v/>
      </c>
      <c r="S439" s="26" t="str">
        <f t="shared" si="122"/>
        <v/>
      </c>
      <c r="T439" s="26" t="str">
        <f t="shared" si="117"/>
        <v/>
      </c>
      <c r="U439" s="26" t="str">
        <f t="shared" si="118"/>
        <v/>
      </c>
      <c r="V439" s="26" t="str">
        <f t="shared" si="119"/>
        <v/>
      </c>
      <c r="W439" s="20" t="str">
        <f t="shared" si="120"/>
        <v/>
      </c>
      <c r="X439" s="20" t="str">
        <f t="shared" si="121"/>
        <v/>
      </c>
      <c r="Y439" s="86" t="str">
        <f t="shared" si="123"/>
        <v/>
      </c>
      <c r="Z439" s="31"/>
    </row>
    <row r="440" spans="2:26" outlineLevel="1">
      <c r="B440" s="14">
        <f t="shared" si="107"/>
        <v>437</v>
      </c>
      <c r="C440" s="37"/>
      <c r="D440" s="40"/>
      <c r="E440" s="39"/>
      <c r="F440" s="37"/>
      <c r="G440" s="39"/>
      <c r="H440" s="37"/>
      <c r="I440" s="37"/>
      <c r="J440" s="41" t="str">
        <f t="shared" si="108"/>
        <v/>
      </c>
      <c r="K440" s="12" t="str">
        <f t="shared" si="114"/>
        <v/>
      </c>
      <c r="L440" s="12" t="str">
        <f t="shared" si="115"/>
        <v/>
      </c>
      <c r="M440" s="12" t="str">
        <f t="shared" si="109"/>
        <v/>
      </c>
      <c r="N440" s="12" t="str">
        <f t="shared" si="110"/>
        <v/>
      </c>
      <c r="O440" s="12" t="str">
        <f t="shared" si="111"/>
        <v/>
      </c>
      <c r="P440" s="12" t="str">
        <f t="shared" si="112"/>
        <v/>
      </c>
      <c r="Q440" s="12" t="str">
        <f t="shared" si="116"/>
        <v/>
      </c>
      <c r="R440" s="26" t="str">
        <f t="shared" si="113"/>
        <v/>
      </c>
      <c r="S440" s="26" t="str">
        <f t="shared" si="122"/>
        <v/>
      </c>
      <c r="T440" s="26" t="str">
        <f t="shared" si="117"/>
        <v/>
      </c>
      <c r="U440" s="26" t="str">
        <f t="shared" si="118"/>
        <v/>
      </c>
      <c r="V440" s="26" t="str">
        <f t="shared" si="119"/>
        <v/>
      </c>
      <c r="W440" s="20" t="str">
        <f t="shared" si="120"/>
        <v/>
      </c>
      <c r="X440" s="20" t="str">
        <f t="shared" si="121"/>
        <v/>
      </c>
      <c r="Y440" s="86" t="str">
        <f t="shared" si="123"/>
        <v/>
      </c>
      <c r="Z440" s="31"/>
    </row>
    <row r="441" spans="2:26" outlineLevel="1">
      <c r="B441" s="14">
        <f t="shared" si="107"/>
        <v>438</v>
      </c>
      <c r="C441" s="37"/>
      <c r="D441" s="40"/>
      <c r="E441" s="39"/>
      <c r="F441" s="37"/>
      <c r="G441" s="39"/>
      <c r="H441" s="37"/>
      <c r="I441" s="37"/>
      <c r="J441" s="41" t="str">
        <f t="shared" si="108"/>
        <v/>
      </c>
      <c r="K441" s="12" t="str">
        <f t="shared" si="114"/>
        <v/>
      </c>
      <c r="L441" s="12" t="str">
        <f t="shared" si="115"/>
        <v/>
      </c>
      <c r="M441" s="12" t="str">
        <f t="shared" si="109"/>
        <v/>
      </c>
      <c r="N441" s="12" t="str">
        <f t="shared" si="110"/>
        <v/>
      </c>
      <c r="O441" s="12" t="str">
        <f t="shared" si="111"/>
        <v/>
      </c>
      <c r="P441" s="12" t="str">
        <f t="shared" si="112"/>
        <v/>
      </c>
      <c r="Q441" s="12" t="str">
        <f t="shared" si="116"/>
        <v/>
      </c>
      <c r="R441" s="26" t="str">
        <f t="shared" si="113"/>
        <v/>
      </c>
      <c r="S441" s="26" t="str">
        <f t="shared" si="122"/>
        <v/>
      </c>
      <c r="T441" s="26" t="str">
        <f t="shared" si="117"/>
        <v/>
      </c>
      <c r="U441" s="26" t="str">
        <f t="shared" si="118"/>
        <v/>
      </c>
      <c r="V441" s="26" t="str">
        <f t="shared" si="119"/>
        <v/>
      </c>
      <c r="W441" s="20" t="str">
        <f t="shared" si="120"/>
        <v/>
      </c>
      <c r="X441" s="20" t="str">
        <f t="shared" si="121"/>
        <v/>
      </c>
      <c r="Y441" s="86" t="str">
        <f t="shared" si="123"/>
        <v/>
      </c>
      <c r="Z441" s="31"/>
    </row>
    <row r="442" spans="2:26" outlineLevel="1">
      <c r="B442" s="14">
        <f t="shared" si="107"/>
        <v>439</v>
      </c>
      <c r="C442" s="37"/>
      <c r="D442" s="40"/>
      <c r="E442" s="39"/>
      <c r="F442" s="37"/>
      <c r="G442" s="39"/>
      <c r="H442" s="37"/>
      <c r="I442" s="37"/>
      <c r="J442" s="41" t="str">
        <f t="shared" si="108"/>
        <v/>
      </c>
      <c r="K442" s="12" t="str">
        <f t="shared" si="114"/>
        <v/>
      </c>
      <c r="L442" s="12" t="str">
        <f t="shared" si="115"/>
        <v/>
      </c>
      <c r="M442" s="12" t="str">
        <f t="shared" si="109"/>
        <v/>
      </c>
      <c r="N442" s="12" t="str">
        <f t="shared" si="110"/>
        <v/>
      </c>
      <c r="O442" s="12" t="str">
        <f t="shared" si="111"/>
        <v/>
      </c>
      <c r="P442" s="12" t="str">
        <f t="shared" si="112"/>
        <v/>
      </c>
      <c r="Q442" s="12" t="str">
        <f t="shared" si="116"/>
        <v/>
      </c>
      <c r="R442" s="26" t="str">
        <f t="shared" si="113"/>
        <v/>
      </c>
      <c r="S442" s="26" t="str">
        <f t="shared" si="122"/>
        <v/>
      </c>
      <c r="T442" s="26" t="str">
        <f t="shared" si="117"/>
        <v/>
      </c>
      <c r="U442" s="26" t="str">
        <f t="shared" si="118"/>
        <v/>
      </c>
      <c r="V442" s="26" t="str">
        <f t="shared" si="119"/>
        <v/>
      </c>
      <c r="W442" s="20" t="str">
        <f t="shared" si="120"/>
        <v/>
      </c>
      <c r="X442" s="20" t="str">
        <f t="shared" si="121"/>
        <v/>
      </c>
      <c r="Y442" s="86" t="str">
        <f t="shared" si="123"/>
        <v/>
      </c>
      <c r="Z442" s="31"/>
    </row>
    <row r="443" spans="2:26" outlineLevel="1">
      <c r="B443" s="14">
        <f t="shared" si="107"/>
        <v>440</v>
      </c>
      <c r="C443" s="37"/>
      <c r="D443" s="40"/>
      <c r="E443" s="39"/>
      <c r="F443" s="37"/>
      <c r="G443" s="39"/>
      <c r="H443" s="37"/>
      <c r="I443" s="37"/>
      <c r="J443" s="41" t="str">
        <f t="shared" si="108"/>
        <v/>
      </c>
      <c r="K443" s="12" t="str">
        <f t="shared" si="114"/>
        <v/>
      </c>
      <c r="L443" s="12" t="str">
        <f t="shared" si="115"/>
        <v/>
      </c>
      <c r="M443" s="12" t="str">
        <f t="shared" si="109"/>
        <v/>
      </c>
      <c r="N443" s="12" t="str">
        <f t="shared" si="110"/>
        <v/>
      </c>
      <c r="O443" s="12" t="str">
        <f t="shared" si="111"/>
        <v/>
      </c>
      <c r="P443" s="12" t="str">
        <f t="shared" si="112"/>
        <v/>
      </c>
      <c r="Q443" s="12" t="str">
        <f t="shared" si="116"/>
        <v/>
      </c>
      <c r="R443" s="26" t="str">
        <f t="shared" si="113"/>
        <v/>
      </c>
      <c r="S443" s="26" t="str">
        <f t="shared" si="122"/>
        <v/>
      </c>
      <c r="T443" s="26" t="str">
        <f t="shared" si="117"/>
        <v/>
      </c>
      <c r="U443" s="26" t="str">
        <f t="shared" si="118"/>
        <v/>
      </c>
      <c r="V443" s="26" t="str">
        <f t="shared" si="119"/>
        <v/>
      </c>
      <c r="W443" s="20" t="str">
        <f t="shared" si="120"/>
        <v/>
      </c>
      <c r="X443" s="20" t="str">
        <f t="shared" si="121"/>
        <v/>
      </c>
      <c r="Y443" s="86" t="str">
        <f t="shared" si="123"/>
        <v/>
      </c>
      <c r="Z443" s="31"/>
    </row>
    <row r="444" spans="2:26" outlineLevel="1">
      <c r="B444" s="14">
        <f t="shared" si="107"/>
        <v>441</v>
      </c>
      <c r="C444" s="37"/>
      <c r="D444" s="40"/>
      <c r="E444" s="39"/>
      <c r="F444" s="37"/>
      <c r="G444" s="39"/>
      <c r="H444" s="37"/>
      <c r="I444" s="37"/>
      <c r="J444" s="41" t="str">
        <f t="shared" si="108"/>
        <v/>
      </c>
      <c r="K444" s="12" t="str">
        <f t="shared" si="114"/>
        <v/>
      </c>
      <c r="L444" s="12" t="str">
        <f t="shared" si="115"/>
        <v/>
      </c>
      <c r="M444" s="12" t="str">
        <f t="shared" si="109"/>
        <v/>
      </c>
      <c r="N444" s="12" t="str">
        <f t="shared" si="110"/>
        <v/>
      </c>
      <c r="O444" s="12" t="str">
        <f t="shared" si="111"/>
        <v/>
      </c>
      <c r="P444" s="12" t="str">
        <f t="shared" si="112"/>
        <v/>
      </c>
      <c r="Q444" s="12" t="str">
        <f t="shared" si="116"/>
        <v/>
      </c>
      <c r="R444" s="26" t="str">
        <f t="shared" si="113"/>
        <v/>
      </c>
      <c r="S444" s="26" t="str">
        <f t="shared" si="122"/>
        <v/>
      </c>
      <c r="T444" s="26" t="str">
        <f t="shared" si="117"/>
        <v/>
      </c>
      <c r="U444" s="26" t="str">
        <f t="shared" si="118"/>
        <v/>
      </c>
      <c r="V444" s="26" t="str">
        <f t="shared" si="119"/>
        <v/>
      </c>
      <c r="W444" s="20" t="str">
        <f t="shared" si="120"/>
        <v/>
      </c>
      <c r="X444" s="20" t="str">
        <f t="shared" si="121"/>
        <v/>
      </c>
      <c r="Y444" s="86" t="str">
        <f t="shared" si="123"/>
        <v/>
      </c>
      <c r="Z444" s="31"/>
    </row>
    <row r="445" spans="2:26" outlineLevel="1">
      <c r="B445" s="14">
        <f t="shared" si="107"/>
        <v>442</v>
      </c>
      <c r="C445" s="37"/>
      <c r="D445" s="40"/>
      <c r="E445" s="39"/>
      <c r="F445" s="37"/>
      <c r="G445" s="39"/>
      <c r="H445" s="37"/>
      <c r="I445" s="37"/>
      <c r="J445" s="41" t="str">
        <f t="shared" si="108"/>
        <v/>
      </c>
      <c r="K445" s="12" t="str">
        <f t="shared" si="114"/>
        <v/>
      </c>
      <c r="L445" s="12" t="str">
        <f t="shared" si="115"/>
        <v/>
      </c>
      <c r="M445" s="12" t="str">
        <f t="shared" si="109"/>
        <v/>
      </c>
      <c r="N445" s="12" t="str">
        <f t="shared" si="110"/>
        <v/>
      </c>
      <c r="O445" s="12" t="str">
        <f t="shared" si="111"/>
        <v/>
      </c>
      <c r="P445" s="12" t="str">
        <f t="shared" si="112"/>
        <v/>
      </c>
      <c r="Q445" s="12" t="str">
        <f t="shared" si="116"/>
        <v/>
      </c>
      <c r="R445" s="26" t="str">
        <f t="shared" si="113"/>
        <v/>
      </c>
      <c r="S445" s="26" t="str">
        <f t="shared" si="122"/>
        <v/>
      </c>
      <c r="T445" s="26" t="str">
        <f t="shared" si="117"/>
        <v/>
      </c>
      <c r="U445" s="26" t="str">
        <f t="shared" si="118"/>
        <v/>
      </c>
      <c r="V445" s="26" t="str">
        <f t="shared" si="119"/>
        <v/>
      </c>
      <c r="W445" s="20" t="str">
        <f t="shared" si="120"/>
        <v/>
      </c>
      <c r="X445" s="20" t="str">
        <f t="shared" si="121"/>
        <v/>
      </c>
      <c r="Y445" s="86" t="str">
        <f t="shared" si="123"/>
        <v/>
      </c>
      <c r="Z445" s="31"/>
    </row>
    <row r="446" spans="2:26" outlineLevel="1">
      <c r="B446" s="14">
        <f t="shared" si="107"/>
        <v>443</v>
      </c>
      <c r="C446" s="37"/>
      <c r="D446" s="40"/>
      <c r="E446" s="39"/>
      <c r="F446" s="37"/>
      <c r="G446" s="39"/>
      <c r="H446" s="37"/>
      <c r="I446" s="37"/>
      <c r="J446" s="41" t="str">
        <f t="shared" si="108"/>
        <v/>
      </c>
      <c r="K446" s="12" t="str">
        <f t="shared" si="114"/>
        <v/>
      </c>
      <c r="L446" s="12" t="str">
        <f t="shared" si="115"/>
        <v/>
      </c>
      <c r="M446" s="12" t="str">
        <f t="shared" si="109"/>
        <v/>
      </c>
      <c r="N446" s="12" t="str">
        <f t="shared" si="110"/>
        <v/>
      </c>
      <c r="O446" s="12" t="str">
        <f t="shared" si="111"/>
        <v/>
      </c>
      <c r="P446" s="12" t="str">
        <f t="shared" si="112"/>
        <v/>
      </c>
      <c r="Q446" s="12" t="str">
        <f t="shared" si="116"/>
        <v/>
      </c>
      <c r="R446" s="26" t="str">
        <f t="shared" si="113"/>
        <v/>
      </c>
      <c r="S446" s="26" t="str">
        <f t="shared" si="122"/>
        <v/>
      </c>
      <c r="T446" s="26" t="str">
        <f t="shared" si="117"/>
        <v/>
      </c>
      <c r="U446" s="26" t="str">
        <f t="shared" si="118"/>
        <v/>
      </c>
      <c r="V446" s="26" t="str">
        <f t="shared" si="119"/>
        <v/>
      </c>
      <c r="W446" s="20" t="str">
        <f t="shared" si="120"/>
        <v/>
      </c>
      <c r="X446" s="20" t="str">
        <f t="shared" si="121"/>
        <v/>
      </c>
      <c r="Y446" s="86" t="str">
        <f t="shared" si="123"/>
        <v/>
      </c>
      <c r="Z446" s="31"/>
    </row>
    <row r="447" spans="2:26" outlineLevel="1">
      <c r="B447" s="14">
        <f t="shared" si="107"/>
        <v>444</v>
      </c>
      <c r="C447" s="37"/>
      <c r="D447" s="40"/>
      <c r="E447" s="39"/>
      <c r="F447" s="37"/>
      <c r="G447" s="39"/>
      <c r="H447" s="37"/>
      <c r="I447" s="37"/>
      <c r="J447" s="41" t="str">
        <f t="shared" si="108"/>
        <v/>
      </c>
      <c r="K447" s="12" t="str">
        <f t="shared" si="114"/>
        <v/>
      </c>
      <c r="L447" s="12" t="str">
        <f t="shared" si="115"/>
        <v/>
      </c>
      <c r="M447" s="12" t="str">
        <f t="shared" si="109"/>
        <v/>
      </c>
      <c r="N447" s="12" t="str">
        <f t="shared" si="110"/>
        <v/>
      </c>
      <c r="O447" s="12" t="str">
        <f t="shared" si="111"/>
        <v/>
      </c>
      <c r="P447" s="12" t="str">
        <f t="shared" si="112"/>
        <v/>
      </c>
      <c r="Q447" s="12" t="str">
        <f t="shared" si="116"/>
        <v/>
      </c>
      <c r="R447" s="26" t="str">
        <f t="shared" si="113"/>
        <v/>
      </c>
      <c r="S447" s="26" t="str">
        <f t="shared" si="122"/>
        <v/>
      </c>
      <c r="T447" s="26" t="str">
        <f t="shared" si="117"/>
        <v/>
      </c>
      <c r="U447" s="26" t="str">
        <f t="shared" si="118"/>
        <v/>
      </c>
      <c r="V447" s="26" t="str">
        <f t="shared" si="119"/>
        <v/>
      </c>
      <c r="W447" s="20" t="str">
        <f t="shared" si="120"/>
        <v/>
      </c>
      <c r="X447" s="20" t="str">
        <f t="shared" si="121"/>
        <v/>
      </c>
      <c r="Y447" s="86" t="str">
        <f t="shared" si="123"/>
        <v/>
      </c>
      <c r="Z447" s="31"/>
    </row>
    <row r="448" spans="2:26" outlineLevel="1">
      <c r="B448" s="14">
        <f t="shared" si="107"/>
        <v>445</v>
      </c>
      <c r="C448" s="37"/>
      <c r="D448" s="40"/>
      <c r="E448" s="39"/>
      <c r="F448" s="37"/>
      <c r="G448" s="39"/>
      <c r="H448" s="37"/>
      <c r="I448" s="37"/>
      <c r="J448" s="41" t="str">
        <f t="shared" si="108"/>
        <v/>
      </c>
      <c r="K448" s="12" t="str">
        <f t="shared" si="114"/>
        <v/>
      </c>
      <c r="L448" s="12" t="str">
        <f t="shared" si="115"/>
        <v/>
      </c>
      <c r="M448" s="12" t="str">
        <f t="shared" si="109"/>
        <v/>
      </c>
      <c r="N448" s="12" t="str">
        <f t="shared" si="110"/>
        <v/>
      </c>
      <c r="O448" s="12" t="str">
        <f t="shared" si="111"/>
        <v/>
      </c>
      <c r="P448" s="12" t="str">
        <f t="shared" si="112"/>
        <v/>
      </c>
      <c r="Q448" s="12" t="str">
        <f t="shared" si="116"/>
        <v/>
      </c>
      <c r="R448" s="26" t="str">
        <f t="shared" si="113"/>
        <v/>
      </c>
      <c r="S448" s="26" t="str">
        <f t="shared" si="122"/>
        <v/>
      </c>
      <c r="T448" s="26" t="str">
        <f t="shared" si="117"/>
        <v/>
      </c>
      <c r="U448" s="26" t="str">
        <f t="shared" si="118"/>
        <v/>
      </c>
      <c r="V448" s="26" t="str">
        <f t="shared" si="119"/>
        <v/>
      </c>
      <c r="W448" s="20" t="str">
        <f t="shared" si="120"/>
        <v/>
      </c>
      <c r="X448" s="20" t="str">
        <f t="shared" si="121"/>
        <v/>
      </c>
      <c r="Y448" s="86" t="str">
        <f t="shared" si="123"/>
        <v/>
      </c>
      <c r="Z448" s="31"/>
    </row>
    <row r="449" spans="2:26" outlineLevel="1">
      <c r="B449" s="14">
        <f t="shared" si="107"/>
        <v>446</v>
      </c>
      <c r="C449" s="37"/>
      <c r="D449" s="40"/>
      <c r="E449" s="39"/>
      <c r="F449" s="37"/>
      <c r="G449" s="39"/>
      <c r="H449" s="37"/>
      <c r="I449" s="37"/>
      <c r="J449" s="41" t="str">
        <f t="shared" si="108"/>
        <v/>
      </c>
      <c r="K449" s="12" t="str">
        <f t="shared" si="114"/>
        <v/>
      </c>
      <c r="L449" s="12" t="str">
        <f t="shared" si="115"/>
        <v/>
      </c>
      <c r="M449" s="12" t="str">
        <f t="shared" si="109"/>
        <v/>
      </c>
      <c r="N449" s="12" t="str">
        <f t="shared" si="110"/>
        <v/>
      </c>
      <c r="O449" s="12" t="str">
        <f t="shared" si="111"/>
        <v/>
      </c>
      <c r="P449" s="12" t="str">
        <f t="shared" si="112"/>
        <v/>
      </c>
      <c r="Q449" s="12" t="str">
        <f t="shared" si="116"/>
        <v/>
      </c>
      <c r="R449" s="26" t="str">
        <f t="shared" si="113"/>
        <v/>
      </c>
      <c r="S449" s="26" t="str">
        <f t="shared" si="122"/>
        <v/>
      </c>
      <c r="T449" s="26" t="str">
        <f t="shared" si="117"/>
        <v/>
      </c>
      <c r="U449" s="26" t="str">
        <f t="shared" si="118"/>
        <v/>
      </c>
      <c r="V449" s="26" t="str">
        <f t="shared" si="119"/>
        <v/>
      </c>
      <c r="W449" s="20" t="str">
        <f t="shared" si="120"/>
        <v/>
      </c>
      <c r="X449" s="20" t="str">
        <f t="shared" si="121"/>
        <v/>
      </c>
      <c r="Y449" s="86" t="str">
        <f t="shared" si="123"/>
        <v/>
      </c>
      <c r="Z449" s="31"/>
    </row>
    <row r="450" spans="2:26" outlineLevel="1">
      <c r="B450" s="14">
        <f t="shared" ref="B450:B513" si="124">1+B449</f>
        <v>447</v>
      </c>
      <c r="C450" s="37"/>
      <c r="D450" s="40"/>
      <c r="E450" s="39"/>
      <c r="F450" s="37"/>
      <c r="G450" s="39"/>
      <c r="H450" s="37"/>
      <c r="I450" s="37"/>
      <c r="J450" s="41" t="str">
        <f t="shared" si="108"/>
        <v/>
      </c>
      <c r="K450" s="12" t="str">
        <f t="shared" si="114"/>
        <v/>
      </c>
      <c r="L450" s="12" t="str">
        <f t="shared" si="115"/>
        <v/>
      </c>
      <c r="M450" s="12" t="str">
        <f t="shared" si="109"/>
        <v/>
      </c>
      <c r="N450" s="12" t="str">
        <f t="shared" si="110"/>
        <v/>
      </c>
      <c r="O450" s="12" t="str">
        <f t="shared" si="111"/>
        <v/>
      </c>
      <c r="P450" s="12" t="str">
        <f t="shared" si="112"/>
        <v/>
      </c>
      <c r="Q450" s="12" t="str">
        <f t="shared" si="116"/>
        <v/>
      </c>
      <c r="R450" s="26" t="str">
        <f t="shared" si="113"/>
        <v/>
      </c>
      <c r="S450" s="26" t="str">
        <f t="shared" si="122"/>
        <v/>
      </c>
      <c r="T450" s="26" t="str">
        <f t="shared" si="117"/>
        <v/>
      </c>
      <c r="U450" s="26" t="str">
        <f t="shared" si="118"/>
        <v/>
      </c>
      <c r="V450" s="26" t="str">
        <f t="shared" si="119"/>
        <v/>
      </c>
      <c r="W450" s="20" t="str">
        <f t="shared" si="120"/>
        <v/>
      </c>
      <c r="X450" s="20" t="str">
        <f t="shared" si="121"/>
        <v/>
      </c>
      <c r="Y450" s="86" t="str">
        <f t="shared" si="123"/>
        <v/>
      </c>
      <c r="Z450" s="31"/>
    </row>
    <row r="451" spans="2:26" outlineLevel="1">
      <c r="B451" s="14">
        <f t="shared" si="124"/>
        <v>448</v>
      </c>
      <c r="C451" s="37"/>
      <c r="D451" s="40"/>
      <c r="E451" s="39"/>
      <c r="F451" s="37"/>
      <c r="G451" s="39"/>
      <c r="H451" s="37"/>
      <c r="I451" s="37"/>
      <c r="J451" s="41" t="str">
        <f t="shared" si="108"/>
        <v/>
      </c>
      <c r="K451" s="12" t="str">
        <f t="shared" si="114"/>
        <v/>
      </c>
      <c r="L451" s="12" t="str">
        <f t="shared" si="115"/>
        <v/>
      </c>
      <c r="M451" s="12" t="str">
        <f t="shared" si="109"/>
        <v/>
      </c>
      <c r="N451" s="12" t="str">
        <f t="shared" si="110"/>
        <v/>
      </c>
      <c r="O451" s="12" t="str">
        <f t="shared" si="111"/>
        <v/>
      </c>
      <c r="P451" s="12" t="str">
        <f t="shared" si="112"/>
        <v/>
      </c>
      <c r="Q451" s="12" t="str">
        <f t="shared" si="116"/>
        <v/>
      </c>
      <c r="R451" s="26" t="str">
        <f t="shared" si="113"/>
        <v/>
      </c>
      <c r="S451" s="26" t="str">
        <f t="shared" si="122"/>
        <v/>
      </c>
      <c r="T451" s="26" t="str">
        <f t="shared" si="117"/>
        <v/>
      </c>
      <c r="U451" s="26" t="str">
        <f t="shared" si="118"/>
        <v/>
      </c>
      <c r="V451" s="26" t="str">
        <f t="shared" si="119"/>
        <v/>
      </c>
      <c r="W451" s="20" t="str">
        <f t="shared" si="120"/>
        <v/>
      </c>
      <c r="X451" s="20" t="str">
        <f t="shared" si="121"/>
        <v/>
      </c>
      <c r="Y451" s="86" t="str">
        <f t="shared" si="123"/>
        <v/>
      </c>
      <c r="Z451" s="31"/>
    </row>
    <row r="452" spans="2:26" outlineLevel="1">
      <c r="B452" s="14">
        <f t="shared" si="124"/>
        <v>449</v>
      </c>
      <c r="C452" s="37"/>
      <c r="D452" s="40"/>
      <c r="E452" s="39"/>
      <c r="F452" s="37"/>
      <c r="G452" s="39"/>
      <c r="H452" s="37"/>
      <c r="I452" s="37"/>
      <c r="J452" s="41" t="str">
        <f t="shared" ref="J452:J515" si="125">IF(D452="","",+$E$2*D452)</f>
        <v/>
      </c>
      <c r="K452" s="12" t="str">
        <f t="shared" si="114"/>
        <v/>
      </c>
      <c r="L452" s="12" t="str">
        <f t="shared" si="115"/>
        <v/>
      </c>
      <c r="M452" s="12" t="str">
        <f t="shared" ref="M452:M515" si="126">IF(E452="","",IF($L452="x",E452/12*3.14,(LEFT($E452,FIND("*",$E452)-1)+0)*12/144*2+(RIGHT($E452,LEN($E452)-FIND("*",$E452)))*12/144*2))</f>
        <v/>
      </c>
      <c r="N452" s="12" t="str">
        <f t="shared" ref="N452:N515" si="127">IF(E452="","",M452*IF(I452="y",MAX(0,J452-$AC$13),J452))</f>
        <v/>
      </c>
      <c r="O452" s="12" t="str">
        <f t="shared" ref="O452:O515" si="128">IF(E452="","",$AC$5*N452)</f>
        <v/>
      </c>
      <c r="P452" s="12" t="str">
        <f t="shared" ref="P452:P515" si="129">IF(D452="","",IFERROR(IF(ISERROR(FIND("*",$E452)),0,ROUND((O452*$AC$6),-1)),""))</f>
        <v/>
      </c>
      <c r="Q452" s="12" t="str">
        <f t="shared" si="116"/>
        <v/>
      </c>
      <c r="R452" s="26" t="str">
        <f t="shared" ref="R452:R515" si="130">IF(E452="","",IF(F452="x",N452*$AC$7,0))</f>
        <v/>
      </c>
      <c r="S452" s="26" t="str">
        <f t="shared" si="122"/>
        <v/>
      </c>
      <c r="T452" s="26" t="str">
        <f t="shared" si="117"/>
        <v/>
      </c>
      <c r="U452" s="26" t="str">
        <f t="shared" si="118"/>
        <v/>
      </c>
      <c r="V452" s="26" t="str">
        <f t="shared" si="119"/>
        <v/>
      </c>
      <c r="W452" s="20" t="str">
        <f t="shared" si="120"/>
        <v/>
      </c>
      <c r="X452" s="20" t="str">
        <f t="shared" si="121"/>
        <v/>
      </c>
      <c r="Y452" s="86" t="str">
        <f t="shared" si="123"/>
        <v/>
      </c>
      <c r="Z452" s="31"/>
    </row>
    <row r="453" spans="2:26" outlineLevel="1">
      <c r="B453" s="14">
        <f t="shared" si="124"/>
        <v>450</v>
      </c>
      <c r="C453" s="37"/>
      <c r="D453" s="40"/>
      <c r="E453" s="39"/>
      <c r="F453" s="37"/>
      <c r="G453" s="39"/>
      <c r="H453" s="37"/>
      <c r="I453" s="37"/>
      <c r="J453" s="41" t="str">
        <f t="shared" si="125"/>
        <v/>
      </c>
      <c r="K453" s="12" t="str">
        <f t="shared" ref="K453:K516" si="131">IF($D453="","",IF(ISERROR(FIND("*",$E453)),"","x"))</f>
        <v/>
      </c>
      <c r="L453" s="12" t="str">
        <f t="shared" ref="L453:L516" si="132">IF($D453="","",IF(ISERROR(FIND("*",$E453)),"x",""))</f>
        <v/>
      </c>
      <c r="M453" s="12" t="str">
        <f t="shared" si="126"/>
        <v/>
      </c>
      <c r="N453" s="12" t="str">
        <f t="shared" si="127"/>
        <v/>
      </c>
      <c r="O453" s="12" t="str">
        <f t="shared" si="128"/>
        <v/>
      </c>
      <c r="P453" s="12" t="str">
        <f t="shared" si="129"/>
        <v/>
      </c>
      <c r="Q453" s="12" t="str">
        <f t="shared" ref="Q453:Q516" si="133">IF(D453="","",IFERROR(IF(ISERROR(FIND("*",$E453)),INDEX($AP$5:$AP$16,MATCH($E453,$AL$5:$AL$16,0),1)*$J453,0),""))</f>
        <v/>
      </c>
      <c r="R453" s="26" t="str">
        <f t="shared" si="130"/>
        <v/>
      </c>
      <c r="S453" s="26" t="str">
        <f t="shared" si="122"/>
        <v/>
      </c>
      <c r="T453" s="26" t="str">
        <f t="shared" ref="T453:T516" si="134">IF(E453="","",IF(H453="x",IF(G453="x",0,25),0))</f>
        <v/>
      </c>
      <c r="U453" s="26" t="str">
        <f t="shared" ref="U453:U516" si="135">IF(D453="","",SUM(P453,R453,S453,T453)*$U$2)</f>
        <v/>
      </c>
      <c r="V453" s="26" t="str">
        <f t="shared" ref="V453:V516" si="136">IF(D453="","",SUM($Q453)*$V$2)</f>
        <v/>
      </c>
      <c r="W453" s="20" t="str">
        <f t="shared" ref="W453:W516" si="137">IF($D453="","",SUM(P453:U453))</f>
        <v/>
      </c>
      <c r="X453" s="20" t="str">
        <f t="shared" ref="X453:X516" si="138">IF(J453="","",ROUNDUP(J453*$AC$9+IF(R453=0,0,$AC$8*J453)+IF(G453="x",$AC$12,0)+IF(H453="x",0.5*25,0),-1))</f>
        <v/>
      </c>
      <c r="Y453" s="86" t="str">
        <f t="shared" si="123"/>
        <v/>
      </c>
      <c r="Z453" s="31"/>
    </row>
    <row r="454" spans="2:26" outlineLevel="1">
      <c r="B454" s="14">
        <f t="shared" si="124"/>
        <v>451</v>
      </c>
      <c r="C454" s="37"/>
      <c r="D454" s="40"/>
      <c r="E454" s="39"/>
      <c r="F454" s="37"/>
      <c r="G454" s="39"/>
      <c r="H454" s="37"/>
      <c r="I454" s="37"/>
      <c r="J454" s="41" t="str">
        <f t="shared" si="125"/>
        <v/>
      </c>
      <c r="K454" s="12" t="str">
        <f t="shared" si="131"/>
        <v/>
      </c>
      <c r="L454" s="12" t="str">
        <f t="shared" si="132"/>
        <v/>
      </c>
      <c r="M454" s="12" t="str">
        <f t="shared" si="126"/>
        <v/>
      </c>
      <c r="N454" s="12" t="str">
        <f t="shared" si="127"/>
        <v/>
      </c>
      <c r="O454" s="12" t="str">
        <f t="shared" si="128"/>
        <v/>
      </c>
      <c r="P454" s="12" t="str">
        <f t="shared" si="129"/>
        <v/>
      </c>
      <c r="Q454" s="12" t="str">
        <f t="shared" si="133"/>
        <v/>
      </c>
      <c r="R454" s="26" t="str">
        <f t="shared" si="130"/>
        <v/>
      </c>
      <c r="S454" s="26" t="str">
        <f t="shared" ref="S454:S517" si="139">IF(E454="","",IF(I454="x",$AC$13*INDEX($AN$19:$AN$30,MATCH($E454,$AL$19:$AL$30,0),1)*1.25,0))</f>
        <v/>
      </c>
      <c r="T454" s="26" t="str">
        <f t="shared" si="134"/>
        <v/>
      </c>
      <c r="U454" s="26" t="str">
        <f t="shared" si="135"/>
        <v/>
      </c>
      <c r="V454" s="26" t="str">
        <f t="shared" si="136"/>
        <v/>
      </c>
      <c r="W454" s="20" t="str">
        <f t="shared" si="137"/>
        <v/>
      </c>
      <c r="X454" s="20" t="str">
        <f t="shared" si="138"/>
        <v/>
      </c>
      <c r="Y454" s="86" t="str">
        <f t="shared" si="123"/>
        <v/>
      </c>
      <c r="Z454" s="31"/>
    </row>
    <row r="455" spans="2:26" outlineLevel="1">
      <c r="B455" s="14">
        <f t="shared" si="124"/>
        <v>452</v>
      </c>
      <c r="C455" s="37"/>
      <c r="D455" s="40"/>
      <c r="E455" s="39"/>
      <c r="F455" s="37"/>
      <c r="G455" s="39"/>
      <c r="H455" s="37"/>
      <c r="I455" s="37"/>
      <c r="J455" s="41" t="str">
        <f t="shared" si="125"/>
        <v/>
      </c>
      <c r="K455" s="12" t="str">
        <f t="shared" si="131"/>
        <v/>
      </c>
      <c r="L455" s="12" t="str">
        <f t="shared" si="132"/>
        <v/>
      </c>
      <c r="M455" s="12" t="str">
        <f t="shared" si="126"/>
        <v/>
      </c>
      <c r="N455" s="12" t="str">
        <f t="shared" si="127"/>
        <v/>
      </c>
      <c r="O455" s="12" t="str">
        <f t="shared" si="128"/>
        <v/>
      </c>
      <c r="P455" s="12" t="str">
        <f t="shared" si="129"/>
        <v/>
      </c>
      <c r="Q455" s="12" t="str">
        <f t="shared" si="133"/>
        <v/>
      </c>
      <c r="R455" s="26" t="str">
        <f t="shared" si="130"/>
        <v/>
      </c>
      <c r="S455" s="26" t="str">
        <f t="shared" si="139"/>
        <v/>
      </c>
      <c r="T455" s="26" t="str">
        <f t="shared" si="134"/>
        <v/>
      </c>
      <c r="U455" s="26" t="str">
        <f t="shared" si="135"/>
        <v/>
      </c>
      <c r="V455" s="26" t="str">
        <f t="shared" si="136"/>
        <v/>
      </c>
      <c r="W455" s="20" t="str">
        <f t="shared" si="137"/>
        <v/>
      </c>
      <c r="X455" s="20" t="str">
        <f t="shared" si="138"/>
        <v/>
      </c>
      <c r="Y455" s="86" t="str">
        <f t="shared" si="123"/>
        <v/>
      </c>
      <c r="Z455" s="31"/>
    </row>
    <row r="456" spans="2:26" outlineLevel="1">
      <c r="B456" s="14">
        <f t="shared" si="124"/>
        <v>453</v>
      </c>
      <c r="C456" s="37"/>
      <c r="D456" s="40"/>
      <c r="E456" s="39"/>
      <c r="F456" s="37"/>
      <c r="G456" s="39"/>
      <c r="H456" s="37"/>
      <c r="I456" s="37"/>
      <c r="J456" s="41" t="str">
        <f t="shared" si="125"/>
        <v/>
      </c>
      <c r="K456" s="12" t="str">
        <f t="shared" si="131"/>
        <v/>
      </c>
      <c r="L456" s="12" t="str">
        <f t="shared" si="132"/>
        <v/>
      </c>
      <c r="M456" s="12" t="str">
        <f t="shared" si="126"/>
        <v/>
      </c>
      <c r="N456" s="12" t="str">
        <f t="shared" si="127"/>
        <v/>
      </c>
      <c r="O456" s="12" t="str">
        <f t="shared" si="128"/>
        <v/>
      </c>
      <c r="P456" s="12" t="str">
        <f t="shared" si="129"/>
        <v/>
      </c>
      <c r="Q456" s="12" t="str">
        <f t="shared" si="133"/>
        <v/>
      </c>
      <c r="R456" s="26" t="str">
        <f t="shared" si="130"/>
        <v/>
      </c>
      <c r="S456" s="26" t="str">
        <f t="shared" si="139"/>
        <v/>
      </c>
      <c r="T456" s="26" t="str">
        <f t="shared" si="134"/>
        <v/>
      </c>
      <c r="U456" s="26" t="str">
        <f t="shared" si="135"/>
        <v/>
      </c>
      <c r="V456" s="26" t="str">
        <f t="shared" si="136"/>
        <v/>
      </c>
      <c r="W456" s="20" t="str">
        <f t="shared" si="137"/>
        <v/>
      </c>
      <c r="X456" s="20" t="str">
        <f t="shared" si="138"/>
        <v/>
      </c>
      <c r="Y456" s="86" t="str">
        <f t="shared" si="123"/>
        <v/>
      </c>
      <c r="Z456" s="31"/>
    </row>
    <row r="457" spans="2:26" outlineLevel="1">
      <c r="B457" s="14">
        <f t="shared" si="124"/>
        <v>454</v>
      </c>
      <c r="C457" s="37"/>
      <c r="D457" s="40"/>
      <c r="E457" s="39"/>
      <c r="F457" s="37"/>
      <c r="G457" s="39"/>
      <c r="H457" s="37"/>
      <c r="I457" s="37"/>
      <c r="J457" s="41" t="str">
        <f t="shared" si="125"/>
        <v/>
      </c>
      <c r="K457" s="12" t="str">
        <f t="shared" si="131"/>
        <v/>
      </c>
      <c r="L457" s="12" t="str">
        <f t="shared" si="132"/>
        <v/>
      </c>
      <c r="M457" s="12" t="str">
        <f t="shared" si="126"/>
        <v/>
      </c>
      <c r="N457" s="12" t="str">
        <f t="shared" si="127"/>
        <v/>
      </c>
      <c r="O457" s="12" t="str">
        <f t="shared" si="128"/>
        <v/>
      </c>
      <c r="P457" s="12" t="str">
        <f t="shared" si="129"/>
        <v/>
      </c>
      <c r="Q457" s="12" t="str">
        <f t="shared" si="133"/>
        <v/>
      </c>
      <c r="R457" s="26" t="str">
        <f t="shared" si="130"/>
        <v/>
      </c>
      <c r="S457" s="26" t="str">
        <f t="shared" si="139"/>
        <v/>
      </c>
      <c r="T457" s="26" t="str">
        <f t="shared" si="134"/>
        <v/>
      </c>
      <c r="U457" s="26" t="str">
        <f t="shared" si="135"/>
        <v/>
      </c>
      <c r="V457" s="26" t="str">
        <f t="shared" si="136"/>
        <v/>
      </c>
      <c r="W457" s="20" t="str">
        <f t="shared" si="137"/>
        <v/>
      </c>
      <c r="X457" s="20" t="str">
        <f t="shared" si="138"/>
        <v/>
      </c>
      <c r="Y457" s="86" t="str">
        <f t="shared" si="123"/>
        <v/>
      </c>
      <c r="Z457" s="31"/>
    </row>
    <row r="458" spans="2:26" outlineLevel="1">
      <c r="B458" s="14">
        <f t="shared" si="124"/>
        <v>455</v>
      </c>
      <c r="C458" s="37"/>
      <c r="D458" s="40"/>
      <c r="E458" s="39"/>
      <c r="F458" s="37"/>
      <c r="G458" s="39"/>
      <c r="H458" s="37"/>
      <c r="I458" s="37"/>
      <c r="J458" s="41" t="str">
        <f t="shared" si="125"/>
        <v/>
      </c>
      <c r="K458" s="12" t="str">
        <f t="shared" si="131"/>
        <v/>
      </c>
      <c r="L458" s="12" t="str">
        <f t="shared" si="132"/>
        <v/>
      </c>
      <c r="M458" s="12" t="str">
        <f t="shared" si="126"/>
        <v/>
      </c>
      <c r="N458" s="12" t="str">
        <f t="shared" si="127"/>
        <v/>
      </c>
      <c r="O458" s="12" t="str">
        <f t="shared" si="128"/>
        <v/>
      </c>
      <c r="P458" s="12" t="str">
        <f t="shared" si="129"/>
        <v/>
      </c>
      <c r="Q458" s="12" t="str">
        <f t="shared" si="133"/>
        <v/>
      </c>
      <c r="R458" s="26" t="str">
        <f t="shared" si="130"/>
        <v/>
      </c>
      <c r="S458" s="26" t="str">
        <f t="shared" si="139"/>
        <v/>
      </c>
      <c r="T458" s="26" t="str">
        <f t="shared" si="134"/>
        <v/>
      </c>
      <c r="U458" s="26" t="str">
        <f t="shared" si="135"/>
        <v/>
      </c>
      <c r="V458" s="26" t="str">
        <f t="shared" si="136"/>
        <v/>
      </c>
      <c r="W458" s="20" t="str">
        <f t="shared" si="137"/>
        <v/>
      </c>
      <c r="X458" s="20" t="str">
        <f t="shared" si="138"/>
        <v/>
      </c>
      <c r="Y458" s="86" t="str">
        <f t="shared" si="123"/>
        <v/>
      </c>
      <c r="Z458" s="31"/>
    </row>
    <row r="459" spans="2:26" outlineLevel="1">
      <c r="B459" s="14">
        <f t="shared" si="124"/>
        <v>456</v>
      </c>
      <c r="C459" s="37"/>
      <c r="D459" s="40"/>
      <c r="E459" s="39"/>
      <c r="F459" s="37"/>
      <c r="G459" s="39"/>
      <c r="H459" s="37"/>
      <c r="I459" s="37"/>
      <c r="J459" s="41" t="str">
        <f t="shared" si="125"/>
        <v/>
      </c>
      <c r="K459" s="12" t="str">
        <f t="shared" si="131"/>
        <v/>
      </c>
      <c r="L459" s="12" t="str">
        <f t="shared" si="132"/>
        <v/>
      </c>
      <c r="M459" s="12" t="str">
        <f t="shared" si="126"/>
        <v/>
      </c>
      <c r="N459" s="12" t="str">
        <f t="shared" si="127"/>
        <v/>
      </c>
      <c r="O459" s="12" t="str">
        <f t="shared" si="128"/>
        <v/>
      </c>
      <c r="P459" s="12" t="str">
        <f t="shared" si="129"/>
        <v/>
      </c>
      <c r="Q459" s="12" t="str">
        <f t="shared" si="133"/>
        <v/>
      </c>
      <c r="R459" s="26" t="str">
        <f t="shared" si="130"/>
        <v/>
      </c>
      <c r="S459" s="26" t="str">
        <f t="shared" si="139"/>
        <v/>
      </c>
      <c r="T459" s="26" t="str">
        <f t="shared" si="134"/>
        <v/>
      </c>
      <c r="U459" s="26" t="str">
        <f t="shared" si="135"/>
        <v/>
      </c>
      <c r="V459" s="26" t="str">
        <f t="shared" si="136"/>
        <v/>
      </c>
      <c r="W459" s="20" t="str">
        <f t="shared" si="137"/>
        <v/>
      </c>
      <c r="X459" s="20" t="str">
        <f t="shared" si="138"/>
        <v/>
      </c>
      <c r="Y459" s="86" t="str">
        <f t="shared" si="123"/>
        <v/>
      </c>
      <c r="Z459" s="31"/>
    </row>
    <row r="460" spans="2:26" outlineLevel="1">
      <c r="B460" s="14">
        <f t="shared" si="124"/>
        <v>457</v>
      </c>
      <c r="C460" s="37"/>
      <c r="D460" s="40"/>
      <c r="E460" s="39"/>
      <c r="F460" s="37"/>
      <c r="G460" s="39"/>
      <c r="H460" s="37"/>
      <c r="I460" s="37"/>
      <c r="J460" s="41" t="str">
        <f t="shared" si="125"/>
        <v/>
      </c>
      <c r="K460" s="12" t="str">
        <f t="shared" si="131"/>
        <v/>
      </c>
      <c r="L460" s="12" t="str">
        <f t="shared" si="132"/>
        <v/>
      </c>
      <c r="M460" s="12" t="str">
        <f t="shared" si="126"/>
        <v/>
      </c>
      <c r="N460" s="12" t="str">
        <f t="shared" si="127"/>
        <v/>
      </c>
      <c r="O460" s="12" t="str">
        <f t="shared" si="128"/>
        <v/>
      </c>
      <c r="P460" s="12" t="str">
        <f t="shared" si="129"/>
        <v/>
      </c>
      <c r="Q460" s="12" t="str">
        <f t="shared" si="133"/>
        <v/>
      </c>
      <c r="R460" s="26" t="str">
        <f t="shared" si="130"/>
        <v/>
      </c>
      <c r="S460" s="26" t="str">
        <f t="shared" si="139"/>
        <v/>
      </c>
      <c r="T460" s="26" t="str">
        <f t="shared" si="134"/>
        <v/>
      </c>
      <c r="U460" s="26" t="str">
        <f t="shared" si="135"/>
        <v/>
      </c>
      <c r="V460" s="26" t="str">
        <f t="shared" si="136"/>
        <v/>
      </c>
      <c r="W460" s="20" t="str">
        <f t="shared" si="137"/>
        <v/>
      </c>
      <c r="X460" s="20" t="str">
        <f t="shared" si="138"/>
        <v/>
      </c>
      <c r="Y460" s="86" t="str">
        <f t="shared" si="123"/>
        <v/>
      </c>
      <c r="Z460" s="31"/>
    </row>
    <row r="461" spans="2:26" outlineLevel="1">
      <c r="B461" s="14">
        <f t="shared" si="124"/>
        <v>458</v>
      </c>
      <c r="C461" s="37"/>
      <c r="D461" s="40"/>
      <c r="E461" s="39"/>
      <c r="F461" s="37"/>
      <c r="G461" s="39"/>
      <c r="H461" s="37"/>
      <c r="I461" s="37"/>
      <c r="J461" s="41" t="str">
        <f t="shared" si="125"/>
        <v/>
      </c>
      <c r="K461" s="12" t="str">
        <f t="shared" si="131"/>
        <v/>
      </c>
      <c r="L461" s="12" t="str">
        <f t="shared" si="132"/>
        <v/>
      </c>
      <c r="M461" s="12" t="str">
        <f t="shared" si="126"/>
        <v/>
      </c>
      <c r="N461" s="12" t="str">
        <f t="shared" si="127"/>
        <v/>
      </c>
      <c r="O461" s="12" t="str">
        <f t="shared" si="128"/>
        <v/>
      </c>
      <c r="P461" s="12" t="str">
        <f t="shared" si="129"/>
        <v/>
      </c>
      <c r="Q461" s="12" t="str">
        <f t="shared" si="133"/>
        <v/>
      </c>
      <c r="R461" s="26" t="str">
        <f t="shared" si="130"/>
        <v/>
      </c>
      <c r="S461" s="26" t="str">
        <f t="shared" si="139"/>
        <v/>
      </c>
      <c r="T461" s="26" t="str">
        <f t="shared" si="134"/>
        <v/>
      </c>
      <c r="U461" s="26" t="str">
        <f t="shared" si="135"/>
        <v/>
      </c>
      <c r="V461" s="26" t="str">
        <f t="shared" si="136"/>
        <v/>
      </c>
      <c r="W461" s="20" t="str">
        <f t="shared" si="137"/>
        <v/>
      </c>
      <c r="X461" s="20" t="str">
        <f t="shared" si="138"/>
        <v/>
      </c>
      <c r="Y461" s="86" t="str">
        <f t="shared" si="123"/>
        <v/>
      </c>
      <c r="Z461" s="31"/>
    </row>
    <row r="462" spans="2:26" outlineLevel="1">
      <c r="B462" s="14">
        <f t="shared" si="124"/>
        <v>459</v>
      </c>
      <c r="C462" s="37"/>
      <c r="D462" s="40"/>
      <c r="E462" s="39"/>
      <c r="F462" s="37"/>
      <c r="G462" s="39"/>
      <c r="H462" s="37"/>
      <c r="I462" s="37"/>
      <c r="J462" s="41" t="str">
        <f t="shared" si="125"/>
        <v/>
      </c>
      <c r="K462" s="12" t="str">
        <f t="shared" si="131"/>
        <v/>
      </c>
      <c r="L462" s="12" t="str">
        <f t="shared" si="132"/>
        <v/>
      </c>
      <c r="M462" s="12" t="str">
        <f t="shared" si="126"/>
        <v/>
      </c>
      <c r="N462" s="12" t="str">
        <f t="shared" si="127"/>
        <v/>
      </c>
      <c r="O462" s="12" t="str">
        <f t="shared" si="128"/>
        <v/>
      </c>
      <c r="P462" s="12" t="str">
        <f t="shared" si="129"/>
        <v/>
      </c>
      <c r="Q462" s="12" t="str">
        <f t="shared" si="133"/>
        <v/>
      </c>
      <c r="R462" s="26" t="str">
        <f t="shared" si="130"/>
        <v/>
      </c>
      <c r="S462" s="26" t="str">
        <f t="shared" si="139"/>
        <v/>
      </c>
      <c r="T462" s="26" t="str">
        <f t="shared" si="134"/>
        <v/>
      </c>
      <c r="U462" s="26" t="str">
        <f t="shared" si="135"/>
        <v/>
      </c>
      <c r="V462" s="26" t="str">
        <f t="shared" si="136"/>
        <v/>
      </c>
      <c r="W462" s="20" t="str">
        <f t="shared" si="137"/>
        <v/>
      </c>
      <c r="X462" s="20" t="str">
        <f t="shared" si="138"/>
        <v/>
      </c>
      <c r="Y462" s="86" t="str">
        <f t="shared" si="123"/>
        <v/>
      </c>
      <c r="Z462" s="31"/>
    </row>
    <row r="463" spans="2:26" outlineLevel="1">
      <c r="B463" s="14">
        <f t="shared" si="124"/>
        <v>460</v>
      </c>
      <c r="C463" s="37"/>
      <c r="D463" s="40"/>
      <c r="E463" s="39"/>
      <c r="F463" s="37"/>
      <c r="G463" s="39"/>
      <c r="H463" s="37"/>
      <c r="I463" s="37"/>
      <c r="J463" s="41" t="str">
        <f t="shared" si="125"/>
        <v/>
      </c>
      <c r="K463" s="12" t="str">
        <f t="shared" si="131"/>
        <v/>
      </c>
      <c r="L463" s="12" t="str">
        <f t="shared" si="132"/>
        <v/>
      </c>
      <c r="M463" s="12" t="str">
        <f t="shared" si="126"/>
        <v/>
      </c>
      <c r="N463" s="12" t="str">
        <f t="shared" si="127"/>
        <v/>
      </c>
      <c r="O463" s="12" t="str">
        <f t="shared" si="128"/>
        <v/>
      </c>
      <c r="P463" s="12" t="str">
        <f t="shared" si="129"/>
        <v/>
      </c>
      <c r="Q463" s="12" t="str">
        <f t="shared" si="133"/>
        <v/>
      </c>
      <c r="R463" s="26" t="str">
        <f t="shared" si="130"/>
        <v/>
      </c>
      <c r="S463" s="26" t="str">
        <f t="shared" si="139"/>
        <v/>
      </c>
      <c r="T463" s="26" t="str">
        <f t="shared" si="134"/>
        <v/>
      </c>
      <c r="U463" s="26" t="str">
        <f t="shared" si="135"/>
        <v/>
      </c>
      <c r="V463" s="26" t="str">
        <f t="shared" si="136"/>
        <v/>
      </c>
      <c r="W463" s="20" t="str">
        <f t="shared" si="137"/>
        <v/>
      </c>
      <c r="X463" s="20" t="str">
        <f t="shared" si="138"/>
        <v/>
      </c>
      <c r="Y463" s="86" t="str">
        <f t="shared" si="123"/>
        <v/>
      </c>
      <c r="Z463" s="31"/>
    </row>
    <row r="464" spans="2:26" outlineLevel="1">
      <c r="B464" s="14">
        <f t="shared" si="124"/>
        <v>461</v>
      </c>
      <c r="C464" s="37"/>
      <c r="D464" s="40"/>
      <c r="E464" s="39"/>
      <c r="F464" s="37"/>
      <c r="G464" s="39"/>
      <c r="H464" s="37"/>
      <c r="I464" s="37"/>
      <c r="J464" s="41" t="str">
        <f t="shared" si="125"/>
        <v/>
      </c>
      <c r="K464" s="12" t="str">
        <f t="shared" si="131"/>
        <v/>
      </c>
      <c r="L464" s="12" t="str">
        <f t="shared" si="132"/>
        <v/>
      </c>
      <c r="M464" s="12" t="str">
        <f t="shared" si="126"/>
        <v/>
      </c>
      <c r="N464" s="12" t="str">
        <f t="shared" si="127"/>
        <v/>
      </c>
      <c r="O464" s="12" t="str">
        <f t="shared" si="128"/>
        <v/>
      </c>
      <c r="P464" s="12" t="str">
        <f t="shared" si="129"/>
        <v/>
      </c>
      <c r="Q464" s="12" t="str">
        <f t="shared" si="133"/>
        <v/>
      </c>
      <c r="R464" s="26" t="str">
        <f t="shared" si="130"/>
        <v/>
      </c>
      <c r="S464" s="26" t="str">
        <f t="shared" si="139"/>
        <v/>
      </c>
      <c r="T464" s="26" t="str">
        <f t="shared" si="134"/>
        <v/>
      </c>
      <c r="U464" s="26" t="str">
        <f t="shared" si="135"/>
        <v/>
      </c>
      <c r="V464" s="26" t="str">
        <f t="shared" si="136"/>
        <v/>
      </c>
      <c r="W464" s="20" t="str">
        <f t="shared" si="137"/>
        <v/>
      </c>
      <c r="X464" s="20" t="str">
        <f t="shared" si="138"/>
        <v/>
      </c>
      <c r="Y464" s="86" t="str">
        <f t="shared" ref="Y464:Y527" si="140">IFERROR(+W464+X464,"")</f>
        <v/>
      </c>
      <c r="Z464" s="31"/>
    </row>
    <row r="465" spans="2:26" outlineLevel="1">
      <c r="B465" s="14">
        <f t="shared" si="124"/>
        <v>462</v>
      </c>
      <c r="C465" s="37"/>
      <c r="D465" s="40"/>
      <c r="E465" s="39"/>
      <c r="F465" s="37"/>
      <c r="G465" s="39"/>
      <c r="H465" s="37"/>
      <c r="I465" s="37"/>
      <c r="J465" s="41" t="str">
        <f t="shared" si="125"/>
        <v/>
      </c>
      <c r="K465" s="12" t="str">
        <f t="shared" si="131"/>
        <v/>
      </c>
      <c r="L465" s="12" t="str">
        <f t="shared" si="132"/>
        <v/>
      </c>
      <c r="M465" s="12" t="str">
        <f t="shared" si="126"/>
        <v/>
      </c>
      <c r="N465" s="12" t="str">
        <f t="shared" si="127"/>
        <v/>
      </c>
      <c r="O465" s="12" t="str">
        <f t="shared" si="128"/>
        <v/>
      </c>
      <c r="P465" s="12" t="str">
        <f t="shared" si="129"/>
        <v/>
      </c>
      <c r="Q465" s="12" t="str">
        <f t="shared" si="133"/>
        <v/>
      </c>
      <c r="R465" s="26" t="str">
        <f t="shared" si="130"/>
        <v/>
      </c>
      <c r="S465" s="26" t="str">
        <f t="shared" si="139"/>
        <v/>
      </c>
      <c r="T465" s="26" t="str">
        <f t="shared" si="134"/>
        <v/>
      </c>
      <c r="U465" s="26" t="str">
        <f t="shared" si="135"/>
        <v/>
      </c>
      <c r="V465" s="26" t="str">
        <f t="shared" si="136"/>
        <v/>
      </c>
      <c r="W465" s="20" t="str">
        <f t="shared" si="137"/>
        <v/>
      </c>
      <c r="X465" s="20" t="str">
        <f t="shared" si="138"/>
        <v/>
      </c>
      <c r="Y465" s="86" t="str">
        <f t="shared" si="140"/>
        <v/>
      </c>
      <c r="Z465" s="31"/>
    </row>
    <row r="466" spans="2:26" outlineLevel="1">
      <c r="B466" s="14">
        <f t="shared" si="124"/>
        <v>463</v>
      </c>
      <c r="C466" s="37"/>
      <c r="D466" s="40"/>
      <c r="E466" s="39"/>
      <c r="F466" s="37"/>
      <c r="G466" s="39"/>
      <c r="H466" s="37"/>
      <c r="I466" s="37"/>
      <c r="J466" s="41" t="str">
        <f t="shared" si="125"/>
        <v/>
      </c>
      <c r="K466" s="12" t="str">
        <f t="shared" si="131"/>
        <v/>
      </c>
      <c r="L466" s="12" t="str">
        <f t="shared" si="132"/>
        <v/>
      </c>
      <c r="M466" s="12" t="str">
        <f t="shared" si="126"/>
        <v/>
      </c>
      <c r="N466" s="12" t="str">
        <f t="shared" si="127"/>
        <v/>
      </c>
      <c r="O466" s="12" t="str">
        <f t="shared" si="128"/>
        <v/>
      </c>
      <c r="P466" s="12" t="str">
        <f t="shared" si="129"/>
        <v/>
      </c>
      <c r="Q466" s="12" t="str">
        <f t="shared" si="133"/>
        <v/>
      </c>
      <c r="R466" s="26" t="str">
        <f t="shared" si="130"/>
        <v/>
      </c>
      <c r="S466" s="26" t="str">
        <f t="shared" si="139"/>
        <v/>
      </c>
      <c r="T466" s="26" t="str">
        <f t="shared" si="134"/>
        <v/>
      </c>
      <c r="U466" s="26" t="str">
        <f t="shared" si="135"/>
        <v/>
      </c>
      <c r="V466" s="26" t="str">
        <f t="shared" si="136"/>
        <v/>
      </c>
      <c r="W466" s="20" t="str">
        <f t="shared" si="137"/>
        <v/>
      </c>
      <c r="X466" s="20" t="str">
        <f t="shared" si="138"/>
        <v/>
      </c>
      <c r="Y466" s="86" t="str">
        <f t="shared" si="140"/>
        <v/>
      </c>
      <c r="Z466" s="31"/>
    </row>
    <row r="467" spans="2:26" outlineLevel="1">
      <c r="B467" s="14">
        <f t="shared" si="124"/>
        <v>464</v>
      </c>
      <c r="C467" s="37"/>
      <c r="D467" s="40"/>
      <c r="E467" s="39"/>
      <c r="F467" s="37"/>
      <c r="G467" s="39"/>
      <c r="H467" s="37"/>
      <c r="I467" s="37"/>
      <c r="J467" s="41" t="str">
        <f t="shared" si="125"/>
        <v/>
      </c>
      <c r="K467" s="12" t="str">
        <f t="shared" si="131"/>
        <v/>
      </c>
      <c r="L467" s="12" t="str">
        <f t="shared" si="132"/>
        <v/>
      </c>
      <c r="M467" s="12" t="str">
        <f t="shared" si="126"/>
        <v/>
      </c>
      <c r="N467" s="12" t="str">
        <f t="shared" si="127"/>
        <v/>
      </c>
      <c r="O467" s="12" t="str">
        <f t="shared" si="128"/>
        <v/>
      </c>
      <c r="P467" s="12" t="str">
        <f t="shared" si="129"/>
        <v/>
      </c>
      <c r="Q467" s="12" t="str">
        <f t="shared" si="133"/>
        <v/>
      </c>
      <c r="R467" s="26" t="str">
        <f t="shared" si="130"/>
        <v/>
      </c>
      <c r="S467" s="26" t="str">
        <f t="shared" si="139"/>
        <v/>
      </c>
      <c r="T467" s="26" t="str">
        <f t="shared" si="134"/>
        <v/>
      </c>
      <c r="U467" s="26" t="str">
        <f t="shared" si="135"/>
        <v/>
      </c>
      <c r="V467" s="26" t="str">
        <f t="shared" si="136"/>
        <v/>
      </c>
      <c r="W467" s="20" t="str">
        <f t="shared" si="137"/>
        <v/>
      </c>
      <c r="X467" s="20" t="str">
        <f t="shared" si="138"/>
        <v/>
      </c>
      <c r="Y467" s="86" t="str">
        <f t="shared" si="140"/>
        <v/>
      </c>
      <c r="Z467" s="31"/>
    </row>
    <row r="468" spans="2:26" outlineLevel="1">
      <c r="B468" s="14">
        <f t="shared" si="124"/>
        <v>465</v>
      </c>
      <c r="C468" s="37"/>
      <c r="D468" s="40"/>
      <c r="E468" s="39"/>
      <c r="F468" s="37"/>
      <c r="G468" s="39"/>
      <c r="H468" s="37"/>
      <c r="I468" s="37"/>
      <c r="J468" s="41" t="str">
        <f t="shared" si="125"/>
        <v/>
      </c>
      <c r="K468" s="12" t="str">
        <f t="shared" si="131"/>
        <v/>
      </c>
      <c r="L468" s="12" t="str">
        <f t="shared" si="132"/>
        <v/>
      </c>
      <c r="M468" s="12" t="str">
        <f t="shared" si="126"/>
        <v/>
      </c>
      <c r="N468" s="12" t="str">
        <f t="shared" si="127"/>
        <v/>
      </c>
      <c r="O468" s="12" t="str">
        <f t="shared" si="128"/>
        <v/>
      </c>
      <c r="P468" s="12" t="str">
        <f t="shared" si="129"/>
        <v/>
      </c>
      <c r="Q468" s="12" t="str">
        <f t="shared" si="133"/>
        <v/>
      </c>
      <c r="R468" s="26" t="str">
        <f t="shared" si="130"/>
        <v/>
      </c>
      <c r="S468" s="26" t="str">
        <f t="shared" si="139"/>
        <v/>
      </c>
      <c r="T468" s="26" t="str">
        <f t="shared" si="134"/>
        <v/>
      </c>
      <c r="U468" s="26" t="str">
        <f t="shared" si="135"/>
        <v/>
      </c>
      <c r="V468" s="26" t="str">
        <f t="shared" si="136"/>
        <v/>
      </c>
      <c r="W468" s="20" t="str">
        <f t="shared" si="137"/>
        <v/>
      </c>
      <c r="X468" s="20" t="str">
        <f t="shared" si="138"/>
        <v/>
      </c>
      <c r="Y468" s="86" t="str">
        <f t="shared" si="140"/>
        <v/>
      </c>
      <c r="Z468" s="31"/>
    </row>
    <row r="469" spans="2:26" outlineLevel="1">
      <c r="B469" s="14">
        <f t="shared" si="124"/>
        <v>466</v>
      </c>
      <c r="C469" s="37"/>
      <c r="D469" s="40"/>
      <c r="E469" s="39"/>
      <c r="F469" s="37"/>
      <c r="G469" s="39"/>
      <c r="H469" s="37"/>
      <c r="I469" s="37"/>
      <c r="J469" s="41" t="str">
        <f t="shared" si="125"/>
        <v/>
      </c>
      <c r="K469" s="12" t="str">
        <f t="shared" si="131"/>
        <v/>
      </c>
      <c r="L469" s="12" t="str">
        <f t="shared" si="132"/>
        <v/>
      </c>
      <c r="M469" s="12" t="str">
        <f t="shared" si="126"/>
        <v/>
      </c>
      <c r="N469" s="12" t="str">
        <f t="shared" si="127"/>
        <v/>
      </c>
      <c r="O469" s="12" t="str">
        <f t="shared" si="128"/>
        <v/>
      </c>
      <c r="P469" s="12" t="str">
        <f t="shared" si="129"/>
        <v/>
      </c>
      <c r="Q469" s="12" t="str">
        <f t="shared" si="133"/>
        <v/>
      </c>
      <c r="R469" s="26" t="str">
        <f t="shared" si="130"/>
        <v/>
      </c>
      <c r="S469" s="26" t="str">
        <f t="shared" si="139"/>
        <v/>
      </c>
      <c r="T469" s="26" t="str">
        <f t="shared" si="134"/>
        <v/>
      </c>
      <c r="U469" s="26" t="str">
        <f t="shared" si="135"/>
        <v/>
      </c>
      <c r="V469" s="26" t="str">
        <f t="shared" si="136"/>
        <v/>
      </c>
      <c r="W469" s="20" t="str">
        <f t="shared" si="137"/>
        <v/>
      </c>
      <c r="X469" s="20" t="str">
        <f t="shared" si="138"/>
        <v/>
      </c>
      <c r="Y469" s="86" t="str">
        <f t="shared" si="140"/>
        <v/>
      </c>
      <c r="Z469" s="31"/>
    </row>
    <row r="470" spans="2:26" outlineLevel="1">
      <c r="B470" s="14">
        <f t="shared" si="124"/>
        <v>467</v>
      </c>
      <c r="C470" s="37"/>
      <c r="D470" s="40"/>
      <c r="E470" s="39"/>
      <c r="F470" s="37"/>
      <c r="G470" s="39"/>
      <c r="H470" s="37"/>
      <c r="I470" s="37"/>
      <c r="J470" s="41" t="str">
        <f t="shared" si="125"/>
        <v/>
      </c>
      <c r="K470" s="12" t="str">
        <f t="shared" si="131"/>
        <v/>
      </c>
      <c r="L470" s="12" t="str">
        <f t="shared" si="132"/>
        <v/>
      </c>
      <c r="M470" s="12" t="str">
        <f t="shared" si="126"/>
        <v/>
      </c>
      <c r="N470" s="12" t="str">
        <f t="shared" si="127"/>
        <v/>
      </c>
      <c r="O470" s="12" t="str">
        <f t="shared" si="128"/>
        <v/>
      </c>
      <c r="P470" s="12" t="str">
        <f t="shared" si="129"/>
        <v/>
      </c>
      <c r="Q470" s="12" t="str">
        <f t="shared" si="133"/>
        <v/>
      </c>
      <c r="R470" s="26" t="str">
        <f t="shared" si="130"/>
        <v/>
      </c>
      <c r="S470" s="26" t="str">
        <f t="shared" si="139"/>
        <v/>
      </c>
      <c r="T470" s="26" t="str">
        <f t="shared" si="134"/>
        <v/>
      </c>
      <c r="U470" s="26" t="str">
        <f t="shared" si="135"/>
        <v/>
      </c>
      <c r="V470" s="26" t="str">
        <f t="shared" si="136"/>
        <v/>
      </c>
      <c r="W470" s="20" t="str">
        <f t="shared" si="137"/>
        <v/>
      </c>
      <c r="X470" s="20" t="str">
        <f t="shared" si="138"/>
        <v/>
      </c>
      <c r="Y470" s="86" t="str">
        <f t="shared" si="140"/>
        <v/>
      </c>
      <c r="Z470" s="31"/>
    </row>
    <row r="471" spans="2:26" outlineLevel="1">
      <c r="B471" s="14">
        <f t="shared" si="124"/>
        <v>468</v>
      </c>
      <c r="C471" s="37"/>
      <c r="D471" s="40"/>
      <c r="E471" s="39"/>
      <c r="F471" s="37"/>
      <c r="G471" s="39"/>
      <c r="H471" s="37"/>
      <c r="I471" s="37"/>
      <c r="J471" s="41" t="str">
        <f t="shared" si="125"/>
        <v/>
      </c>
      <c r="K471" s="12" t="str">
        <f t="shared" si="131"/>
        <v/>
      </c>
      <c r="L471" s="12" t="str">
        <f t="shared" si="132"/>
        <v/>
      </c>
      <c r="M471" s="12" t="str">
        <f t="shared" si="126"/>
        <v/>
      </c>
      <c r="N471" s="12" t="str">
        <f t="shared" si="127"/>
        <v/>
      </c>
      <c r="O471" s="12" t="str">
        <f t="shared" si="128"/>
        <v/>
      </c>
      <c r="P471" s="12" t="str">
        <f t="shared" si="129"/>
        <v/>
      </c>
      <c r="Q471" s="12" t="str">
        <f t="shared" si="133"/>
        <v/>
      </c>
      <c r="R471" s="26" t="str">
        <f t="shared" si="130"/>
        <v/>
      </c>
      <c r="S471" s="26" t="str">
        <f t="shared" si="139"/>
        <v/>
      </c>
      <c r="T471" s="26" t="str">
        <f t="shared" si="134"/>
        <v/>
      </c>
      <c r="U471" s="26" t="str">
        <f t="shared" si="135"/>
        <v/>
      </c>
      <c r="V471" s="26" t="str">
        <f t="shared" si="136"/>
        <v/>
      </c>
      <c r="W471" s="20" t="str">
        <f t="shared" si="137"/>
        <v/>
      </c>
      <c r="X471" s="20" t="str">
        <f t="shared" si="138"/>
        <v/>
      </c>
      <c r="Y471" s="86" t="str">
        <f t="shared" si="140"/>
        <v/>
      </c>
      <c r="Z471" s="31"/>
    </row>
    <row r="472" spans="2:26" outlineLevel="1">
      <c r="B472" s="14">
        <f t="shared" si="124"/>
        <v>469</v>
      </c>
      <c r="C472" s="37"/>
      <c r="D472" s="40"/>
      <c r="E472" s="39"/>
      <c r="F472" s="37"/>
      <c r="G472" s="39"/>
      <c r="H472" s="37"/>
      <c r="I472" s="37"/>
      <c r="J472" s="41" t="str">
        <f t="shared" si="125"/>
        <v/>
      </c>
      <c r="K472" s="12" t="str">
        <f t="shared" si="131"/>
        <v/>
      </c>
      <c r="L472" s="12" t="str">
        <f t="shared" si="132"/>
        <v/>
      </c>
      <c r="M472" s="12" t="str">
        <f t="shared" si="126"/>
        <v/>
      </c>
      <c r="N472" s="12" t="str">
        <f t="shared" si="127"/>
        <v/>
      </c>
      <c r="O472" s="12" t="str">
        <f t="shared" si="128"/>
        <v/>
      </c>
      <c r="P472" s="12" t="str">
        <f t="shared" si="129"/>
        <v/>
      </c>
      <c r="Q472" s="12" t="str">
        <f t="shared" si="133"/>
        <v/>
      </c>
      <c r="R472" s="26" t="str">
        <f t="shared" si="130"/>
        <v/>
      </c>
      <c r="S472" s="26" t="str">
        <f t="shared" si="139"/>
        <v/>
      </c>
      <c r="T472" s="26" t="str">
        <f t="shared" si="134"/>
        <v/>
      </c>
      <c r="U472" s="26" t="str">
        <f t="shared" si="135"/>
        <v/>
      </c>
      <c r="V472" s="26" t="str">
        <f t="shared" si="136"/>
        <v/>
      </c>
      <c r="W472" s="20" t="str">
        <f t="shared" si="137"/>
        <v/>
      </c>
      <c r="X472" s="20" t="str">
        <f t="shared" si="138"/>
        <v/>
      </c>
      <c r="Y472" s="86" t="str">
        <f t="shared" si="140"/>
        <v/>
      </c>
      <c r="Z472" s="31"/>
    </row>
    <row r="473" spans="2:26" outlineLevel="1">
      <c r="B473" s="14">
        <f t="shared" si="124"/>
        <v>470</v>
      </c>
      <c r="C473" s="37"/>
      <c r="D473" s="40"/>
      <c r="E473" s="39"/>
      <c r="F473" s="37"/>
      <c r="G473" s="39"/>
      <c r="H473" s="37"/>
      <c r="I473" s="37"/>
      <c r="J473" s="41" t="str">
        <f t="shared" si="125"/>
        <v/>
      </c>
      <c r="K473" s="12" t="str">
        <f t="shared" si="131"/>
        <v/>
      </c>
      <c r="L473" s="12" t="str">
        <f t="shared" si="132"/>
        <v/>
      </c>
      <c r="M473" s="12" t="str">
        <f t="shared" si="126"/>
        <v/>
      </c>
      <c r="N473" s="12" t="str">
        <f t="shared" si="127"/>
        <v/>
      </c>
      <c r="O473" s="12" t="str">
        <f t="shared" si="128"/>
        <v/>
      </c>
      <c r="P473" s="12" t="str">
        <f t="shared" si="129"/>
        <v/>
      </c>
      <c r="Q473" s="12" t="str">
        <f t="shared" si="133"/>
        <v/>
      </c>
      <c r="R473" s="26" t="str">
        <f t="shared" si="130"/>
        <v/>
      </c>
      <c r="S473" s="26" t="str">
        <f t="shared" si="139"/>
        <v/>
      </c>
      <c r="T473" s="26" t="str">
        <f t="shared" si="134"/>
        <v/>
      </c>
      <c r="U473" s="26" t="str">
        <f t="shared" si="135"/>
        <v/>
      </c>
      <c r="V473" s="26" t="str">
        <f t="shared" si="136"/>
        <v/>
      </c>
      <c r="W473" s="20" t="str">
        <f t="shared" si="137"/>
        <v/>
      </c>
      <c r="X473" s="20" t="str">
        <f t="shared" si="138"/>
        <v/>
      </c>
      <c r="Y473" s="86" t="str">
        <f t="shared" si="140"/>
        <v/>
      </c>
      <c r="Z473" s="31"/>
    </row>
    <row r="474" spans="2:26" outlineLevel="1">
      <c r="B474" s="14">
        <f t="shared" si="124"/>
        <v>471</v>
      </c>
      <c r="C474" s="37"/>
      <c r="D474" s="40"/>
      <c r="E474" s="39"/>
      <c r="F474" s="37"/>
      <c r="G474" s="39"/>
      <c r="H474" s="37"/>
      <c r="I474" s="37"/>
      <c r="J474" s="41" t="str">
        <f t="shared" si="125"/>
        <v/>
      </c>
      <c r="K474" s="12" t="str">
        <f t="shared" si="131"/>
        <v/>
      </c>
      <c r="L474" s="12" t="str">
        <f t="shared" si="132"/>
        <v/>
      </c>
      <c r="M474" s="12" t="str">
        <f t="shared" si="126"/>
        <v/>
      </c>
      <c r="N474" s="12" t="str">
        <f t="shared" si="127"/>
        <v/>
      </c>
      <c r="O474" s="12" t="str">
        <f t="shared" si="128"/>
        <v/>
      </c>
      <c r="P474" s="12" t="str">
        <f t="shared" si="129"/>
        <v/>
      </c>
      <c r="Q474" s="12" t="str">
        <f t="shared" si="133"/>
        <v/>
      </c>
      <c r="R474" s="26" t="str">
        <f t="shared" si="130"/>
        <v/>
      </c>
      <c r="S474" s="26" t="str">
        <f t="shared" si="139"/>
        <v/>
      </c>
      <c r="T474" s="26" t="str">
        <f t="shared" si="134"/>
        <v/>
      </c>
      <c r="U474" s="26" t="str">
        <f t="shared" si="135"/>
        <v/>
      </c>
      <c r="V474" s="26" t="str">
        <f t="shared" si="136"/>
        <v/>
      </c>
      <c r="W474" s="20" t="str">
        <f t="shared" si="137"/>
        <v/>
      </c>
      <c r="X474" s="20" t="str">
        <f t="shared" si="138"/>
        <v/>
      </c>
      <c r="Y474" s="86" t="str">
        <f t="shared" si="140"/>
        <v/>
      </c>
      <c r="Z474" s="31"/>
    </row>
    <row r="475" spans="2:26" outlineLevel="1">
      <c r="B475" s="14">
        <f t="shared" si="124"/>
        <v>472</v>
      </c>
      <c r="C475" s="37"/>
      <c r="D475" s="40"/>
      <c r="E475" s="39"/>
      <c r="F475" s="37"/>
      <c r="G475" s="39"/>
      <c r="H475" s="37"/>
      <c r="I475" s="37"/>
      <c r="J475" s="41" t="str">
        <f t="shared" si="125"/>
        <v/>
      </c>
      <c r="K475" s="12" t="str">
        <f t="shared" si="131"/>
        <v/>
      </c>
      <c r="L475" s="12" t="str">
        <f t="shared" si="132"/>
        <v/>
      </c>
      <c r="M475" s="12" t="str">
        <f t="shared" si="126"/>
        <v/>
      </c>
      <c r="N475" s="12" t="str">
        <f t="shared" si="127"/>
        <v/>
      </c>
      <c r="O475" s="12" t="str">
        <f t="shared" si="128"/>
        <v/>
      </c>
      <c r="P475" s="12" t="str">
        <f t="shared" si="129"/>
        <v/>
      </c>
      <c r="Q475" s="12" t="str">
        <f t="shared" si="133"/>
        <v/>
      </c>
      <c r="R475" s="26" t="str">
        <f t="shared" si="130"/>
        <v/>
      </c>
      <c r="S475" s="26" t="str">
        <f t="shared" si="139"/>
        <v/>
      </c>
      <c r="T475" s="26" t="str">
        <f t="shared" si="134"/>
        <v/>
      </c>
      <c r="U475" s="26" t="str">
        <f t="shared" si="135"/>
        <v/>
      </c>
      <c r="V475" s="26" t="str">
        <f t="shared" si="136"/>
        <v/>
      </c>
      <c r="W475" s="20" t="str">
        <f t="shared" si="137"/>
        <v/>
      </c>
      <c r="X475" s="20" t="str">
        <f t="shared" si="138"/>
        <v/>
      </c>
      <c r="Y475" s="86" t="str">
        <f t="shared" si="140"/>
        <v/>
      </c>
      <c r="Z475" s="31"/>
    </row>
    <row r="476" spans="2:26" outlineLevel="1">
      <c r="B476" s="14">
        <f t="shared" si="124"/>
        <v>473</v>
      </c>
      <c r="C476" s="37"/>
      <c r="D476" s="40"/>
      <c r="E476" s="39"/>
      <c r="F476" s="37"/>
      <c r="G476" s="39"/>
      <c r="H476" s="37"/>
      <c r="I476" s="37"/>
      <c r="J476" s="41" t="str">
        <f t="shared" si="125"/>
        <v/>
      </c>
      <c r="K476" s="12" t="str">
        <f t="shared" si="131"/>
        <v/>
      </c>
      <c r="L476" s="12" t="str">
        <f t="shared" si="132"/>
        <v/>
      </c>
      <c r="M476" s="12" t="str">
        <f t="shared" si="126"/>
        <v/>
      </c>
      <c r="N476" s="12" t="str">
        <f t="shared" si="127"/>
        <v/>
      </c>
      <c r="O476" s="12" t="str">
        <f t="shared" si="128"/>
        <v/>
      </c>
      <c r="P476" s="12" t="str">
        <f t="shared" si="129"/>
        <v/>
      </c>
      <c r="Q476" s="12" t="str">
        <f t="shared" si="133"/>
        <v/>
      </c>
      <c r="R476" s="26" t="str">
        <f t="shared" si="130"/>
        <v/>
      </c>
      <c r="S476" s="26" t="str">
        <f t="shared" si="139"/>
        <v/>
      </c>
      <c r="T476" s="26" t="str">
        <f t="shared" si="134"/>
        <v/>
      </c>
      <c r="U476" s="26" t="str">
        <f t="shared" si="135"/>
        <v/>
      </c>
      <c r="V476" s="26" t="str">
        <f t="shared" si="136"/>
        <v/>
      </c>
      <c r="W476" s="20" t="str">
        <f t="shared" si="137"/>
        <v/>
      </c>
      <c r="X476" s="20" t="str">
        <f t="shared" si="138"/>
        <v/>
      </c>
      <c r="Y476" s="86" t="str">
        <f t="shared" si="140"/>
        <v/>
      </c>
      <c r="Z476" s="31"/>
    </row>
    <row r="477" spans="2:26" outlineLevel="1">
      <c r="B477" s="14">
        <f t="shared" si="124"/>
        <v>474</v>
      </c>
      <c r="C477" s="37"/>
      <c r="D477" s="40"/>
      <c r="E477" s="39"/>
      <c r="F477" s="37"/>
      <c r="G477" s="39"/>
      <c r="H477" s="37"/>
      <c r="I477" s="37"/>
      <c r="J477" s="41" t="str">
        <f t="shared" si="125"/>
        <v/>
      </c>
      <c r="K477" s="12" t="str">
        <f t="shared" si="131"/>
        <v/>
      </c>
      <c r="L477" s="12" t="str">
        <f t="shared" si="132"/>
        <v/>
      </c>
      <c r="M477" s="12" t="str">
        <f t="shared" si="126"/>
        <v/>
      </c>
      <c r="N477" s="12" t="str">
        <f t="shared" si="127"/>
        <v/>
      </c>
      <c r="O477" s="12" t="str">
        <f t="shared" si="128"/>
        <v/>
      </c>
      <c r="P477" s="12" t="str">
        <f t="shared" si="129"/>
        <v/>
      </c>
      <c r="Q477" s="12" t="str">
        <f t="shared" si="133"/>
        <v/>
      </c>
      <c r="R477" s="26" t="str">
        <f t="shared" si="130"/>
        <v/>
      </c>
      <c r="S477" s="26" t="str">
        <f t="shared" si="139"/>
        <v/>
      </c>
      <c r="T477" s="26" t="str">
        <f t="shared" si="134"/>
        <v/>
      </c>
      <c r="U477" s="26" t="str">
        <f t="shared" si="135"/>
        <v/>
      </c>
      <c r="V477" s="26" t="str">
        <f t="shared" si="136"/>
        <v/>
      </c>
      <c r="W477" s="20" t="str">
        <f t="shared" si="137"/>
        <v/>
      </c>
      <c r="X477" s="20" t="str">
        <f t="shared" si="138"/>
        <v/>
      </c>
      <c r="Y477" s="86" t="str">
        <f t="shared" si="140"/>
        <v/>
      </c>
      <c r="Z477" s="31"/>
    </row>
    <row r="478" spans="2:26" outlineLevel="1">
      <c r="B478" s="14">
        <f t="shared" si="124"/>
        <v>475</v>
      </c>
      <c r="C478" s="37"/>
      <c r="D478" s="40"/>
      <c r="E478" s="39"/>
      <c r="F478" s="37"/>
      <c r="G478" s="39"/>
      <c r="H478" s="37"/>
      <c r="I478" s="37"/>
      <c r="J478" s="41" t="str">
        <f t="shared" si="125"/>
        <v/>
      </c>
      <c r="K478" s="12" t="str">
        <f t="shared" si="131"/>
        <v/>
      </c>
      <c r="L478" s="12" t="str">
        <f t="shared" si="132"/>
        <v/>
      </c>
      <c r="M478" s="12" t="str">
        <f t="shared" si="126"/>
        <v/>
      </c>
      <c r="N478" s="12" t="str">
        <f t="shared" si="127"/>
        <v/>
      </c>
      <c r="O478" s="12" t="str">
        <f t="shared" si="128"/>
        <v/>
      </c>
      <c r="P478" s="12" t="str">
        <f t="shared" si="129"/>
        <v/>
      </c>
      <c r="Q478" s="12" t="str">
        <f t="shared" si="133"/>
        <v/>
      </c>
      <c r="R478" s="26" t="str">
        <f t="shared" si="130"/>
        <v/>
      </c>
      <c r="S478" s="26" t="str">
        <f t="shared" si="139"/>
        <v/>
      </c>
      <c r="T478" s="26" t="str">
        <f t="shared" si="134"/>
        <v/>
      </c>
      <c r="U478" s="26" t="str">
        <f t="shared" si="135"/>
        <v/>
      </c>
      <c r="V478" s="26" t="str">
        <f t="shared" si="136"/>
        <v/>
      </c>
      <c r="W478" s="20" t="str">
        <f t="shared" si="137"/>
        <v/>
      </c>
      <c r="X478" s="20" t="str">
        <f t="shared" si="138"/>
        <v/>
      </c>
      <c r="Y478" s="86" t="str">
        <f t="shared" si="140"/>
        <v/>
      </c>
      <c r="Z478" s="31"/>
    </row>
    <row r="479" spans="2:26" outlineLevel="1">
      <c r="B479" s="14">
        <f t="shared" si="124"/>
        <v>476</v>
      </c>
      <c r="C479" s="37"/>
      <c r="D479" s="40"/>
      <c r="E479" s="39"/>
      <c r="F479" s="37"/>
      <c r="G479" s="39"/>
      <c r="H479" s="37"/>
      <c r="I479" s="37"/>
      <c r="J479" s="41" t="str">
        <f t="shared" si="125"/>
        <v/>
      </c>
      <c r="K479" s="12" t="str">
        <f t="shared" si="131"/>
        <v/>
      </c>
      <c r="L479" s="12" t="str">
        <f t="shared" si="132"/>
        <v/>
      </c>
      <c r="M479" s="12" t="str">
        <f t="shared" si="126"/>
        <v/>
      </c>
      <c r="N479" s="12" t="str">
        <f t="shared" si="127"/>
        <v/>
      </c>
      <c r="O479" s="12" t="str">
        <f t="shared" si="128"/>
        <v/>
      </c>
      <c r="P479" s="12" t="str">
        <f t="shared" si="129"/>
        <v/>
      </c>
      <c r="Q479" s="12" t="str">
        <f t="shared" si="133"/>
        <v/>
      </c>
      <c r="R479" s="26" t="str">
        <f t="shared" si="130"/>
        <v/>
      </c>
      <c r="S479" s="26" t="str">
        <f t="shared" si="139"/>
        <v/>
      </c>
      <c r="T479" s="26" t="str">
        <f t="shared" si="134"/>
        <v/>
      </c>
      <c r="U479" s="26" t="str">
        <f t="shared" si="135"/>
        <v/>
      </c>
      <c r="V479" s="26" t="str">
        <f t="shared" si="136"/>
        <v/>
      </c>
      <c r="W479" s="20" t="str">
        <f t="shared" si="137"/>
        <v/>
      </c>
      <c r="X479" s="20" t="str">
        <f t="shared" si="138"/>
        <v/>
      </c>
      <c r="Y479" s="86" t="str">
        <f t="shared" si="140"/>
        <v/>
      </c>
      <c r="Z479" s="31"/>
    </row>
    <row r="480" spans="2:26" outlineLevel="1">
      <c r="B480" s="14">
        <f t="shared" si="124"/>
        <v>477</v>
      </c>
      <c r="C480" s="37"/>
      <c r="D480" s="40"/>
      <c r="E480" s="39"/>
      <c r="F480" s="37"/>
      <c r="G480" s="39"/>
      <c r="H480" s="37"/>
      <c r="I480" s="37"/>
      <c r="J480" s="41" t="str">
        <f t="shared" si="125"/>
        <v/>
      </c>
      <c r="K480" s="12" t="str">
        <f t="shared" si="131"/>
        <v/>
      </c>
      <c r="L480" s="12" t="str">
        <f t="shared" si="132"/>
        <v/>
      </c>
      <c r="M480" s="12" t="str">
        <f t="shared" si="126"/>
        <v/>
      </c>
      <c r="N480" s="12" t="str">
        <f t="shared" si="127"/>
        <v/>
      </c>
      <c r="O480" s="12" t="str">
        <f t="shared" si="128"/>
        <v/>
      </c>
      <c r="P480" s="12" t="str">
        <f t="shared" si="129"/>
        <v/>
      </c>
      <c r="Q480" s="12" t="str">
        <f t="shared" si="133"/>
        <v/>
      </c>
      <c r="R480" s="26" t="str">
        <f t="shared" si="130"/>
        <v/>
      </c>
      <c r="S480" s="26" t="str">
        <f t="shared" si="139"/>
        <v/>
      </c>
      <c r="T480" s="26" t="str">
        <f t="shared" si="134"/>
        <v/>
      </c>
      <c r="U480" s="26" t="str">
        <f t="shared" si="135"/>
        <v/>
      </c>
      <c r="V480" s="26" t="str">
        <f t="shared" si="136"/>
        <v/>
      </c>
      <c r="W480" s="20" t="str">
        <f t="shared" si="137"/>
        <v/>
      </c>
      <c r="X480" s="20" t="str">
        <f t="shared" si="138"/>
        <v/>
      </c>
      <c r="Y480" s="86" t="str">
        <f t="shared" si="140"/>
        <v/>
      </c>
      <c r="Z480" s="31"/>
    </row>
    <row r="481" spans="2:26" outlineLevel="1">
      <c r="B481" s="14">
        <f t="shared" si="124"/>
        <v>478</v>
      </c>
      <c r="C481" s="37"/>
      <c r="D481" s="40"/>
      <c r="E481" s="39"/>
      <c r="F481" s="37"/>
      <c r="G481" s="39"/>
      <c r="H481" s="37"/>
      <c r="I481" s="37"/>
      <c r="J481" s="41" t="str">
        <f t="shared" si="125"/>
        <v/>
      </c>
      <c r="K481" s="12" t="str">
        <f t="shared" si="131"/>
        <v/>
      </c>
      <c r="L481" s="12" t="str">
        <f t="shared" si="132"/>
        <v/>
      </c>
      <c r="M481" s="12" t="str">
        <f t="shared" si="126"/>
        <v/>
      </c>
      <c r="N481" s="12" t="str">
        <f t="shared" si="127"/>
        <v/>
      </c>
      <c r="O481" s="12" t="str">
        <f t="shared" si="128"/>
        <v/>
      </c>
      <c r="P481" s="12" t="str">
        <f t="shared" si="129"/>
        <v/>
      </c>
      <c r="Q481" s="12" t="str">
        <f t="shared" si="133"/>
        <v/>
      </c>
      <c r="R481" s="26" t="str">
        <f t="shared" si="130"/>
        <v/>
      </c>
      <c r="S481" s="26" t="str">
        <f t="shared" si="139"/>
        <v/>
      </c>
      <c r="T481" s="26" t="str">
        <f t="shared" si="134"/>
        <v/>
      </c>
      <c r="U481" s="26" t="str">
        <f t="shared" si="135"/>
        <v/>
      </c>
      <c r="V481" s="26" t="str">
        <f t="shared" si="136"/>
        <v/>
      </c>
      <c r="W481" s="20" t="str">
        <f t="shared" si="137"/>
        <v/>
      </c>
      <c r="X481" s="20" t="str">
        <f t="shared" si="138"/>
        <v/>
      </c>
      <c r="Y481" s="86" t="str">
        <f t="shared" si="140"/>
        <v/>
      </c>
      <c r="Z481" s="31"/>
    </row>
    <row r="482" spans="2:26" outlineLevel="1">
      <c r="B482" s="14">
        <f t="shared" si="124"/>
        <v>479</v>
      </c>
      <c r="C482" s="37"/>
      <c r="D482" s="40"/>
      <c r="E482" s="39"/>
      <c r="F482" s="37"/>
      <c r="G482" s="39"/>
      <c r="H482" s="37"/>
      <c r="I482" s="37"/>
      <c r="J482" s="41" t="str">
        <f t="shared" si="125"/>
        <v/>
      </c>
      <c r="K482" s="12" t="str">
        <f t="shared" si="131"/>
        <v/>
      </c>
      <c r="L482" s="12" t="str">
        <f t="shared" si="132"/>
        <v/>
      </c>
      <c r="M482" s="12" t="str">
        <f t="shared" si="126"/>
        <v/>
      </c>
      <c r="N482" s="12" t="str">
        <f t="shared" si="127"/>
        <v/>
      </c>
      <c r="O482" s="12" t="str">
        <f t="shared" si="128"/>
        <v/>
      </c>
      <c r="P482" s="12" t="str">
        <f t="shared" si="129"/>
        <v/>
      </c>
      <c r="Q482" s="12" t="str">
        <f t="shared" si="133"/>
        <v/>
      </c>
      <c r="R482" s="26" t="str">
        <f t="shared" si="130"/>
        <v/>
      </c>
      <c r="S482" s="26" t="str">
        <f t="shared" si="139"/>
        <v/>
      </c>
      <c r="T482" s="26" t="str">
        <f t="shared" si="134"/>
        <v/>
      </c>
      <c r="U482" s="26" t="str">
        <f t="shared" si="135"/>
        <v/>
      </c>
      <c r="V482" s="26" t="str">
        <f t="shared" si="136"/>
        <v/>
      </c>
      <c r="W482" s="20" t="str">
        <f t="shared" si="137"/>
        <v/>
      </c>
      <c r="X482" s="20" t="str">
        <f t="shared" si="138"/>
        <v/>
      </c>
      <c r="Y482" s="86" t="str">
        <f t="shared" si="140"/>
        <v/>
      </c>
      <c r="Z482" s="31"/>
    </row>
    <row r="483" spans="2:26" outlineLevel="1">
      <c r="B483" s="14">
        <f t="shared" si="124"/>
        <v>480</v>
      </c>
      <c r="C483" s="37"/>
      <c r="D483" s="40"/>
      <c r="E483" s="39"/>
      <c r="F483" s="37"/>
      <c r="G483" s="39"/>
      <c r="H483" s="37"/>
      <c r="I483" s="37"/>
      <c r="J483" s="41" t="str">
        <f t="shared" si="125"/>
        <v/>
      </c>
      <c r="K483" s="12" t="str">
        <f t="shared" si="131"/>
        <v/>
      </c>
      <c r="L483" s="12" t="str">
        <f t="shared" si="132"/>
        <v/>
      </c>
      <c r="M483" s="12" t="str">
        <f t="shared" si="126"/>
        <v/>
      </c>
      <c r="N483" s="12" t="str">
        <f t="shared" si="127"/>
        <v/>
      </c>
      <c r="O483" s="12" t="str">
        <f t="shared" si="128"/>
        <v/>
      </c>
      <c r="P483" s="12" t="str">
        <f t="shared" si="129"/>
        <v/>
      </c>
      <c r="Q483" s="12" t="str">
        <f t="shared" si="133"/>
        <v/>
      </c>
      <c r="R483" s="26" t="str">
        <f t="shared" si="130"/>
        <v/>
      </c>
      <c r="S483" s="26" t="str">
        <f t="shared" si="139"/>
        <v/>
      </c>
      <c r="T483" s="26" t="str">
        <f t="shared" si="134"/>
        <v/>
      </c>
      <c r="U483" s="26" t="str">
        <f t="shared" si="135"/>
        <v/>
      </c>
      <c r="V483" s="26" t="str">
        <f t="shared" si="136"/>
        <v/>
      </c>
      <c r="W483" s="20" t="str">
        <f t="shared" si="137"/>
        <v/>
      </c>
      <c r="X483" s="20" t="str">
        <f t="shared" si="138"/>
        <v/>
      </c>
      <c r="Y483" s="86" t="str">
        <f t="shared" si="140"/>
        <v/>
      </c>
      <c r="Z483" s="31"/>
    </row>
    <row r="484" spans="2:26" outlineLevel="1">
      <c r="B484" s="14">
        <f t="shared" si="124"/>
        <v>481</v>
      </c>
      <c r="C484" s="37"/>
      <c r="D484" s="40"/>
      <c r="E484" s="39"/>
      <c r="F484" s="37"/>
      <c r="G484" s="39"/>
      <c r="H484" s="37"/>
      <c r="I484" s="37"/>
      <c r="J484" s="41" t="str">
        <f t="shared" si="125"/>
        <v/>
      </c>
      <c r="K484" s="12" t="str">
        <f t="shared" si="131"/>
        <v/>
      </c>
      <c r="L484" s="12" t="str">
        <f t="shared" si="132"/>
        <v/>
      </c>
      <c r="M484" s="12" t="str">
        <f t="shared" si="126"/>
        <v/>
      </c>
      <c r="N484" s="12" t="str">
        <f t="shared" si="127"/>
        <v/>
      </c>
      <c r="O484" s="12" t="str">
        <f t="shared" si="128"/>
        <v/>
      </c>
      <c r="P484" s="12" t="str">
        <f t="shared" si="129"/>
        <v/>
      </c>
      <c r="Q484" s="12" t="str">
        <f t="shared" si="133"/>
        <v/>
      </c>
      <c r="R484" s="26" t="str">
        <f t="shared" si="130"/>
        <v/>
      </c>
      <c r="S484" s="26" t="str">
        <f t="shared" si="139"/>
        <v/>
      </c>
      <c r="T484" s="26" t="str">
        <f t="shared" si="134"/>
        <v/>
      </c>
      <c r="U484" s="26" t="str">
        <f t="shared" si="135"/>
        <v/>
      </c>
      <c r="V484" s="26" t="str">
        <f t="shared" si="136"/>
        <v/>
      </c>
      <c r="W484" s="20" t="str">
        <f t="shared" si="137"/>
        <v/>
      </c>
      <c r="X484" s="20" t="str">
        <f t="shared" si="138"/>
        <v/>
      </c>
      <c r="Y484" s="86" t="str">
        <f t="shared" si="140"/>
        <v/>
      </c>
      <c r="Z484" s="31"/>
    </row>
    <row r="485" spans="2:26" outlineLevel="1">
      <c r="B485" s="14">
        <f t="shared" si="124"/>
        <v>482</v>
      </c>
      <c r="C485" s="37"/>
      <c r="D485" s="40"/>
      <c r="E485" s="39"/>
      <c r="F485" s="37"/>
      <c r="G485" s="39"/>
      <c r="H485" s="37"/>
      <c r="I485" s="37"/>
      <c r="J485" s="41" t="str">
        <f t="shared" si="125"/>
        <v/>
      </c>
      <c r="K485" s="12" t="str">
        <f t="shared" si="131"/>
        <v/>
      </c>
      <c r="L485" s="12" t="str">
        <f t="shared" si="132"/>
        <v/>
      </c>
      <c r="M485" s="12" t="str">
        <f t="shared" si="126"/>
        <v/>
      </c>
      <c r="N485" s="12" t="str">
        <f t="shared" si="127"/>
        <v/>
      </c>
      <c r="O485" s="12" t="str">
        <f t="shared" si="128"/>
        <v/>
      </c>
      <c r="P485" s="12" t="str">
        <f t="shared" si="129"/>
        <v/>
      </c>
      <c r="Q485" s="12" t="str">
        <f t="shared" si="133"/>
        <v/>
      </c>
      <c r="R485" s="26" t="str">
        <f t="shared" si="130"/>
        <v/>
      </c>
      <c r="S485" s="26" t="str">
        <f t="shared" si="139"/>
        <v/>
      </c>
      <c r="T485" s="26" t="str">
        <f t="shared" si="134"/>
        <v/>
      </c>
      <c r="U485" s="26" t="str">
        <f t="shared" si="135"/>
        <v/>
      </c>
      <c r="V485" s="26" t="str">
        <f t="shared" si="136"/>
        <v/>
      </c>
      <c r="W485" s="20" t="str">
        <f t="shared" si="137"/>
        <v/>
      </c>
      <c r="X485" s="20" t="str">
        <f t="shared" si="138"/>
        <v/>
      </c>
      <c r="Y485" s="86" t="str">
        <f t="shared" si="140"/>
        <v/>
      </c>
      <c r="Z485" s="31"/>
    </row>
    <row r="486" spans="2:26" outlineLevel="1">
      <c r="B486" s="14">
        <f t="shared" si="124"/>
        <v>483</v>
      </c>
      <c r="C486" s="37"/>
      <c r="D486" s="40"/>
      <c r="E486" s="39"/>
      <c r="F486" s="37"/>
      <c r="G486" s="39"/>
      <c r="H486" s="37"/>
      <c r="I486" s="37"/>
      <c r="J486" s="41" t="str">
        <f t="shared" si="125"/>
        <v/>
      </c>
      <c r="K486" s="12" t="str">
        <f t="shared" si="131"/>
        <v/>
      </c>
      <c r="L486" s="12" t="str">
        <f t="shared" si="132"/>
        <v/>
      </c>
      <c r="M486" s="12" t="str">
        <f t="shared" si="126"/>
        <v/>
      </c>
      <c r="N486" s="12" t="str">
        <f t="shared" si="127"/>
        <v/>
      </c>
      <c r="O486" s="12" t="str">
        <f t="shared" si="128"/>
        <v/>
      </c>
      <c r="P486" s="12" t="str">
        <f t="shared" si="129"/>
        <v/>
      </c>
      <c r="Q486" s="12" t="str">
        <f t="shared" si="133"/>
        <v/>
      </c>
      <c r="R486" s="26" t="str">
        <f t="shared" si="130"/>
        <v/>
      </c>
      <c r="S486" s="26" t="str">
        <f t="shared" si="139"/>
        <v/>
      </c>
      <c r="T486" s="26" t="str">
        <f t="shared" si="134"/>
        <v/>
      </c>
      <c r="U486" s="26" t="str">
        <f t="shared" si="135"/>
        <v/>
      </c>
      <c r="V486" s="26" t="str">
        <f t="shared" si="136"/>
        <v/>
      </c>
      <c r="W486" s="20" t="str">
        <f t="shared" si="137"/>
        <v/>
      </c>
      <c r="X486" s="20" t="str">
        <f t="shared" si="138"/>
        <v/>
      </c>
      <c r="Y486" s="86" t="str">
        <f t="shared" si="140"/>
        <v/>
      </c>
      <c r="Z486" s="31"/>
    </row>
    <row r="487" spans="2:26" outlineLevel="1">
      <c r="B487" s="14">
        <f t="shared" si="124"/>
        <v>484</v>
      </c>
      <c r="C487" s="37"/>
      <c r="D487" s="40"/>
      <c r="E487" s="39"/>
      <c r="F487" s="37"/>
      <c r="G487" s="39"/>
      <c r="H487" s="37"/>
      <c r="I487" s="37"/>
      <c r="J487" s="41" t="str">
        <f t="shared" si="125"/>
        <v/>
      </c>
      <c r="K487" s="12" t="str">
        <f t="shared" si="131"/>
        <v/>
      </c>
      <c r="L487" s="12" t="str">
        <f t="shared" si="132"/>
        <v/>
      </c>
      <c r="M487" s="12" t="str">
        <f t="shared" si="126"/>
        <v/>
      </c>
      <c r="N487" s="12" t="str">
        <f t="shared" si="127"/>
        <v/>
      </c>
      <c r="O487" s="12" t="str">
        <f t="shared" si="128"/>
        <v/>
      </c>
      <c r="P487" s="12" t="str">
        <f t="shared" si="129"/>
        <v/>
      </c>
      <c r="Q487" s="12" t="str">
        <f t="shared" si="133"/>
        <v/>
      </c>
      <c r="R487" s="26" t="str">
        <f t="shared" si="130"/>
        <v/>
      </c>
      <c r="S487" s="26" t="str">
        <f t="shared" si="139"/>
        <v/>
      </c>
      <c r="T487" s="26" t="str">
        <f t="shared" si="134"/>
        <v/>
      </c>
      <c r="U487" s="26" t="str">
        <f t="shared" si="135"/>
        <v/>
      </c>
      <c r="V487" s="26" t="str">
        <f t="shared" si="136"/>
        <v/>
      </c>
      <c r="W487" s="20" t="str">
        <f t="shared" si="137"/>
        <v/>
      </c>
      <c r="X487" s="20" t="str">
        <f t="shared" si="138"/>
        <v/>
      </c>
      <c r="Y487" s="86" t="str">
        <f t="shared" si="140"/>
        <v/>
      </c>
      <c r="Z487" s="31"/>
    </row>
    <row r="488" spans="2:26" outlineLevel="1">
      <c r="B488" s="14">
        <f t="shared" si="124"/>
        <v>485</v>
      </c>
      <c r="C488" s="37"/>
      <c r="D488" s="40"/>
      <c r="E488" s="39"/>
      <c r="F488" s="37"/>
      <c r="G488" s="39"/>
      <c r="H488" s="37"/>
      <c r="I488" s="37"/>
      <c r="J488" s="41" t="str">
        <f t="shared" si="125"/>
        <v/>
      </c>
      <c r="K488" s="12" t="str">
        <f t="shared" si="131"/>
        <v/>
      </c>
      <c r="L488" s="12" t="str">
        <f t="shared" si="132"/>
        <v/>
      </c>
      <c r="M488" s="12" t="str">
        <f t="shared" si="126"/>
        <v/>
      </c>
      <c r="N488" s="12" t="str">
        <f t="shared" si="127"/>
        <v/>
      </c>
      <c r="O488" s="12" t="str">
        <f t="shared" si="128"/>
        <v/>
      </c>
      <c r="P488" s="12" t="str">
        <f t="shared" si="129"/>
        <v/>
      </c>
      <c r="Q488" s="12" t="str">
        <f t="shared" si="133"/>
        <v/>
      </c>
      <c r="R488" s="26" t="str">
        <f t="shared" si="130"/>
        <v/>
      </c>
      <c r="S488" s="26" t="str">
        <f t="shared" si="139"/>
        <v/>
      </c>
      <c r="T488" s="26" t="str">
        <f t="shared" si="134"/>
        <v/>
      </c>
      <c r="U488" s="26" t="str">
        <f t="shared" si="135"/>
        <v/>
      </c>
      <c r="V488" s="26" t="str">
        <f t="shared" si="136"/>
        <v/>
      </c>
      <c r="W488" s="20" t="str">
        <f t="shared" si="137"/>
        <v/>
      </c>
      <c r="X488" s="20" t="str">
        <f t="shared" si="138"/>
        <v/>
      </c>
      <c r="Y488" s="86" t="str">
        <f t="shared" si="140"/>
        <v/>
      </c>
      <c r="Z488" s="31"/>
    </row>
    <row r="489" spans="2:26" outlineLevel="1">
      <c r="B489" s="14">
        <f t="shared" si="124"/>
        <v>486</v>
      </c>
      <c r="C489" s="37"/>
      <c r="D489" s="40"/>
      <c r="E489" s="39"/>
      <c r="F489" s="37"/>
      <c r="G489" s="39"/>
      <c r="H489" s="37"/>
      <c r="I489" s="37"/>
      <c r="J489" s="41" t="str">
        <f t="shared" si="125"/>
        <v/>
      </c>
      <c r="K489" s="12" t="str">
        <f t="shared" si="131"/>
        <v/>
      </c>
      <c r="L489" s="12" t="str">
        <f t="shared" si="132"/>
        <v/>
      </c>
      <c r="M489" s="12" t="str">
        <f t="shared" si="126"/>
        <v/>
      </c>
      <c r="N489" s="12" t="str">
        <f t="shared" si="127"/>
        <v/>
      </c>
      <c r="O489" s="12" t="str">
        <f t="shared" si="128"/>
        <v/>
      </c>
      <c r="P489" s="12" t="str">
        <f t="shared" si="129"/>
        <v/>
      </c>
      <c r="Q489" s="12" t="str">
        <f t="shared" si="133"/>
        <v/>
      </c>
      <c r="R489" s="26" t="str">
        <f t="shared" si="130"/>
        <v/>
      </c>
      <c r="S489" s="26" t="str">
        <f t="shared" si="139"/>
        <v/>
      </c>
      <c r="T489" s="26" t="str">
        <f t="shared" si="134"/>
        <v/>
      </c>
      <c r="U489" s="26" t="str">
        <f t="shared" si="135"/>
        <v/>
      </c>
      <c r="V489" s="26" t="str">
        <f t="shared" si="136"/>
        <v/>
      </c>
      <c r="W489" s="20" t="str">
        <f t="shared" si="137"/>
        <v/>
      </c>
      <c r="X489" s="20" t="str">
        <f t="shared" si="138"/>
        <v/>
      </c>
      <c r="Y489" s="86" t="str">
        <f t="shared" si="140"/>
        <v/>
      </c>
      <c r="Z489" s="31"/>
    </row>
    <row r="490" spans="2:26" outlineLevel="1">
      <c r="B490" s="14">
        <f t="shared" si="124"/>
        <v>487</v>
      </c>
      <c r="C490" s="37"/>
      <c r="D490" s="40"/>
      <c r="E490" s="39"/>
      <c r="F490" s="37"/>
      <c r="G490" s="39"/>
      <c r="H490" s="37"/>
      <c r="I490" s="37"/>
      <c r="J490" s="41" t="str">
        <f t="shared" si="125"/>
        <v/>
      </c>
      <c r="K490" s="12" t="str">
        <f t="shared" si="131"/>
        <v/>
      </c>
      <c r="L490" s="12" t="str">
        <f t="shared" si="132"/>
        <v/>
      </c>
      <c r="M490" s="12" t="str">
        <f t="shared" si="126"/>
        <v/>
      </c>
      <c r="N490" s="12" t="str">
        <f t="shared" si="127"/>
        <v/>
      </c>
      <c r="O490" s="12" t="str">
        <f t="shared" si="128"/>
        <v/>
      </c>
      <c r="P490" s="12" t="str">
        <f t="shared" si="129"/>
        <v/>
      </c>
      <c r="Q490" s="12" t="str">
        <f t="shared" si="133"/>
        <v/>
      </c>
      <c r="R490" s="26" t="str">
        <f t="shared" si="130"/>
        <v/>
      </c>
      <c r="S490" s="26" t="str">
        <f t="shared" si="139"/>
        <v/>
      </c>
      <c r="T490" s="26" t="str">
        <f t="shared" si="134"/>
        <v/>
      </c>
      <c r="U490" s="26" t="str">
        <f t="shared" si="135"/>
        <v/>
      </c>
      <c r="V490" s="26" t="str">
        <f t="shared" si="136"/>
        <v/>
      </c>
      <c r="W490" s="20" t="str">
        <f t="shared" si="137"/>
        <v/>
      </c>
      <c r="X490" s="20" t="str">
        <f t="shared" si="138"/>
        <v/>
      </c>
      <c r="Y490" s="86" t="str">
        <f t="shared" si="140"/>
        <v/>
      </c>
      <c r="Z490" s="31"/>
    </row>
    <row r="491" spans="2:26" outlineLevel="1">
      <c r="B491" s="14">
        <f t="shared" si="124"/>
        <v>488</v>
      </c>
      <c r="C491" s="37"/>
      <c r="D491" s="40"/>
      <c r="E491" s="39"/>
      <c r="F491" s="37"/>
      <c r="G491" s="39"/>
      <c r="H491" s="37"/>
      <c r="I491" s="37"/>
      <c r="J491" s="41" t="str">
        <f t="shared" si="125"/>
        <v/>
      </c>
      <c r="K491" s="12" t="str">
        <f t="shared" si="131"/>
        <v/>
      </c>
      <c r="L491" s="12" t="str">
        <f t="shared" si="132"/>
        <v/>
      </c>
      <c r="M491" s="12" t="str">
        <f t="shared" si="126"/>
        <v/>
      </c>
      <c r="N491" s="12" t="str">
        <f t="shared" si="127"/>
        <v/>
      </c>
      <c r="O491" s="12" t="str">
        <f t="shared" si="128"/>
        <v/>
      </c>
      <c r="P491" s="12" t="str">
        <f t="shared" si="129"/>
        <v/>
      </c>
      <c r="Q491" s="12" t="str">
        <f t="shared" si="133"/>
        <v/>
      </c>
      <c r="R491" s="26" t="str">
        <f t="shared" si="130"/>
        <v/>
      </c>
      <c r="S491" s="26" t="str">
        <f t="shared" si="139"/>
        <v/>
      </c>
      <c r="T491" s="26" t="str">
        <f t="shared" si="134"/>
        <v/>
      </c>
      <c r="U491" s="26" t="str">
        <f t="shared" si="135"/>
        <v/>
      </c>
      <c r="V491" s="26" t="str">
        <f t="shared" si="136"/>
        <v/>
      </c>
      <c r="W491" s="20" t="str">
        <f t="shared" si="137"/>
        <v/>
      </c>
      <c r="X491" s="20" t="str">
        <f t="shared" si="138"/>
        <v/>
      </c>
      <c r="Y491" s="86" t="str">
        <f t="shared" si="140"/>
        <v/>
      </c>
      <c r="Z491" s="31"/>
    </row>
    <row r="492" spans="2:26" outlineLevel="1">
      <c r="B492" s="14">
        <f t="shared" si="124"/>
        <v>489</v>
      </c>
      <c r="C492" s="37"/>
      <c r="D492" s="40"/>
      <c r="E492" s="39"/>
      <c r="F492" s="37"/>
      <c r="G492" s="39"/>
      <c r="H492" s="37"/>
      <c r="I492" s="37"/>
      <c r="J492" s="41" t="str">
        <f t="shared" si="125"/>
        <v/>
      </c>
      <c r="K492" s="12" t="str">
        <f t="shared" si="131"/>
        <v/>
      </c>
      <c r="L492" s="12" t="str">
        <f t="shared" si="132"/>
        <v/>
      </c>
      <c r="M492" s="12" t="str">
        <f t="shared" si="126"/>
        <v/>
      </c>
      <c r="N492" s="12" t="str">
        <f t="shared" si="127"/>
        <v/>
      </c>
      <c r="O492" s="12" t="str">
        <f t="shared" si="128"/>
        <v/>
      </c>
      <c r="P492" s="12" t="str">
        <f t="shared" si="129"/>
        <v/>
      </c>
      <c r="Q492" s="12" t="str">
        <f t="shared" si="133"/>
        <v/>
      </c>
      <c r="R492" s="26" t="str">
        <f t="shared" si="130"/>
        <v/>
      </c>
      <c r="S492" s="26" t="str">
        <f t="shared" si="139"/>
        <v/>
      </c>
      <c r="T492" s="26" t="str">
        <f t="shared" si="134"/>
        <v/>
      </c>
      <c r="U492" s="26" t="str">
        <f t="shared" si="135"/>
        <v/>
      </c>
      <c r="V492" s="26" t="str">
        <f t="shared" si="136"/>
        <v/>
      </c>
      <c r="W492" s="20" t="str">
        <f t="shared" si="137"/>
        <v/>
      </c>
      <c r="X492" s="20" t="str">
        <f t="shared" si="138"/>
        <v/>
      </c>
      <c r="Y492" s="86" t="str">
        <f t="shared" si="140"/>
        <v/>
      </c>
      <c r="Z492" s="31"/>
    </row>
    <row r="493" spans="2:26" outlineLevel="1">
      <c r="B493" s="14">
        <f t="shared" si="124"/>
        <v>490</v>
      </c>
      <c r="C493" s="37"/>
      <c r="D493" s="40"/>
      <c r="E493" s="39"/>
      <c r="F493" s="37"/>
      <c r="G493" s="39"/>
      <c r="H493" s="37"/>
      <c r="I493" s="37"/>
      <c r="J493" s="41" t="str">
        <f t="shared" si="125"/>
        <v/>
      </c>
      <c r="K493" s="12" t="str">
        <f t="shared" si="131"/>
        <v/>
      </c>
      <c r="L493" s="12" t="str">
        <f t="shared" si="132"/>
        <v/>
      </c>
      <c r="M493" s="12" t="str">
        <f t="shared" si="126"/>
        <v/>
      </c>
      <c r="N493" s="12" t="str">
        <f t="shared" si="127"/>
        <v/>
      </c>
      <c r="O493" s="12" t="str">
        <f t="shared" si="128"/>
        <v/>
      </c>
      <c r="P493" s="12" t="str">
        <f t="shared" si="129"/>
        <v/>
      </c>
      <c r="Q493" s="12" t="str">
        <f t="shared" si="133"/>
        <v/>
      </c>
      <c r="R493" s="26" t="str">
        <f t="shared" si="130"/>
        <v/>
      </c>
      <c r="S493" s="26" t="str">
        <f t="shared" si="139"/>
        <v/>
      </c>
      <c r="T493" s="26" t="str">
        <f t="shared" si="134"/>
        <v/>
      </c>
      <c r="U493" s="26" t="str">
        <f t="shared" si="135"/>
        <v/>
      </c>
      <c r="V493" s="26" t="str">
        <f t="shared" si="136"/>
        <v/>
      </c>
      <c r="W493" s="20" t="str">
        <f t="shared" si="137"/>
        <v/>
      </c>
      <c r="X493" s="20" t="str">
        <f t="shared" si="138"/>
        <v/>
      </c>
      <c r="Y493" s="86" t="str">
        <f t="shared" si="140"/>
        <v/>
      </c>
      <c r="Z493" s="31"/>
    </row>
    <row r="494" spans="2:26" outlineLevel="1">
      <c r="B494" s="14">
        <f t="shared" si="124"/>
        <v>491</v>
      </c>
      <c r="C494" s="37"/>
      <c r="D494" s="40"/>
      <c r="E494" s="39"/>
      <c r="F494" s="37"/>
      <c r="G494" s="39"/>
      <c r="H494" s="37"/>
      <c r="I494" s="37"/>
      <c r="J494" s="41" t="str">
        <f t="shared" si="125"/>
        <v/>
      </c>
      <c r="K494" s="12" t="str">
        <f t="shared" si="131"/>
        <v/>
      </c>
      <c r="L494" s="12" t="str">
        <f t="shared" si="132"/>
        <v/>
      </c>
      <c r="M494" s="12" t="str">
        <f t="shared" si="126"/>
        <v/>
      </c>
      <c r="N494" s="12" t="str">
        <f t="shared" si="127"/>
        <v/>
      </c>
      <c r="O494" s="12" t="str">
        <f t="shared" si="128"/>
        <v/>
      </c>
      <c r="P494" s="12" t="str">
        <f t="shared" si="129"/>
        <v/>
      </c>
      <c r="Q494" s="12" t="str">
        <f t="shared" si="133"/>
        <v/>
      </c>
      <c r="R494" s="26" t="str">
        <f t="shared" si="130"/>
        <v/>
      </c>
      <c r="S494" s="26" t="str">
        <f t="shared" si="139"/>
        <v/>
      </c>
      <c r="T494" s="26" t="str">
        <f t="shared" si="134"/>
        <v/>
      </c>
      <c r="U494" s="26" t="str">
        <f t="shared" si="135"/>
        <v/>
      </c>
      <c r="V494" s="26" t="str">
        <f t="shared" si="136"/>
        <v/>
      </c>
      <c r="W494" s="20" t="str">
        <f t="shared" si="137"/>
        <v/>
      </c>
      <c r="X494" s="20" t="str">
        <f t="shared" si="138"/>
        <v/>
      </c>
      <c r="Y494" s="86" t="str">
        <f t="shared" si="140"/>
        <v/>
      </c>
      <c r="Z494" s="31"/>
    </row>
    <row r="495" spans="2:26" outlineLevel="1">
      <c r="B495" s="14">
        <f t="shared" si="124"/>
        <v>492</v>
      </c>
      <c r="C495" s="37"/>
      <c r="D495" s="40"/>
      <c r="E495" s="39"/>
      <c r="F495" s="37"/>
      <c r="G495" s="39"/>
      <c r="H495" s="37"/>
      <c r="I495" s="37"/>
      <c r="J495" s="41" t="str">
        <f t="shared" si="125"/>
        <v/>
      </c>
      <c r="K495" s="12" t="str">
        <f t="shared" si="131"/>
        <v/>
      </c>
      <c r="L495" s="12" t="str">
        <f t="shared" si="132"/>
        <v/>
      </c>
      <c r="M495" s="12" t="str">
        <f t="shared" si="126"/>
        <v/>
      </c>
      <c r="N495" s="12" t="str">
        <f t="shared" si="127"/>
        <v/>
      </c>
      <c r="O495" s="12" t="str">
        <f t="shared" si="128"/>
        <v/>
      </c>
      <c r="P495" s="12" t="str">
        <f t="shared" si="129"/>
        <v/>
      </c>
      <c r="Q495" s="12" t="str">
        <f t="shared" si="133"/>
        <v/>
      </c>
      <c r="R495" s="26" t="str">
        <f t="shared" si="130"/>
        <v/>
      </c>
      <c r="S495" s="26" t="str">
        <f t="shared" si="139"/>
        <v/>
      </c>
      <c r="T495" s="26" t="str">
        <f t="shared" si="134"/>
        <v/>
      </c>
      <c r="U495" s="26" t="str">
        <f t="shared" si="135"/>
        <v/>
      </c>
      <c r="V495" s="26" t="str">
        <f t="shared" si="136"/>
        <v/>
      </c>
      <c r="W495" s="20" t="str">
        <f t="shared" si="137"/>
        <v/>
      </c>
      <c r="X495" s="20" t="str">
        <f t="shared" si="138"/>
        <v/>
      </c>
      <c r="Y495" s="86" t="str">
        <f t="shared" si="140"/>
        <v/>
      </c>
      <c r="Z495" s="31"/>
    </row>
    <row r="496" spans="2:26" outlineLevel="1">
      <c r="B496" s="14">
        <f t="shared" si="124"/>
        <v>493</v>
      </c>
      <c r="C496" s="37"/>
      <c r="D496" s="40"/>
      <c r="E496" s="39"/>
      <c r="F496" s="37"/>
      <c r="G496" s="39"/>
      <c r="H496" s="37"/>
      <c r="I496" s="37"/>
      <c r="J496" s="41" t="str">
        <f t="shared" si="125"/>
        <v/>
      </c>
      <c r="K496" s="12" t="str">
        <f t="shared" si="131"/>
        <v/>
      </c>
      <c r="L496" s="12" t="str">
        <f t="shared" si="132"/>
        <v/>
      </c>
      <c r="M496" s="12" t="str">
        <f t="shared" si="126"/>
        <v/>
      </c>
      <c r="N496" s="12" t="str">
        <f t="shared" si="127"/>
        <v/>
      </c>
      <c r="O496" s="12" t="str">
        <f t="shared" si="128"/>
        <v/>
      </c>
      <c r="P496" s="12" t="str">
        <f t="shared" si="129"/>
        <v/>
      </c>
      <c r="Q496" s="12" t="str">
        <f t="shared" si="133"/>
        <v/>
      </c>
      <c r="R496" s="26" t="str">
        <f t="shared" si="130"/>
        <v/>
      </c>
      <c r="S496" s="26" t="str">
        <f t="shared" si="139"/>
        <v/>
      </c>
      <c r="T496" s="26" t="str">
        <f t="shared" si="134"/>
        <v/>
      </c>
      <c r="U496" s="26" t="str">
        <f t="shared" si="135"/>
        <v/>
      </c>
      <c r="V496" s="26" t="str">
        <f t="shared" si="136"/>
        <v/>
      </c>
      <c r="W496" s="20" t="str">
        <f t="shared" si="137"/>
        <v/>
      </c>
      <c r="X496" s="20" t="str">
        <f t="shared" si="138"/>
        <v/>
      </c>
      <c r="Y496" s="86" t="str">
        <f t="shared" si="140"/>
        <v/>
      </c>
      <c r="Z496" s="31"/>
    </row>
    <row r="497" spans="2:26" outlineLevel="1">
      <c r="B497" s="14">
        <f t="shared" si="124"/>
        <v>494</v>
      </c>
      <c r="C497" s="37"/>
      <c r="D497" s="40"/>
      <c r="E497" s="39"/>
      <c r="F497" s="37"/>
      <c r="G497" s="39"/>
      <c r="H497" s="37"/>
      <c r="I497" s="37"/>
      <c r="J497" s="41" t="str">
        <f t="shared" si="125"/>
        <v/>
      </c>
      <c r="K497" s="12" t="str">
        <f t="shared" si="131"/>
        <v/>
      </c>
      <c r="L497" s="12" t="str">
        <f t="shared" si="132"/>
        <v/>
      </c>
      <c r="M497" s="12" t="str">
        <f t="shared" si="126"/>
        <v/>
      </c>
      <c r="N497" s="12" t="str">
        <f t="shared" si="127"/>
        <v/>
      </c>
      <c r="O497" s="12" t="str">
        <f t="shared" si="128"/>
        <v/>
      </c>
      <c r="P497" s="12" t="str">
        <f t="shared" si="129"/>
        <v/>
      </c>
      <c r="Q497" s="12" t="str">
        <f t="shared" si="133"/>
        <v/>
      </c>
      <c r="R497" s="26" t="str">
        <f t="shared" si="130"/>
        <v/>
      </c>
      <c r="S497" s="26" t="str">
        <f t="shared" si="139"/>
        <v/>
      </c>
      <c r="T497" s="26" t="str">
        <f t="shared" si="134"/>
        <v/>
      </c>
      <c r="U497" s="26" t="str">
        <f t="shared" si="135"/>
        <v/>
      </c>
      <c r="V497" s="26" t="str">
        <f t="shared" si="136"/>
        <v/>
      </c>
      <c r="W497" s="20" t="str">
        <f t="shared" si="137"/>
        <v/>
      </c>
      <c r="X497" s="20" t="str">
        <f t="shared" si="138"/>
        <v/>
      </c>
      <c r="Y497" s="86" t="str">
        <f t="shared" si="140"/>
        <v/>
      </c>
      <c r="Z497" s="31"/>
    </row>
    <row r="498" spans="2:26" outlineLevel="1">
      <c r="B498" s="14">
        <f t="shared" si="124"/>
        <v>495</v>
      </c>
      <c r="C498" s="37"/>
      <c r="D498" s="40"/>
      <c r="E498" s="39"/>
      <c r="F498" s="37"/>
      <c r="G498" s="39"/>
      <c r="H498" s="37"/>
      <c r="I498" s="37"/>
      <c r="J498" s="41" t="str">
        <f t="shared" si="125"/>
        <v/>
      </c>
      <c r="K498" s="12" t="str">
        <f t="shared" si="131"/>
        <v/>
      </c>
      <c r="L498" s="12" t="str">
        <f t="shared" si="132"/>
        <v/>
      </c>
      <c r="M498" s="12" t="str">
        <f t="shared" si="126"/>
        <v/>
      </c>
      <c r="N498" s="12" t="str">
        <f t="shared" si="127"/>
        <v/>
      </c>
      <c r="O498" s="12" t="str">
        <f t="shared" si="128"/>
        <v/>
      </c>
      <c r="P498" s="12" t="str">
        <f t="shared" si="129"/>
        <v/>
      </c>
      <c r="Q498" s="12" t="str">
        <f t="shared" si="133"/>
        <v/>
      </c>
      <c r="R498" s="26" t="str">
        <f t="shared" si="130"/>
        <v/>
      </c>
      <c r="S498" s="26" t="str">
        <f t="shared" si="139"/>
        <v/>
      </c>
      <c r="T498" s="26" t="str">
        <f t="shared" si="134"/>
        <v/>
      </c>
      <c r="U498" s="26" t="str">
        <f t="shared" si="135"/>
        <v/>
      </c>
      <c r="V498" s="26" t="str">
        <f t="shared" si="136"/>
        <v/>
      </c>
      <c r="W498" s="20" t="str">
        <f t="shared" si="137"/>
        <v/>
      </c>
      <c r="X498" s="20" t="str">
        <f t="shared" si="138"/>
        <v/>
      </c>
      <c r="Y498" s="86" t="str">
        <f t="shared" si="140"/>
        <v/>
      </c>
      <c r="Z498" s="31"/>
    </row>
    <row r="499" spans="2:26" outlineLevel="1">
      <c r="B499" s="14">
        <f t="shared" si="124"/>
        <v>496</v>
      </c>
      <c r="C499" s="37"/>
      <c r="D499" s="40"/>
      <c r="E499" s="39"/>
      <c r="F499" s="37"/>
      <c r="G499" s="39"/>
      <c r="H499" s="37"/>
      <c r="I499" s="37"/>
      <c r="J499" s="41" t="str">
        <f t="shared" si="125"/>
        <v/>
      </c>
      <c r="K499" s="12" t="str">
        <f t="shared" si="131"/>
        <v/>
      </c>
      <c r="L499" s="12" t="str">
        <f t="shared" si="132"/>
        <v/>
      </c>
      <c r="M499" s="12" t="str">
        <f t="shared" si="126"/>
        <v/>
      </c>
      <c r="N499" s="12" t="str">
        <f t="shared" si="127"/>
        <v/>
      </c>
      <c r="O499" s="12" t="str">
        <f t="shared" si="128"/>
        <v/>
      </c>
      <c r="P499" s="12" t="str">
        <f t="shared" si="129"/>
        <v/>
      </c>
      <c r="Q499" s="12" t="str">
        <f t="shared" si="133"/>
        <v/>
      </c>
      <c r="R499" s="26" t="str">
        <f t="shared" si="130"/>
        <v/>
      </c>
      <c r="S499" s="26" t="str">
        <f t="shared" si="139"/>
        <v/>
      </c>
      <c r="T499" s="26" t="str">
        <f t="shared" si="134"/>
        <v/>
      </c>
      <c r="U499" s="26" t="str">
        <f t="shared" si="135"/>
        <v/>
      </c>
      <c r="V499" s="26" t="str">
        <f t="shared" si="136"/>
        <v/>
      </c>
      <c r="W499" s="20" t="str">
        <f t="shared" si="137"/>
        <v/>
      </c>
      <c r="X499" s="20" t="str">
        <f t="shared" si="138"/>
        <v/>
      </c>
      <c r="Y499" s="86" t="str">
        <f t="shared" si="140"/>
        <v/>
      </c>
      <c r="Z499" s="31"/>
    </row>
    <row r="500" spans="2:26" outlineLevel="1">
      <c r="B500" s="14">
        <f t="shared" si="124"/>
        <v>497</v>
      </c>
      <c r="C500" s="37"/>
      <c r="D500" s="40"/>
      <c r="E500" s="39"/>
      <c r="F500" s="37"/>
      <c r="G500" s="39"/>
      <c r="H500" s="37"/>
      <c r="I500" s="37"/>
      <c r="J500" s="41" t="str">
        <f t="shared" si="125"/>
        <v/>
      </c>
      <c r="K500" s="12" t="str">
        <f t="shared" si="131"/>
        <v/>
      </c>
      <c r="L500" s="12" t="str">
        <f t="shared" si="132"/>
        <v/>
      </c>
      <c r="M500" s="12" t="str">
        <f t="shared" si="126"/>
        <v/>
      </c>
      <c r="N500" s="12" t="str">
        <f t="shared" si="127"/>
        <v/>
      </c>
      <c r="O500" s="12" t="str">
        <f t="shared" si="128"/>
        <v/>
      </c>
      <c r="P500" s="12" t="str">
        <f t="shared" si="129"/>
        <v/>
      </c>
      <c r="Q500" s="12" t="str">
        <f t="shared" si="133"/>
        <v/>
      </c>
      <c r="R500" s="26" t="str">
        <f t="shared" si="130"/>
        <v/>
      </c>
      <c r="S500" s="26" t="str">
        <f t="shared" si="139"/>
        <v/>
      </c>
      <c r="T500" s="26" t="str">
        <f t="shared" si="134"/>
        <v/>
      </c>
      <c r="U500" s="26" t="str">
        <f t="shared" si="135"/>
        <v/>
      </c>
      <c r="V500" s="26" t="str">
        <f t="shared" si="136"/>
        <v/>
      </c>
      <c r="W500" s="20" t="str">
        <f t="shared" si="137"/>
        <v/>
      </c>
      <c r="X500" s="20" t="str">
        <f t="shared" si="138"/>
        <v/>
      </c>
      <c r="Y500" s="86" t="str">
        <f t="shared" si="140"/>
        <v/>
      </c>
      <c r="Z500" s="31"/>
    </row>
    <row r="501" spans="2:26" outlineLevel="1">
      <c r="B501" s="14">
        <f t="shared" si="124"/>
        <v>498</v>
      </c>
      <c r="C501" s="37"/>
      <c r="D501" s="40"/>
      <c r="E501" s="39"/>
      <c r="F501" s="37"/>
      <c r="G501" s="39"/>
      <c r="H501" s="37"/>
      <c r="I501" s="37"/>
      <c r="J501" s="41" t="str">
        <f t="shared" si="125"/>
        <v/>
      </c>
      <c r="K501" s="12" t="str">
        <f t="shared" si="131"/>
        <v/>
      </c>
      <c r="L501" s="12" t="str">
        <f t="shared" si="132"/>
        <v/>
      </c>
      <c r="M501" s="12" t="str">
        <f t="shared" si="126"/>
        <v/>
      </c>
      <c r="N501" s="12" t="str">
        <f t="shared" si="127"/>
        <v/>
      </c>
      <c r="O501" s="12" t="str">
        <f t="shared" si="128"/>
        <v/>
      </c>
      <c r="P501" s="12" t="str">
        <f t="shared" si="129"/>
        <v/>
      </c>
      <c r="Q501" s="12" t="str">
        <f t="shared" si="133"/>
        <v/>
      </c>
      <c r="R501" s="26" t="str">
        <f t="shared" si="130"/>
        <v/>
      </c>
      <c r="S501" s="26" t="str">
        <f t="shared" si="139"/>
        <v/>
      </c>
      <c r="T501" s="26" t="str">
        <f t="shared" si="134"/>
        <v/>
      </c>
      <c r="U501" s="26" t="str">
        <f t="shared" si="135"/>
        <v/>
      </c>
      <c r="V501" s="26" t="str">
        <f t="shared" si="136"/>
        <v/>
      </c>
      <c r="W501" s="20" t="str">
        <f t="shared" si="137"/>
        <v/>
      </c>
      <c r="X501" s="20" t="str">
        <f t="shared" si="138"/>
        <v/>
      </c>
      <c r="Y501" s="86" t="str">
        <f t="shared" si="140"/>
        <v/>
      </c>
      <c r="Z501" s="31"/>
    </row>
    <row r="502" spans="2:26" outlineLevel="1">
      <c r="B502" s="14">
        <f t="shared" si="124"/>
        <v>499</v>
      </c>
      <c r="C502" s="37"/>
      <c r="D502" s="40"/>
      <c r="E502" s="39"/>
      <c r="F502" s="37"/>
      <c r="G502" s="39"/>
      <c r="H502" s="37"/>
      <c r="I502" s="37"/>
      <c r="J502" s="41" t="str">
        <f t="shared" si="125"/>
        <v/>
      </c>
      <c r="K502" s="12" t="str">
        <f t="shared" si="131"/>
        <v/>
      </c>
      <c r="L502" s="12" t="str">
        <f t="shared" si="132"/>
        <v/>
      </c>
      <c r="M502" s="12" t="str">
        <f t="shared" si="126"/>
        <v/>
      </c>
      <c r="N502" s="12" t="str">
        <f t="shared" si="127"/>
        <v/>
      </c>
      <c r="O502" s="12" t="str">
        <f t="shared" si="128"/>
        <v/>
      </c>
      <c r="P502" s="12" t="str">
        <f t="shared" si="129"/>
        <v/>
      </c>
      <c r="Q502" s="12" t="str">
        <f t="shared" si="133"/>
        <v/>
      </c>
      <c r="R502" s="26" t="str">
        <f t="shared" si="130"/>
        <v/>
      </c>
      <c r="S502" s="26" t="str">
        <f t="shared" si="139"/>
        <v/>
      </c>
      <c r="T502" s="26" t="str">
        <f t="shared" si="134"/>
        <v/>
      </c>
      <c r="U502" s="26" t="str">
        <f t="shared" si="135"/>
        <v/>
      </c>
      <c r="V502" s="26" t="str">
        <f t="shared" si="136"/>
        <v/>
      </c>
      <c r="W502" s="20" t="str">
        <f t="shared" si="137"/>
        <v/>
      </c>
      <c r="X502" s="20" t="str">
        <f t="shared" si="138"/>
        <v/>
      </c>
      <c r="Y502" s="86" t="str">
        <f t="shared" si="140"/>
        <v/>
      </c>
      <c r="Z502" s="31"/>
    </row>
    <row r="503" spans="2:26" outlineLevel="1">
      <c r="B503" s="14">
        <f t="shared" si="124"/>
        <v>500</v>
      </c>
      <c r="C503" s="37"/>
      <c r="D503" s="40"/>
      <c r="E503" s="39"/>
      <c r="F503" s="37"/>
      <c r="G503" s="39"/>
      <c r="H503" s="37"/>
      <c r="I503" s="37"/>
      <c r="J503" s="41" t="str">
        <f t="shared" si="125"/>
        <v/>
      </c>
      <c r="K503" s="12" t="str">
        <f t="shared" si="131"/>
        <v/>
      </c>
      <c r="L503" s="12" t="str">
        <f t="shared" si="132"/>
        <v/>
      </c>
      <c r="M503" s="12" t="str">
        <f t="shared" si="126"/>
        <v/>
      </c>
      <c r="N503" s="12" t="str">
        <f t="shared" si="127"/>
        <v/>
      </c>
      <c r="O503" s="12" t="str">
        <f t="shared" si="128"/>
        <v/>
      </c>
      <c r="P503" s="12" t="str">
        <f t="shared" si="129"/>
        <v/>
      </c>
      <c r="Q503" s="12" t="str">
        <f t="shared" si="133"/>
        <v/>
      </c>
      <c r="R503" s="26" t="str">
        <f t="shared" si="130"/>
        <v/>
      </c>
      <c r="S503" s="26" t="str">
        <f t="shared" si="139"/>
        <v/>
      </c>
      <c r="T503" s="26" t="str">
        <f t="shared" si="134"/>
        <v/>
      </c>
      <c r="U503" s="26" t="str">
        <f t="shared" si="135"/>
        <v/>
      </c>
      <c r="V503" s="26" t="str">
        <f t="shared" si="136"/>
        <v/>
      </c>
      <c r="W503" s="20" t="str">
        <f t="shared" si="137"/>
        <v/>
      </c>
      <c r="X503" s="20" t="str">
        <f t="shared" si="138"/>
        <v/>
      </c>
      <c r="Y503" s="86" t="str">
        <f t="shared" si="140"/>
        <v/>
      </c>
      <c r="Z503" s="31"/>
    </row>
    <row r="504" spans="2:26" outlineLevel="1">
      <c r="B504" s="14">
        <f t="shared" si="124"/>
        <v>501</v>
      </c>
      <c r="C504" s="37"/>
      <c r="D504" s="40"/>
      <c r="E504" s="39"/>
      <c r="F504" s="37"/>
      <c r="G504" s="39"/>
      <c r="H504" s="37"/>
      <c r="I504" s="37"/>
      <c r="J504" s="41" t="str">
        <f t="shared" si="125"/>
        <v/>
      </c>
      <c r="K504" s="12" t="str">
        <f t="shared" si="131"/>
        <v/>
      </c>
      <c r="L504" s="12" t="str">
        <f t="shared" si="132"/>
        <v/>
      </c>
      <c r="M504" s="12" t="str">
        <f t="shared" si="126"/>
        <v/>
      </c>
      <c r="N504" s="12" t="str">
        <f t="shared" si="127"/>
        <v/>
      </c>
      <c r="O504" s="12" t="str">
        <f t="shared" si="128"/>
        <v/>
      </c>
      <c r="P504" s="12" t="str">
        <f t="shared" si="129"/>
        <v/>
      </c>
      <c r="Q504" s="12" t="str">
        <f t="shared" si="133"/>
        <v/>
      </c>
      <c r="R504" s="26" t="str">
        <f t="shared" si="130"/>
        <v/>
      </c>
      <c r="S504" s="26" t="str">
        <f t="shared" si="139"/>
        <v/>
      </c>
      <c r="T504" s="26" t="str">
        <f t="shared" si="134"/>
        <v/>
      </c>
      <c r="U504" s="26" t="str">
        <f t="shared" si="135"/>
        <v/>
      </c>
      <c r="V504" s="26" t="str">
        <f t="shared" si="136"/>
        <v/>
      </c>
      <c r="W504" s="20" t="str">
        <f t="shared" si="137"/>
        <v/>
      </c>
      <c r="X504" s="20" t="str">
        <f t="shared" si="138"/>
        <v/>
      </c>
      <c r="Y504" s="86" t="str">
        <f t="shared" si="140"/>
        <v/>
      </c>
      <c r="Z504" s="31"/>
    </row>
    <row r="505" spans="2:26" outlineLevel="1">
      <c r="B505" s="14">
        <f t="shared" si="124"/>
        <v>502</v>
      </c>
      <c r="C505" s="37"/>
      <c r="D505" s="40"/>
      <c r="E505" s="39"/>
      <c r="F505" s="37"/>
      <c r="G505" s="39"/>
      <c r="H505" s="37"/>
      <c r="I505" s="37"/>
      <c r="J505" s="41" t="str">
        <f t="shared" si="125"/>
        <v/>
      </c>
      <c r="K505" s="12" t="str">
        <f t="shared" si="131"/>
        <v/>
      </c>
      <c r="L505" s="12" t="str">
        <f t="shared" si="132"/>
        <v/>
      </c>
      <c r="M505" s="12" t="str">
        <f t="shared" si="126"/>
        <v/>
      </c>
      <c r="N505" s="12" t="str">
        <f t="shared" si="127"/>
        <v/>
      </c>
      <c r="O505" s="12" t="str">
        <f t="shared" si="128"/>
        <v/>
      </c>
      <c r="P505" s="12" t="str">
        <f t="shared" si="129"/>
        <v/>
      </c>
      <c r="Q505" s="12" t="str">
        <f t="shared" si="133"/>
        <v/>
      </c>
      <c r="R505" s="26" t="str">
        <f t="shared" si="130"/>
        <v/>
      </c>
      <c r="S505" s="26" t="str">
        <f t="shared" si="139"/>
        <v/>
      </c>
      <c r="T505" s="26" t="str">
        <f t="shared" si="134"/>
        <v/>
      </c>
      <c r="U505" s="26" t="str">
        <f t="shared" si="135"/>
        <v/>
      </c>
      <c r="V505" s="26" t="str">
        <f t="shared" si="136"/>
        <v/>
      </c>
      <c r="W505" s="20" t="str">
        <f t="shared" si="137"/>
        <v/>
      </c>
      <c r="X505" s="20" t="str">
        <f t="shared" si="138"/>
        <v/>
      </c>
      <c r="Y505" s="86" t="str">
        <f t="shared" si="140"/>
        <v/>
      </c>
      <c r="Z505" s="31"/>
    </row>
    <row r="506" spans="2:26" outlineLevel="1">
      <c r="B506" s="14">
        <f t="shared" si="124"/>
        <v>503</v>
      </c>
      <c r="C506" s="37"/>
      <c r="D506" s="40"/>
      <c r="E506" s="39"/>
      <c r="F506" s="37"/>
      <c r="G506" s="39"/>
      <c r="H506" s="37"/>
      <c r="I506" s="37"/>
      <c r="J506" s="41" t="str">
        <f t="shared" si="125"/>
        <v/>
      </c>
      <c r="K506" s="12" t="str">
        <f t="shared" si="131"/>
        <v/>
      </c>
      <c r="L506" s="12" t="str">
        <f t="shared" si="132"/>
        <v/>
      </c>
      <c r="M506" s="12" t="str">
        <f t="shared" si="126"/>
        <v/>
      </c>
      <c r="N506" s="12" t="str">
        <f t="shared" si="127"/>
        <v/>
      </c>
      <c r="O506" s="12" t="str">
        <f t="shared" si="128"/>
        <v/>
      </c>
      <c r="P506" s="12" t="str">
        <f t="shared" si="129"/>
        <v/>
      </c>
      <c r="Q506" s="12" t="str">
        <f t="shared" si="133"/>
        <v/>
      </c>
      <c r="R506" s="26" t="str">
        <f t="shared" si="130"/>
        <v/>
      </c>
      <c r="S506" s="26" t="str">
        <f t="shared" si="139"/>
        <v/>
      </c>
      <c r="T506" s="26" t="str">
        <f t="shared" si="134"/>
        <v/>
      </c>
      <c r="U506" s="26" t="str">
        <f t="shared" si="135"/>
        <v/>
      </c>
      <c r="V506" s="26" t="str">
        <f t="shared" si="136"/>
        <v/>
      </c>
      <c r="W506" s="20" t="str">
        <f t="shared" si="137"/>
        <v/>
      </c>
      <c r="X506" s="20" t="str">
        <f t="shared" si="138"/>
        <v/>
      </c>
      <c r="Y506" s="86" t="str">
        <f t="shared" si="140"/>
        <v/>
      </c>
      <c r="Z506" s="31"/>
    </row>
    <row r="507" spans="2:26" outlineLevel="1">
      <c r="B507" s="14">
        <f t="shared" si="124"/>
        <v>504</v>
      </c>
      <c r="C507" s="37"/>
      <c r="D507" s="40"/>
      <c r="E507" s="39"/>
      <c r="F507" s="37"/>
      <c r="G507" s="39"/>
      <c r="H507" s="37"/>
      <c r="I507" s="37"/>
      <c r="J507" s="41" t="str">
        <f t="shared" si="125"/>
        <v/>
      </c>
      <c r="K507" s="12" t="str">
        <f t="shared" si="131"/>
        <v/>
      </c>
      <c r="L507" s="12" t="str">
        <f t="shared" si="132"/>
        <v/>
      </c>
      <c r="M507" s="12" t="str">
        <f t="shared" si="126"/>
        <v/>
      </c>
      <c r="N507" s="12" t="str">
        <f t="shared" si="127"/>
        <v/>
      </c>
      <c r="O507" s="12" t="str">
        <f t="shared" si="128"/>
        <v/>
      </c>
      <c r="P507" s="12" t="str">
        <f t="shared" si="129"/>
        <v/>
      </c>
      <c r="Q507" s="12" t="str">
        <f t="shared" si="133"/>
        <v/>
      </c>
      <c r="R507" s="26" t="str">
        <f t="shared" si="130"/>
        <v/>
      </c>
      <c r="S507" s="26" t="str">
        <f t="shared" si="139"/>
        <v/>
      </c>
      <c r="T507" s="26" t="str">
        <f t="shared" si="134"/>
        <v/>
      </c>
      <c r="U507" s="26" t="str">
        <f t="shared" si="135"/>
        <v/>
      </c>
      <c r="V507" s="26" t="str">
        <f t="shared" si="136"/>
        <v/>
      </c>
      <c r="W507" s="20" t="str">
        <f t="shared" si="137"/>
        <v/>
      </c>
      <c r="X507" s="20" t="str">
        <f t="shared" si="138"/>
        <v/>
      </c>
      <c r="Y507" s="86" t="str">
        <f t="shared" si="140"/>
        <v/>
      </c>
      <c r="Z507" s="31"/>
    </row>
    <row r="508" spans="2:26" outlineLevel="1">
      <c r="B508" s="14">
        <f t="shared" si="124"/>
        <v>505</v>
      </c>
      <c r="C508" s="37"/>
      <c r="D508" s="40"/>
      <c r="E508" s="39"/>
      <c r="F508" s="37"/>
      <c r="G508" s="39"/>
      <c r="H508" s="37"/>
      <c r="I508" s="37"/>
      <c r="J508" s="41" t="str">
        <f t="shared" si="125"/>
        <v/>
      </c>
      <c r="K508" s="12" t="str">
        <f t="shared" si="131"/>
        <v/>
      </c>
      <c r="L508" s="12" t="str">
        <f t="shared" si="132"/>
        <v/>
      </c>
      <c r="M508" s="12" t="str">
        <f t="shared" si="126"/>
        <v/>
      </c>
      <c r="N508" s="12" t="str">
        <f t="shared" si="127"/>
        <v/>
      </c>
      <c r="O508" s="12" t="str">
        <f t="shared" si="128"/>
        <v/>
      </c>
      <c r="P508" s="12" t="str">
        <f t="shared" si="129"/>
        <v/>
      </c>
      <c r="Q508" s="12" t="str">
        <f t="shared" si="133"/>
        <v/>
      </c>
      <c r="R508" s="26" t="str">
        <f t="shared" si="130"/>
        <v/>
      </c>
      <c r="S508" s="26" t="str">
        <f t="shared" si="139"/>
        <v/>
      </c>
      <c r="T508" s="26" t="str">
        <f t="shared" si="134"/>
        <v/>
      </c>
      <c r="U508" s="26" t="str">
        <f t="shared" si="135"/>
        <v/>
      </c>
      <c r="V508" s="26" t="str">
        <f t="shared" si="136"/>
        <v/>
      </c>
      <c r="W508" s="20" t="str">
        <f t="shared" si="137"/>
        <v/>
      </c>
      <c r="X508" s="20" t="str">
        <f t="shared" si="138"/>
        <v/>
      </c>
      <c r="Y508" s="86" t="str">
        <f t="shared" si="140"/>
        <v/>
      </c>
      <c r="Z508" s="31"/>
    </row>
    <row r="509" spans="2:26" outlineLevel="1">
      <c r="B509" s="14">
        <f t="shared" si="124"/>
        <v>506</v>
      </c>
      <c r="C509" s="37"/>
      <c r="D509" s="40"/>
      <c r="E509" s="39"/>
      <c r="F509" s="37"/>
      <c r="G509" s="39"/>
      <c r="H509" s="37"/>
      <c r="I509" s="37"/>
      <c r="J509" s="41" t="str">
        <f t="shared" si="125"/>
        <v/>
      </c>
      <c r="K509" s="12" t="str">
        <f t="shared" si="131"/>
        <v/>
      </c>
      <c r="L509" s="12" t="str">
        <f t="shared" si="132"/>
        <v/>
      </c>
      <c r="M509" s="12" t="str">
        <f t="shared" si="126"/>
        <v/>
      </c>
      <c r="N509" s="12" t="str">
        <f t="shared" si="127"/>
        <v/>
      </c>
      <c r="O509" s="12" t="str">
        <f t="shared" si="128"/>
        <v/>
      </c>
      <c r="P509" s="12" t="str">
        <f t="shared" si="129"/>
        <v/>
      </c>
      <c r="Q509" s="12" t="str">
        <f t="shared" si="133"/>
        <v/>
      </c>
      <c r="R509" s="26" t="str">
        <f t="shared" si="130"/>
        <v/>
      </c>
      <c r="S509" s="26" t="str">
        <f t="shared" si="139"/>
        <v/>
      </c>
      <c r="T509" s="26" t="str">
        <f t="shared" si="134"/>
        <v/>
      </c>
      <c r="U509" s="26" t="str">
        <f t="shared" si="135"/>
        <v/>
      </c>
      <c r="V509" s="26" t="str">
        <f t="shared" si="136"/>
        <v/>
      </c>
      <c r="W509" s="20" t="str">
        <f t="shared" si="137"/>
        <v/>
      </c>
      <c r="X509" s="20" t="str">
        <f t="shared" si="138"/>
        <v/>
      </c>
      <c r="Y509" s="86" t="str">
        <f t="shared" si="140"/>
        <v/>
      </c>
      <c r="Z509" s="31"/>
    </row>
    <row r="510" spans="2:26" outlineLevel="1">
      <c r="B510" s="14">
        <f t="shared" si="124"/>
        <v>507</v>
      </c>
      <c r="C510" s="37"/>
      <c r="D510" s="40"/>
      <c r="E510" s="39"/>
      <c r="F510" s="37"/>
      <c r="G510" s="39"/>
      <c r="H510" s="37"/>
      <c r="I510" s="37"/>
      <c r="J510" s="41" t="str">
        <f t="shared" si="125"/>
        <v/>
      </c>
      <c r="K510" s="12" t="str">
        <f t="shared" si="131"/>
        <v/>
      </c>
      <c r="L510" s="12" t="str">
        <f t="shared" si="132"/>
        <v/>
      </c>
      <c r="M510" s="12" t="str">
        <f t="shared" si="126"/>
        <v/>
      </c>
      <c r="N510" s="12" t="str">
        <f t="shared" si="127"/>
        <v/>
      </c>
      <c r="O510" s="12" t="str">
        <f t="shared" si="128"/>
        <v/>
      </c>
      <c r="P510" s="12" t="str">
        <f t="shared" si="129"/>
        <v/>
      </c>
      <c r="Q510" s="12" t="str">
        <f t="shared" si="133"/>
        <v/>
      </c>
      <c r="R510" s="26" t="str">
        <f t="shared" si="130"/>
        <v/>
      </c>
      <c r="S510" s="26" t="str">
        <f t="shared" si="139"/>
        <v/>
      </c>
      <c r="T510" s="26" t="str">
        <f t="shared" si="134"/>
        <v/>
      </c>
      <c r="U510" s="26" t="str">
        <f t="shared" si="135"/>
        <v/>
      </c>
      <c r="V510" s="26" t="str">
        <f t="shared" si="136"/>
        <v/>
      </c>
      <c r="W510" s="20" t="str">
        <f t="shared" si="137"/>
        <v/>
      </c>
      <c r="X510" s="20" t="str">
        <f t="shared" si="138"/>
        <v/>
      </c>
      <c r="Y510" s="86" t="str">
        <f t="shared" si="140"/>
        <v/>
      </c>
      <c r="Z510" s="31"/>
    </row>
    <row r="511" spans="2:26" outlineLevel="1">
      <c r="B511" s="14">
        <f t="shared" si="124"/>
        <v>508</v>
      </c>
      <c r="C511" s="37"/>
      <c r="D511" s="40"/>
      <c r="E511" s="39"/>
      <c r="F511" s="37"/>
      <c r="G511" s="39"/>
      <c r="H511" s="37"/>
      <c r="I511" s="37"/>
      <c r="J511" s="41" t="str">
        <f t="shared" si="125"/>
        <v/>
      </c>
      <c r="K511" s="12" t="str">
        <f t="shared" si="131"/>
        <v/>
      </c>
      <c r="L511" s="12" t="str">
        <f t="shared" si="132"/>
        <v/>
      </c>
      <c r="M511" s="12" t="str">
        <f t="shared" si="126"/>
        <v/>
      </c>
      <c r="N511" s="12" t="str">
        <f t="shared" si="127"/>
        <v/>
      </c>
      <c r="O511" s="12" t="str">
        <f t="shared" si="128"/>
        <v/>
      </c>
      <c r="P511" s="12" t="str">
        <f t="shared" si="129"/>
        <v/>
      </c>
      <c r="Q511" s="12" t="str">
        <f t="shared" si="133"/>
        <v/>
      </c>
      <c r="R511" s="26" t="str">
        <f t="shared" si="130"/>
        <v/>
      </c>
      <c r="S511" s="26" t="str">
        <f t="shared" si="139"/>
        <v/>
      </c>
      <c r="T511" s="26" t="str">
        <f t="shared" si="134"/>
        <v/>
      </c>
      <c r="U511" s="26" t="str">
        <f t="shared" si="135"/>
        <v/>
      </c>
      <c r="V511" s="26" t="str">
        <f t="shared" si="136"/>
        <v/>
      </c>
      <c r="W511" s="20" t="str">
        <f t="shared" si="137"/>
        <v/>
      </c>
      <c r="X511" s="20" t="str">
        <f t="shared" si="138"/>
        <v/>
      </c>
      <c r="Y511" s="86" t="str">
        <f t="shared" si="140"/>
        <v/>
      </c>
      <c r="Z511" s="31"/>
    </row>
    <row r="512" spans="2:26" outlineLevel="1">
      <c r="B512" s="14">
        <f t="shared" si="124"/>
        <v>509</v>
      </c>
      <c r="C512" s="37"/>
      <c r="D512" s="40"/>
      <c r="E512" s="39"/>
      <c r="F512" s="37"/>
      <c r="G512" s="39"/>
      <c r="H512" s="37"/>
      <c r="I512" s="37"/>
      <c r="J512" s="41" t="str">
        <f t="shared" si="125"/>
        <v/>
      </c>
      <c r="K512" s="12" t="str">
        <f t="shared" si="131"/>
        <v/>
      </c>
      <c r="L512" s="12" t="str">
        <f t="shared" si="132"/>
        <v/>
      </c>
      <c r="M512" s="12" t="str">
        <f t="shared" si="126"/>
        <v/>
      </c>
      <c r="N512" s="12" t="str">
        <f t="shared" si="127"/>
        <v/>
      </c>
      <c r="O512" s="12" t="str">
        <f t="shared" si="128"/>
        <v/>
      </c>
      <c r="P512" s="12" t="str">
        <f t="shared" si="129"/>
        <v/>
      </c>
      <c r="Q512" s="12" t="str">
        <f t="shared" si="133"/>
        <v/>
      </c>
      <c r="R512" s="26" t="str">
        <f t="shared" si="130"/>
        <v/>
      </c>
      <c r="S512" s="26" t="str">
        <f t="shared" si="139"/>
        <v/>
      </c>
      <c r="T512" s="26" t="str">
        <f t="shared" si="134"/>
        <v/>
      </c>
      <c r="U512" s="26" t="str">
        <f t="shared" si="135"/>
        <v/>
      </c>
      <c r="V512" s="26" t="str">
        <f t="shared" si="136"/>
        <v/>
      </c>
      <c r="W512" s="20" t="str">
        <f t="shared" si="137"/>
        <v/>
      </c>
      <c r="X512" s="20" t="str">
        <f t="shared" si="138"/>
        <v/>
      </c>
      <c r="Y512" s="86" t="str">
        <f t="shared" si="140"/>
        <v/>
      </c>
      <c r="Z512" s="31"/>
    </row>
    <row r="513" spans="2:26" outlineLevel="1">
      <c r="B513" s="14">
        <f t="shared" si="124"/>
        <v>510</v>
      </c>
      <c r="C513" s="37"/>
      <c r="D513" s="40"/>
      <c r="E513" s="39"/>
      <c r="F513" s="37"/>
      <c r="G513" s="39"/>
      <c r="H513" s="37"/>
      <c r="I513" s="37"/>
      <c r="J513" s="41" t="str">
        <f t="shared" si="125"/>
        <v/>
      </c>
      <c r="K513" s="12" t="str">
        <f t="shared" si="131"/>
        <v/>
      </c>
      <c r="L513" s="12" t="str">
        <f t="shared" si="132"/>
        <v/>
      </c>
      <c r="M513" s="12" t="str">
        <f t="shared" si="126"/>
        <v/>
      </c>
      <c r="N513" s="12" t="str">
        <f t="shared" si="127"/>
        <v/>
      </c>
      <c r="O513" s="12" t="str">
        <f t="shared" si="128"/>
        <v/>
      </c>
      <c r="P513" s="12" t="str">
        <f t="shared" si="129"/>
        <v/>
      </c>
      <c r="Q513" s="12" t="str">
        <f t="shared" si="133"/>
        <v/>
      </c>
      <c r="R513" s="26" t="str">
        <f t="shared" si="130"/>
        <v/>
      </c>
      <c r="S513" s="26" t="str">
        <f t="shared" si="139"/>
        <v/>
      </c>
      <c r="T513" s="26" t="str">
        <f t="shared" si="134"/>
        <v/>
      </c>
      <c r="U513" s="26" t="str">
        <f t="shared" si="135"/>
        <v/>
      </c>
      <c r="V513" s="26" t="str">
        <f t="shared" si="136"/>
        <v/>
      </c>
      <c r="W513" s="20" t="str">
        <f t="shared" si="137"/>
        <v/>
      </c>
      <c r="X513" s="20" t="str">
        <f t="shared" si="138"/>
        <v/>
      </c>
      <c r="Y513" s="86" t="str">
        <f t="shared" si="140"/>
        <v/>
      </c>
      <c r="Z513" s="31"/>
    </row>
    <row r="514" spans="2:26" outlineLevel="1">
      <c r="B514" s="14">
        <f t="shared" ref="B514:B577" si="141">1+B513</f>
        <v>511</v>
      </c>
      <c r="C514" s="37"/>
      <c r="D514" s="40"/>
      <c r="E514" s="39"/>
      <c r="F514" s="37"/>
      <c r="G514" s="39"/>
      <c r="H514" s="37"/>
      <c r="I514" s="37"/>
      <c r="J514" s="41" t="str">
        <f t="shared" si="125"/>
        <v/>
      </c>
      <c r="K514" s="12" t="str">
        <f t="shared" si="131"/>
        <v/>
      </c>
      <c r="L514" s="12" t="str">
        <f t="shared" si="132"/>
        <v/>
      </c>
      <c r="M514" s="12" t="str">
        <f t="shared" si="126"/>
        <v/>
      </c>
      <c r="N514" s="12" t="str">
        <f t="shared" si="127"/>
        <v/>
      </c>
      <c r="O514" s="12" t="str">
        <f t="shared" si="128"/>
        <v/>
      </c>
      <c r="P514" s="12" t="str">
        <f t="shared" si="129"/>
        <v/>
      </c>
      <c r="Q514" s="12" t="str">
        <f t="shared" si="133"/>
        <v/>
      </c>
      <c r="R514" s="26" t="str">
        <f t="shared" si="130"/>
        <v/>
      </c>
      <c r="S514" s="26" t="str">
        <f t="shared" si="139"/>
        <v/>
      </c>
      <c r="T514" s="26" t="str">
        <f t="shared" si="134"/>
        <v/>
      </c>
      <c r="U514" s="26" t="str">
        <f t="shared" si="135"/>
        <v/>
      </c>
      <c r="V514" s="26" t="str">
        <f t="shared" si="136"/>
        <v/>
      </c>
      <c r="W514" s="20" t="str">
        <f t="shared" si="137"/>
        <v/>
      </c>
      <c r="X514" s="20" t="str">
        <f t="shared" si="138"/>
        <v/>
      </c>
      <c r="Y514" s="86" t="str">
        <f t="shared" si="140"/>
        <v/>
      </c>
      <c r="Z514" s="31"/>
    </row>
    <row r="515" spans="2:26" outlineLevel="1">
      <c r="B515" s="14">
        <f t="shared" si="141"/>
        <v>512</v>
      </c>
      <c r="C515" s="37"/>
      <c r="D515" s="40"/>
      <c r="E515" s="39"/>
      <c r="F515" s="37"/>
      <c r="G515" s="39"/>
      <c r="H515" s="37"/>
      <c r="I515" s="37"/>
      <c r="J515" s="41" t="str">
        <f t="shared" si="125"/>
        <v/>
      </c>
      <c r="K515" s="12" t="str">
        <f t="shared" si="131"/>
        <v/>
      </c>
      <c r="L515" s="12" t="str">
        <f t="shared" si="132"/>
        <v/>
      </c>
      <c r="M515" s="12" t="str">
        <f t="shared" si="126"/>
        <v/>
      </c>
      <c r="N515" s="12" t="str">
        <f t="shared" si="127"/>
        <v/>
      </c>
      <c r="O515" s="12" t="str">
        <f t="shared" si="128"/>
        <v/>
      </c>
      <c r="P515" s="12" t="str">
        <f t="shared" si="129"/>
        <v/>
      </c>
      <c r="Q515" s="12" t="str">
        <f t="shared" si="133"/>
        <v/>
      </c>
      <c r="R515" s="26" t="str">
        <f t="shared" si="130"/>
        <v/>
      </c>
      <c r="S515" s="26" t="str">
        <f t="shared" si="139"/>
        <v/>
      </c>
      <c r="T515" s="26" t="str">
        <f t="shared" si="134"/>
        <v/>
      </c>
      <c r="U515" s="26" t="str">
        <f t="shared" si="135"/>
        <v/>
      </c>
      <c r="V515" s="26" t="str">
        <f t="shared" si="136"/>
        <v/>
      </c>
      <c r="W515" s="20" t="str">
        <f t="shared" si="137"/>
        <v/>
      </c>
      <c r="X515" s="20" t="str">
        <f t="shared" si="138"/>
        <v/>
      </c>
      <c r="Y515" s="86" t="str">
        <f t="shared" si="140"/>
        <v/>
      </c>
      <c r="Z515" s="31"/>
    </row>
    <row r="516" spans="2:26" outlineLevel="1">
      <c r="B516" s="14">
        <f t="shared" si="141"/>
        <v>513</v>
      </c>
      <c r="C516" s="37"/>
      <c r="D516" s="40"/>
      <c r="E516" s="39"/>
      <c r="F516" s="37"/>
      <c r="G516" s="39"/>
      <c r="H516" s="37"/>
      <c r="I516" s="37"/>
      <c r="J516" s="41" t="str">
        <f t="shared" ref="J516:J579" si="142">IF(D516="","",+$E$2*D516)</f>
        <v/>
      </c>
      <c r="K516" s="12" t="str">
        <f t="shared" si="131"/>
        <v/>
      </c>
      <c r="L516" s="12" t="str">
        <f t="shared" si="132"/>
        <v/>
      </c>
      <c r="M516" s="12" t="str">
        <f t="shared" ref="M516:M579" si="143">IF(E516="","",IF($L516="x",E516/12*3.14,(LEFT($E516,FIND("*",$E516)-1)+0)*12/144*2+(RIGHT($E516,LEN($E516)-FIND("*",$E516)))*12/144*2))</f>
        <v/>
      </c>
      <c r="N516" s="12" t="str">
        <f t="shared" ref="N516:N579" si="144">IF(E516="","",M516*IF(I516="y",MAX(0,J516-$AC$13),J516))</f>
        <v/>
      </c>
      <c r="O516" s="12" t="str">
        <f t="shared" ref="O516:O579" si="145">IF(E516="","",$AC$5*N516)</f>
        <v/>
      </c>
      <c r="P516" s="12" t="str">
        <f t="shared" ref="P516:P579" si="146">IF(D516="","",IFERROR(IF(ISERROR(FIND("*",$E516)),0,ROUND((O516*$AC$6),-1)),""))</f>
        <v/>
      </c>
      <c r="Q516" s="12" t="str">
        <f t="shared" si="133"/>
        <v/>
      </c>
      <c r="R516" s="26" t="str">
        <f t="shared" ref="R516:R579" si="147">IF(E516="","",IF(F516="x",N516*$AC$7,0))</f>
        <v/>
      </c>
      <c r="S516" s="26" t="str">
        <f t="shared" si="139"/>
        <v/>
      </c>
      <c r="T516" s="26" t="str">
        <f t="shared" si="134"/>
        <v/>
      </c>
      <c r="U516" s="26" t="str">
        <f t="shared" si="135"/>
        <v/>
      </c>
      <c r="V516" s="26" t="str">
        <f t="shared" si="136"/>
        <v/>
      </c>
      <c r="W516" s="20" t="str">
        <f t="shared" si="137"/>
        <v/>
      </c>
      <c r="X516" s="20" t="str">
        <f t="shared" si="138"/>
        <v/>
      </c>
      <c r="Y516" s="86" t="str">
        <f t="shared" si="140"/>
        <v/>
      </c>
      <c r="Z516" s="31"/>
    </row>
    <row r="517" spans="2:26" outlineLevel="1">
      <c r="B517" s="14">
        <f t="shared" si="141"/>
        <v>514</v>
      </c>
      <c r="C517" s="37"/>
      <c r="D517" s="40"/>
      <c r="E517" s="39"/>
      <c r="F517" s="37"/>
      <c r="G517" s="39"/>
      <c r="H517" s="37"/>
      <c r="I517" s="37"/>
      <c r="J517" s="41" t="str">
        <f t="shared" si="142"/>
        <v/>
      </c>
      <c r="K517" s="12" t="str">
        <f t="shared" ref="K517:K580" si="148">IF($D517="","",IF(ISERROR(FIND("*",$E517)),"","x"))</f>
        <v/>
      </c>
      <c r="L517" s="12" t="str">
        <f t="shared" ref="L517:L580" si="149">IF($D517="","",IF(ISERROR(FIND("*",$E517)),"x",""))</f>
        <v/>
      </c>
      <c r="M517" s="12" t="str">
        <f t="shared" si="143"/>
        <v/>
      </c>
      <c r="N517" s="12" t="str">
        <f t="shared" si="144"/>
        <v/>
      </c>
      <c r="O517" s="12" t="str">
        <f t="shared" si="145"/>
        <v/>
      </c>
      <c r="P517" s="12" t="str">
        <f t="shared" si="146"/>
        <v/>
      </c>
      <c r="Q517" s="12" t="str">
        <f t="shared" ref="Q517:Q580" si="150">IF(D517="","",IFERROR(IF(ISERROR(FIND("*",$E517)),INDEX($AP$5:$AP$16,MATCH($E517,$AL$5:$AL$16,0),1)*$J517,0),""))</f>
        <v/>
      </c>
      <c r="R517" s="26" t="str">
        <f t="shared" si="147"/>
        <v/>
      </c>
      <c r="S517" s="26" t="str">
        <f t="shared" si="139"/>
        <v/>
      </c>
      <c r="T517" s="26" t="str">
        <f t="shared" ref="T517:T580" si="151">IF(E517="","",IF(H517="x",IF(G517="x",0,25),0))</f>
        <v/>
      </c>
      <c r="U517" s="26" t="str">
        <f t="shared" ref="U517:U580" si="152">IF(D517="","",SUM(P517,R517,S517,T517)*$U$2)</f>
        <v/>
      </c>
      <c r="V517" s="26" t="str">
        <f t="shared" ref="V517:V580" si="153">IF(D517="","",SUM($Q517)*$V$2)</f>
        <v/>
      </c>
      <c r="W517" s="20" t="str">
        <f t="shared" ref="W517:W580" si="154">IF($D517="","",SUM(P517:U517))</f>
        <v/>
      </c>
      <c r="X517" s="20" t="str">
        <f t="shared" ref="X517:X580" si="155">IF(J517="","",ROUNDUP(J517*$AC$9+IF(R517=0,0,$AC$8*J517)+IF(G517="x",$AC$12,0)+IF(H517="x",0.5*25,0),-1))</f>
        <v/>
      </c>
      <c r="Y517" s="86" t="str">
        <f t="shared" si="140"/>
        <v/>
      </c>
      <c r="Z517" s="31"/>
    </row>
    <row r="518" spans="2:26" outlineLevel="1">
      <c r="B518" s="14">
        <f t="shared" si="141"/>
        <v>515</v>
      </c>
      <c r="C518" s="37"/>
      <c r="D518" s="40"/>
      <c r="E518" s="39"/>
      <c r="F518" s="37"/>
      <c r="G518" s="39"/>
      <c r="H518" s="37"/>
      <c r="I518" s="37"/>
      <c r="J518" s="41" t="str">
        <f t="shared" si="142"/>
        <v/>
      </c>
      <c r="K518" s="12" t="str">
        <f t="shared" si="148"/>
        <v/>
      </c>
      <c r="L518" s="12" t="str">
        <f t="shared" si="149"/>
        <v/>
      </c>
      <c r="M518" s="12" t="str">
        <f t="shared" si="143"/>
        <v/>
      </c>
      <c r="N518" s="12" t="str">
        <f t="shared" si="144"/>
        <v/>
      </c>
      <c r="O518" s="12" t="str">
        <f t="shared" si="145"/>
        <v/>
      </c>
      <c r="P518" s="12" t="str">
        <f t="shared" si="146"/>
        <v/>
      </c>
      <c r="Q518" s="12" t="str">
        <f t="shared" si="150"/>
        <v/>
      </c>
      <c r="R518" s="26" t="str">
        <f t="shared" si="147"/>
        <v/>
      </c>
      <c r="S518" s="26" t="str">
        <f t="shared" ref="S518:S581" si="156">IF(E518="","",IF(I518="x",$AC$13*INDEX($AN$19:$AN$30,MATCH($E518,$AL$19:$AL$30,0),1)*1.25,0))</f>
        <v/>
      </c>
      <c r="T518" s="26" t="str">
        <f t="shared" si="151"/>
        <v/>
      </c>
      <c r="U518" s="26" t="str">
        <f t="shared" si="152"/>
        <v/>
      </c>
      <c r="V518" s="26" t="str">
        <f t="shared" si="153"/>
        <v/>
      </c>
      <c r="W518" s="20" t="str">
        <f t="shared" si="154"/>
        <v/>
      </c>
      <c r="X518" s="20" t="str">
        <f t="shared" si="155"/>
        <v/>
      </c>
      <c r="Y518" s="86" t="str">
        <f t="shared" si="140"/>
        <v/>
      </c>
      <c r="Z518" s="31"/>
    </row>
    <row r="519" spans="2:26" outlineLevel="1">
      <c r="B519" s="14">
        <f t="shared" si="141"/>
        <v>516</v>
      </c>
      <c r="C519" s="37"/>
      <c r="D519" s="40"/>
      <c r="E519" s="39"/>
      <c r="F519" s="37"/>
      <c r="G519" s="39"/>
      <c r="H519" s="37"/>
      <c r="I519" s="37"/>
      <c r="J519" s="41" t="str">
        <f t="shared" si="142"/>
        <v/>
      </c>
      <c r="K519" s="12" t="str">
        <f t="shared" si="148"/>
        <v/>
      </c>
      <c r="L519" s="12" t="str">
        <f t="shared" si="149"/>
        <v/>
      </c>
      <c r="M519" s="12" t="str">
        <f t="shared" si="143"/>
        <v/>
      </c>
      <c r="N519" s="12" t="str">
        <f t="shared" si="144"/>
        <v/>
      </c>
      <c r="O519" s="12" t="str">
        <f t="shared" si="145"/>
        <v/>
      </c>
      <c r="P519" s="12" t="str">
        <f t="shared" si="146"/>
        <v/>
      </c>
      <c r="Q519" s="12" t="str">
        <f t="shared" si="150"/>
        <v/>
      </c>
      <c r="R519" s="26" t="str">
        <f t="shared" si="147"/>
        <v/>
      </c>
      <c r="S519" s="26" t="str">
        <f t="shared" si="156"/>
        <v/>
      </c>
      <c r="T519" s="26" t="str">
        <f t="shared" si="151"/>
        <v/>
      </c>
      <c r="U519" s="26" t="str">
        <f t="shared" si="152"/>
        <v/>
      </c>
      <c r="V519" s="26" t="str">
        <f t="shared" si="153"/>
        <v/>
      </c>
      <c r="W519" s="20" t="str">
        <f t="shared" si="154"/>
        <v/>
      </c>
      <c r="X519" s="20" t="str">
        <f t="shared" si="155"/>
        <v/>
      </c>
      <c r="Y519" s="86" t="str">
        <f t="shared" si="140"/>
        <v/>
      </c>
      <c r="Z519" s="31"/>
    </row>
    <row r="520" spans="2:26" outlineLevel="1">
      <c r="B520" s="14">
        <f t="shared" si="141"/>
        <v>517</v>
      </c>
      <c r="C520" s="37"/>
      <c r="D520" s="40"/>
      <c r="E520" s="39"/>
      <c r="F520" s="37"/>
      <c r="G520" s="39"/>
      <c r="H520" s="37"/>
      <c r="I520" s="37"/>
      <c r="J520" s="41" t="str">
        <f t="shared" si="142"/>
        <v/>
      </c>
      <c r="K520" s="12" t="str">
        <f t="shared" si="148"/>
        <v/>
      </c>
      <c r="L520" s="12" t="str">
        <f t="shared" si="149"/>
        <v/>
      </c>
      <c r="M520" s="12" t="str">
        <f t="shared" si="143"/>
        <v/>
      </c>
      <c r="N520" s="12" t="str">
        <f t="shared" si="144"/>
        <v/>
      </c>
      <c r="O520" s="12" t="str">
        <f t="shared" si="145"/>
        <v/>
      </c>
      <c r="P520" s="12" t="str">
        <f t="shared" si="146"/>
        <v/>
      </c>
      <c r="Q520" s="12" t="str">
        <f t="shared" si="150"/>
        <v/>
      </c>
      <c r="R520" s="26" t="str">
        <f t="shared" si="147"/>
        <v/>
      </c>
      <c r="S520" s="26" t="str">
        <f t="shared" si="156"/>
        <v/>
      </c>
      <c r="T520" s="26" t="str">
        <f t="shared" si="151"/>
        <v/>
      </c>
      <c r="U520" s="26" t="str">
        <f t="shared" si="152"/>
        <v/>
      </c>
      <c r="V520" s="26" t="str">
        <f t="shared" si="153"/>
        <v/>
      </c>
      <c r="W520" s="20" t="str">
        <f t="shared" si="154"/>
        <v/>
      </c>
      <c r="X520" s="20" t="str">
        <f t="shared" si="155"/>
        <v/>
      </c>
      <c r="Y520" s="86" t="str">
        <f t="shared" si="140"/>
        <v/>
      </c>
      <c r="Z520" s="31"/>
    </row>
    <row r="521" spans="2:26" outlineLevel="1">
      <c r="B521" s="14">
        <f t="shared" si="141"/>
        <v>518</v>
      </c>
      <c r="C521" s="37"/>
      <c r="D521" s="40"/>
      <c r="E521" s="39"/>
      <c r="F521" s="37"/>
      <c r="G521" s="39"/>
      <c r="H521" s="37"/>
      <c r="I521" s="37"/>
      <c r="J521" s="41" t="str">
        <f t="shared" si="142"/>
        <v/>
      </c>
      <c r="K521" s="12" t="str">
        <f t="shared" si="148"/>
        <v/>
      </c>
      <c r="L521" s="12" t="str">
        <f t="shared" si="149"/>
        <v/>
      </c>
      <c r="M521" s="12" t="str">
        <f t="shared" si="143"/>
        <v/>
      </c>
      <c r="N521" s="12" t="str">
        <f t="shared" si="144"/>
        <v/>
      </c>
      <c r="O521" s="12" t="str">
        <f t="shared" si="145"/>
        <v/>
      </c>
      <c r="P521" s="12" t="str">
        <f t="shared" si="146"/>
        <v/>
      </c>
      <c r="Q521" s="12" t="str">
        <f t="shared" si="150"/>
        <v/>
      </c>
      <c r="R521" s="26" t="str">
        <f t="shared" si="147"/>
        <v/>
      </c>
      <c r="S521" s="26" t="str">
        <f t="shared" si="156"/>
        <v/>
      </c>
      <c r="T521" s="26" t="str">
        <f t="shared" si="151"/>
        <v/>
      </c>
      <c r="U521" s="26" t="str">
        <f t="shared" si="152"/>
        <v/>
      </c>
      <c r="V521" s="26" t="str">
        <f t="shared" si="153"/>
        <v/>
      </c>
      <c r="W521" s="20" t="str">
        <f t="shared" si="154"/>
        <v/>
      </c>
      <c r="X521" s="20" t="str">
        <f t="shared" si="155"/>
        <v/>
      </c>
      <c r="Y521" s="86" t="str">
        <f t="shared" si="140"/>
        <v/>
      </c>
      <c r="Z521" s="31"/>
    </row>
    <row r="522" spans="2:26" outlineLevel="1">
      <c r="B522" s="14">
        <f t="shared" si="141"/>
        <v>519</v>
      </c>
      <c r="C522" s="37"/>
      <c r="D522" s="40"/>
      <c r="E522" s="39"/>
      <c r="F522" s="37"/>
      <c r="G522" s="39"/>
      <c r="H522" s="37"/>
      <c r="I522" s="37"/>
      <c r="J522" s="41" t="str">
        <f t="shared" si="142"/>
        <v/>
      </c>
      <c r="K522" s="12" t="str">
        <f t="shared" si="148"/>
        <v/>
      </c>
      <c r="L522" s="12" t="str">
        <f t="shared" si="149"/>
        <v/>
      </c>
      <c r="M522" s="12" t="str">
        <f t="shared" si="143"/>
        <v/>
      </c>
      <c r="N522" s="12" t="str">
        <f t="shared" si="144"/>
        <v/>
      </c>
      <c r="O522" s="12" t="str">
        <f t="shared" si="145"/>
        <v/>
      </c>
      <c r="P522" s="12" t="str">
        <f t="shared" si="146"/>
        <v/>
      </c>
      <c r="Q522" s="12" t="str">
        <f t="shared" si="150"/>
        <v/>
      </c>
      <c r="R522" s="26" t="str">
        <f t="shared" si="147"/>
        <v/>
      </c>
      <c r="S522" s="26" t="str">
        <f t="shared" si="156"/>
        <v/>
      </c>
      <c r="T522" s="26" t="str">
        <f t="shared" si="151"/>
        <v/>
      </c>
      <c r="U522" s="26" t="str">
        <f t="shared" si="152"/>
        <v/>
      </c>
      <c r="V522" s="26" t="str">
        <f t="shared" si="153"/>
        <v/>
      </c>
      <c r="W522" s="20" t="str">
        <f t="shared" si="154"/>
        <v/>
      </c>
      <c r="X522" s="20" t="str">
        <f t="shared" si="155"/>
        <v/>
      </c>
      <c r="Y522" s="86" t="str">
        <f t="shared" si="140"/>
        <v/>
      </c>
      <c r="Z522" s="31"/>
    </row>
    <row r="523" spans="2:26" outlineLevel="1">
      <c r="B523" s="14">
        <f t="shared" si="141"/>
        <v>520</v>
      </c>
      <c r="C523" s="37"/>
      <c r="D523" s="40"/>
      <c r="E523" s="39"/>
      <c r="F523" s="37"/>
      <c r="G523" s="39"/>
      <c r="H523" s="37"/>
      <c r="I523" s="37"/>
      <c r="J523" s="41" t="str">
        <f t="shared" si="142"/>
        <v/>
      </c>
      <c r="K523" s="12" t="str">
        <f t="shared" si="148"/>
        <v/>
      </c>
      <c r="L523" s="12" t="str">
        <f t="shared" si="149"/>
        <v/>
      </c>
      <c r="M523" s="12" t="str">
        <f t="shared" si="143"/>
        <v/>
      </c>
      <c r="N523" s="12" t="str">
        <f t="shared" si="144"/>
        <v/>
      </c>
      <c r="O523" s="12" t="str">
        <f t="shared" si="145"/>
        <v/>
      </c>
      <c r="P523" s="12" t="str">
        <f t="shared" si="146"/>
        <v/>
      </c>
      <c r="Q523" s="12" t="str">
        <f t="shared" si="150"/>
        <v/>
      </c>
      <c r="R523" s="26" t="str">
        <f t="shared" si="147"/>
        <v/>
      </c>
      <c r="S523" s="26" t="str">
        <f t="shared" si="156"/>
        <v/>
      </c>
      <c r="T523" s="26" t="str">
        <f t="shared" si="151"/>
        <v/>
      </c>
      <c r="U523" s="26" t="str">
        <f t="shared" si="152"/>
        <v/>
      </c>
      <c r="V523" s="26" t="str">
        <f t="shared" si="153"/>
        <v/>
      </c>
      <c r="W523" s="20" t="str">
        <f t="shared" si="154"/>
        <v/>
      </c>
      <c r="X523" s="20" t="str">
        <f t="shared" si="155"/>
        <v/>
      </c>
      <c r="Y523" s="86" t="str">
        <f t="shared" si="140"/>
        <v/>
      </c>
      <c r="Z523" s="31"/>
    </row>
    <row r="524" spans="2:26" outlineLevel="1">
      <c r="B524" s="14">
        <f t="shared" si="141"/>
        <v>521</v>
      </c>
      <c r="C524" s="37"/>
      <c r="D524" s="40"/>
      <c r="E524" s="39"/>
      <c r="F524" s="37"/>
      <c r="G524" s="39"/>
      <c r="H524" s="37"/>
      <c r="I524" s="37"/>
      <c r="J524" s="41" t="str">
        <f t="shared" si="142"/>
        <v/>
      </c>
      <c r="K524" s="12" t="str">
        <f t="shared" si="148"/>
        <v/>
      </c>
      <c r="L524" s="12" t="str">
        <f t="shared" si="149"/>
        <v/>
      </c>
      <c r="M524" s="12" t="str">
        <f t="shared" si="143"/>
        <v/>
      </c>
      <c r="N524" s="12" t="str">
        <f t="shared" si="144"/>
        <v/>
      </c>
      <c r="O524" s="12" t="str">
        <f t="shared" si="145"/>
        <v/>
      </c>
      <c r="P524" s="12" t="str">
        <f t="shared" si="146"/>
        <v/>
      </c>
      <c r="Q524" s="12" t="str">
        <f t="shared" si="150"/>
        <v/>
      </c>
      <c r="R524" s="26" t="str">
        <f t="shared" si="147"/>
        <v/>
      </c>
      <c r="S524" s="26" t="str">
        <f t="shared" si="156"/>
        <v/>
      </c>
      <c r="T524" s="26" t="str">
        <f t="shared" si="151"/>
        <v/>
      </c>
      <c r="U524" s="26" t="str">
        <f t="shared" si="152"/>
        <v/>
      </c>
      <c r="V524" s="26" t="str">
        <f t="shared" si="153"/>
        <v/>
      </c>
      <c r="W524" s="20" t="str">
        <f t="shared" si="154"/>
        <v/>
      </c>
      <c r="X524" s="20" t="str">
        <f t="shared" si="155"/>
        <v/>
      </c>
      <c r="Y524" s="86" t="str">
        <f t="shared" si="140"/>
        <v/>
      </c>
      <c r="Z524" s="31"/>
    </row>
    <row r="525" spans="2:26" outlineLevel="1">
      <c r="B525" s="14">
        <f t="shared" si="141"/>
        <v>522</v>
      </c>
      <c r="C525" s="37"/>
      <c r="D525" s="40"/>
      <c r="E525" s="39"/>
      <c r="F525" s="37"/>
      <c r="G525" s="39"/>
      <c r="H525" s="37"/>
      <c r="I525" s="37"/>
      <c r="J525" s="41" t="str">
        <f t="shared" si="142"/>
        <v/>
      </c>
      <c r="K525" s="12" t="str">
        <f t="shared" si="148"/>
        <v/>
      </c>
      <c r="L525" s="12" t="str">
        <f t="shared" si="149"/>
        <v/>
      </c>
      <c r="M525" s="12" t="str">
        <f t="shared" si="143"/>
        <v/>
      </c>
      <c r="N525" s="12" t="str">
        <f t="shared" si="144"/>
        <v/>
      </c>
      <c r="O525" s="12" t="str">
        <f t="shared" si="145"/>
        <v/>
      </c>
      <c r="P525" s="12" t="str">
        <f t="shared" si="146"/>
        <v/>
      </c>
      <c r="Q525" s="12" t="str">
        <f t="shared" si="150"/>
        <v/>
      </c>
      <c r="R525" s="26" t="str">
        <f t="shared" si="147"/>
        <v/>
      </c>
      <c r="S525" s="26" t="str">
        <f t="shared" si="156"/>
        <v/>
      </c>
      <c r="T525" s="26" t="str">
        <f t="shared" si="151"/>
        <v/>
      </c>
      <c r="U525" s="26" t="str">
        <f t="shared" si="152"/>
        <v/>
      </c>
      <c r="V525" s="26" t="str">
        <f t="shared" si="153"/>
        <v/>
      </c>
      <c r="W525" s="20" t="str">
        <f t="shared" si="154"/>
        <v/>
      </c>
      <c r="X525" s="20" t="str">
        <f t="shared" si="155"/>
        <v/>
      </c>
      <c r="Y525" s="86" t="str">
        <f t="shared" si="140"/>
        <v/>
      </c>
      <c r="Z525" s="31"/>
    </row>
    <row r="526" spans="2:26" outlineLevel="1">
      <c r="B526" s="14">
        <f t="shared" si="141"/>
        <v>523</v>
      </c>
      <c r="C526" s="37"/>
      <c r="D526" s="40"/>
      <c r="E526" s="39"/>
      <c r="F526" s="37"/>
      <c r="G526" s="39"/>
      <c r="H526" s="37"/>
      <c r="I526" s="37"/>
      <c r="J526" s="41" t="str">
        <f t="shared" si="142"/>
        <v/>
      </c>
      <c r="K526" s="12" t="str">
        <f t="shared" si="148"/>
        <v/>
      </c>
      <c r="L526" s="12" t="str">
        <f t="shared" si="149"/>
        <v/>
      </c>
      <c r="M526" s="12" t="str">
        <f t="shared" si="143"/>
        <v/>
      </c>
      <c r="N526" s="12" t="str">
        <f t="shared" si="144"/>
        <v/>
      </c>
      <c r="O526" s="12" t="str">
        <f t="shared" si="145"/>
        <v/>
      </c>
      <c r="P526" s="12" t="str">
        <f t="shared" si="146"/>
        <v/>
      </c>
      <c r="Q526" s="12" t="str">
        <f t="shared" si="150"/>
        <v/>
      </c>
      <c r="R526" s="26" t="str">
        <f t="shared" si="147"/>
        <v/>
      </c>
      <c r="S526" s="26" t="str">
        <f t="shared" si="156"/>
        <v/>
      </c>
      <c r="T526" s="26" t="str">
        <f t="shared" si="151"/>
        <v/>
      </c>
      <c r="U526" s="26" t="str">
        <f t="shared" si="152"/>
        <v/>
      </c>
      <c r="V526" s="26" t="str">
        <f t="shared" si="153"/>
        <v/>
      </c>
      <c r="W526" s="20" t="str">
        <f t="shared" si="154"/>
        <v/>
      </c>
      <c r="X526" s="20" t="str">
        <f t="shared" si="155"/>
        <v/>
      </c>
      <c r="Y526" s="86" t="str">
        <f t="shared" si="140"/>
        <v/>
      </c>
      <c r="Z526" s="31"/>
    </row>
    <row r="527" spans="2:26" outlineLevel="1">
      <c r="B527" s="14">
        <f t="shared" si="141"/>
        <v>524</v>
      </c>
      <c r="C527" s="37"/>
      <c r="D527" s="40"/>
      <c r="E527" s="39"/>
      <c r="F527" s="37"/>
      <c r="G527" s="39"/>
      <c r="H527" s="37"/>
      <c r="I527" s="37"/>
      <c r="J527" s="41" t="str">
        <f t="shared" si="142"/>
        <v/>
      </c>
      <c r="K527" s="12" t="str">
        <f t="shared" si="148"/>
        <v/>
      </c>
      <c r="L527" s="12" t="str">
        <f t="shared" si="149"/>
        <v/>
      </c>
      <c r="M527" s="12" t="str">
        <f t="shared" si="143"/>
        <v/>
      </c>
      <c r="N527" s="12" t="str">
        <f t="shared" si="144"/>
        <v/>
      </c>
      <c r="O527" s="12" t="str">
        <f t="shared" si="145"/>
        <v/>
      </c>
      <c r="P527" s="12" t="str">
        <f t="shared" si="146"/>
        <v/>
      </c>
      <c r="Q527" s="12" t="str">
        <f t="shared" si="150"/>
        <v/>
      </c>
      <c r="R527" s="26" t="str">
        <f t="shared" si="147"/>
        <v/>
      </c>
      <c r="S527" s="26" t="str">
        <f t="shared" si="156"/>
        <v/>
      </c>
      <c r="T527" s="26" t="str">
        <f t="shared" si="151"/>
        <v/>
      </c>
      <c r="U527" s="26" t="str">
        <f t="shared" si="152"/>
        <v/>
      </c>
      <c r="V527" s="26" t="str">
        <f t="shared" si="153"/>
        <v/>
      </c>
      <c r="W527" s="20" t="str">
        <f t="shared" si="154"/>
        <v/>
      </c>
      <c r="X527" s="20" t="str">
        <f t="shared" si="155"/>
        <v/>
      </c>
      <c r="Y527" s="86" t="str">
        <f t="shared" si="140"/>
        <v/>
      </c>
      <c r="Z527" s="31"/>
    </row>
    <row r="528" spans="2:26" outlineLevel="1">
      <c r="B528" s="14">
        <f t="shared" si="141"/>
        <v>525</v>
      </c>
      <c r="C528" s="37"/>
      <c r="D528" s="40"/>
      <c r="E528" s="39"/>
      <c r="F528" s="37"/>
      <c r="G528" s="39"/>
      <c r="H528" s="37"/>
      <c r="I528" s="37"/>
      <c r="J528" s="41" t="str">
        <f t="shared" si="142"/>
        <v/>
      </c>
      <c r="K528" s="12" t="str">
        <f t="shared" si="148"/>
        <v/>
      </c>
      <c r="L528" s="12" t="str">
        <f t="shared" si="149"/>
        <v/>
      </c>
      <c r="M528" s="12" t="str">
        <f t="shared" si="143"/>
        <v/>
      </c>
      <c r="N528" s="12" t="str">
        <f t="shared" si="144"/>
        <v/>
      </c>
      <c r="O528" s="12" t="str">
        <f t="shared" si="145"/>
        <v/>
      </c>
      <c r="P528" s="12" t="str">
        <f t="shared" si="146"/>
        <v/>
      </c>
      <c r="Q528" s="12" t="str">
        <f t="shared" si="150"/>
        <v/>
      </c>
      <c r="R528" s="26" t="str">
        <f t="shared" si="147"/>
        <v/>
      </c>
      <c r="S528" s="26" t="str">
        <f t="shared" si="156"/>
        <v/>
      </c>
      <c r="T528" s="26" t="str">
        <f t="shared" si="151"/>
        <v/>
      </c>
      <c r="U528" s="26" t="str">
        <f t="shared" si="152"/>
        <v/>
      </c>
      <c r="V528" s="26" t="str">
        <f t="shared" si="153"/>
        <v/>
      </c>
      <c r="W528" s="20" t="str">
        <f t="shared" si="154"/>
        <v/>
      </c>
      <c r="X528" s="20" t="str">
        <f t="shared" si="155"/>
        <v/>
      </c>
      <c r="Y528" s="86" t="str">
        <f t="shared" ref="Y528:Y591" si="157">IFERROR(+W528+X528,"")</f>
        <v/>
      </c>
      <c r="Z528" s="31"/>
    </row>
    <row r="529" spans="2:26" outlineLevel="1">
      <c r="B529" s="14">
        <f t="shared" si="141"/>
        <v>526</v>
      </c>
      <c r="C529" s="37"/>
      <c r="D529" s="40"/>
      <c r="E529" s="39"/>
      <c r="F529" s="37"/>
      <c r="G529" s="39"/>
      <c r="H529" s="37"/>
      <c r="I529" s="37"/>
      <c r="J529" s="41" t="str">
        <f t="shared" si="142"/>
        <v/>
      </c>
      <c r="K529" s="12" t="str">
        <f t="shared" si="148"/>
        <v/>
      </c>
      <c r="L529" s="12" t="str">
        <f t="shared" si="149"/>
        <v/>
      </c>
      <c r="M529" s="12" t="str">
        <f t="shared" si="143"/>
        <v/>
      </c>
      <c r="N529" s="12" t="str">
        <f t="shared" si="144"/>
        <v/>
      </c>
      <c r="O529" s="12" t="str">
        <f t="shared" si="145"/>
        <v/>
      </c>
      <c r="P529" s="12" t="str">
        <f t="shared" si="146"/>
        <v/>
      </c>
      <c r="Q529" s="12" t="str">
        <f t="shared" si="150"/>
        <v/>
      </c>
      <c r="R529" s="26" t="str">
        <f t="shared" si="147"/>
        <v/>
      </c>
      <c r="S529" s="26" t="str">
        <f t="shared" si="156"/>
        <v/>
      </c>
      <c r="T529" s="26" t="str">
        <f t="shared" si="151"/>
        <v/>
      </c>
      <c r="U529" s="26" t="str">
        <f t="shared" si="152"/>
        <v/>
      </c>
      <c r="V529" s="26" t="str">
        <f t="shared" si="153"/>
        <v/>
      </c>
      <c r="W529" s="20" t="str">
        <f t="shared" si="154"/>
        <v/>
      </c>
      <c r="X529" s="20" t="str">
        <f t="shared" si="155"/>
        <v/>
      </c>
      <c r="Y529" s="86" t="str">
        <f t="shared" si="157"/>
        <v/>
      </c>
      <c r="Z529" s="31"/>
    </row>
    <row r="530" spans="2:26" outlineLevel="1">
      <c r="B530" s="14">
        <f t="shared" si="141"/>
        <v>527</v>
      </c>
      <c r="C530" s="37"/>
      <c r="D530" s="40"/>
      <c r="E530" s="39"/>
      <c r="F530" s="37"/>
      <c r="G530" s="39"/>
      <c r="H530" s="37"/>
      <c r="I530" s="37"/>
      <c r="J530" s="41" t="str">
        <f t="shared" si="142"/>
        <v/>
      </c>
      <c r="K530" s="12" t="str">
        <f t="shared" si="148"/>
        <v/>
      </c>
      <c r="L530" s="12" t="str">
        <f t="shared" si="149"/>
        <v/>
      </c>
      <c r="M530" s="12" t="str">
        <f t="shared" si="143"/>
        <v/>
      </c>
      <c r="N530" s="12" t="str">
        <f t="shared" si="144"/>
        <v/>
      </c>
      <c r="O530" s="12" t="str">
        <f t="shared" si="145"/>
        <v/>
      </c>
      <c r="P530" s="12" t="str">
        <f t="shared" si="146"/>
        <v/>
      </c>
      <c r="Q530" s="12" t="str">
        <f t="shared" si="150"/>
        <v/>
      </c>
      <c r="R530" s="26" t="str">
        <f t="shared" si="147"/>
        <v/>
      </c>
      <c r="S530" s="26" t="str">
        <f t="shared" si="156"/>
        <v/>
      </c>
      <c r="T530" s="26" t="str">
        <f t="shared" si="151"/>
        <v/>
      </c>
      <c r="U530" s="26" t="str">
        <f t="shared" si="152"/>
        <v/>
      </c>
      <c r="V530" s="26" t="str">
        <f t="shared" si="153"/>
        <v/>
      </c>
      <c r="W530" s="20" t="str">
        <f t="shared" si="154"/>
        <v/>
      </c>
      <c r="X530" s="20" t="str">
        <f t="shared" si="155"/>
        <v/>
      </c>
      <c r="Y530" s="86" t="str">
        <f t="shared" si="157"/>
        <v/>
      </c>
      <c r="Z530" s="31"/>
    </row>
    <row r="531" spans="2:26" outlineLevel="1">
      <c r="B531" s="14">
        <f t="shared" si="141"/>
        <v>528</v>
      </c>
      <c r="C531" s="37"/>
      <c r="D531" s="40"/>
      <c r="E531" s="39"/>
      <c r="F531" s="37"/>
      <c r="G531" s="39"/>
      <c r="H531" s="37"/>
      <c r="I531" s="37"/>
      <c r="J531" s="41" t="str">
        <f t="shared" si="142"/>
        <v/>
      </c>
      <c r="K531" s="12" t="str">
        <f t="shared" si="148"/>
        <v/>
      </c>
      <c r="L531" s="12" t="str">
        <f t="shared" si="149"/>
        <v/>
      </c>
      <c r="M531" s="12" t="str">
        <f t="shared" si="143"/>
        <v/>
      </c>
      <c r="N531" s="12" t="str">
        <f t="shared" si="144"/>
        <v/>
      </c>
      <c r="O531" s="12" t="str">
        <f t="shared" si="145"/>
        <v/>
      </c>
      <c r="P531" s="12" t="str">
        <f t="shared" si="146"/>
        <v/>
      </c>
      <c r="Q531" s="12" t="str">
        <f t="shared" si="150"/>
        <v/>
      </c>
      <c r="R531" s="26" t="str">
        <f t="shared" si="147"/>
        <v/>
      </c>
      <c r="S531" s="26" t="str">
        <f t="shared" si="156"/>
        <v/>
      </c>
      <c r="T531" s="26" t="str">
        <f t="shared" si="151"/>
        <v/>
      </c>
      <c r="U531" s="26" t="str">
        <f t="shared" si="152"/>
        <v/>
      </c>
      <c r="V531" s="26" t="str">
        <f t="shared" si="153"/>
        <v/>
      </c>
      <c r="W531" s="20" t="str">
        <f t="shared" si="154"/>
        <v/>
      </c>
      <c r="X531" s="20" t="str">
        <f t="shared" si="155"/>
        <v/>
      </c>
      <c r="Y531" s="86" t="str">
        <f t="shared" si="157"/>
        <v/>
      </c>
      <c r="Z531" s="31"/>
    </row>
    <row r="532" spans="2:26" outlineLevel="1">
      <c r="B532" s="14">
        <f t="shared" si="141"/>
        <v>529</v>
      </c>
      <c r="C532" s="37"/>
      <c r="D532" s="40"/>
      <c r="E532" s="39"/>
      <c r="F532" s="37"/>
      <c r="G532" s="39"/>
      <c r="H532" s="37"/>
      <c r="I532" s="37"/>
      <c r="J532" s="41" t="str">
        <f t="shared" si="142"/>
        <v/>
      </c>
      <c r="K532" s="12" t="str">
        <f t="shared" si="148"/>
        <v/>
      </c>
      <c r="L532" s="12" t="str">
        <f t="shared" si="149"/>
        <v/>
      </c>
      <c r="M532" s="12" t="str">
        <f t="shared" si="143"/>
        <v/>
      </c>
      <c r="N532" s="12" t="str">
        <f t="shared" si="144"/>
        <v/>
      </c>
      <c r="O532" s="12" t="str">
        <f t="shared" si="145"/>
        <v/>
      </c>
      <c r="P532" s="12" t="str">
        <f t="shared" si="146"/>
        <v/>
      </c>
      <c r="Q532" s="12" t="str">
        <f t="shared" si="150"/>
        <v/>
      </c>
      <c r="R532" s="26" t="str">
        <f t="shared" si="147"/>
        <v/>
      </c>
      <c r="S532" s="26" t="str">
        <f t="shared" si="156"/>
        <v/>
      </c>
      <c r="T532" s="26" t="str">
        <f t="shared" si="151"/>
        <v/>
      </c>
      <c r="U532" s="26" t="str">
        <f t="shared" si="152"/>
        <v/>
      </c>
      <c r="V532" s="26" t="str">
        <f t="shared" si="153"/>
        <v/>
      </c>
      <c r="W532" s="20" t="str">
        <f t="shared" si="154"/>
        <v/>
      </c>
      <c r="X532" s="20" t="str">
        <f t="shared" si="155"/>
        <v/>
      </c>
      <c r="Y532" s="86" t="str">
        <f t="shared" si="157"/>
        <v/>
      </c>
      <c r="Z532" s="31"/>
    </row>
    <row r="533" spans="2:26" outlineLevel="1">
      <c r="B533" s="14">
        <f t="shared" si="141"/>
        <v>530</v>
      </c>
      <c r="C533" s="37"/>
      <c r="D533" s="40"/>
      <c r="E533" s="39"/>
      <c r="F533" s="37"/>
      <c r="G533" s="39"/>
      <c r="H533" s="37"/>
      <c r="I533" s="37"/>
      <c r="J533" s="41" t="str">
        <f t="shared" si="142"/>
        <v/>
      </c>
      <c r="K533" s="12" t="str">
        <f t="shared" si="148"/>
        <v/>
      </c>
      <c r="L533" s="12" t="str">
        <f t="shared" si="149"/>
        <v/>
      </c>
      <c r="M533" s="12" t="str">
        <f t="shared" si="143"/>
        <v/>
      </c>
      <c r="N533" s="12" t="str">
        <f t="shared" si="144"/>
        <v/>
      </c>
      <c r="O533" s="12" t="str">
        <f t="shared" si="145"/>
        <v/>
      </c>
      <c r="P533" s="12" t="str">
        <f t="shared" si="146"/>
        <v/>
      </c>
      <c r="Q533" s="12" t="str">
        <f t="shared" si="150"/>
        <v/>
      </c>
      <c r="R533" s="26" t="str">
        <f t="shared" si="147"/>
        <v/>
      </c>
      <c r="S533" s="26" t="str">
        <f t="shared" si="156"/>
        <v/>
      </c>
      <c r="T533" s="26" t="str">
        <f t="shared" si="151"/>
        <v/>
      </c>
      <c r="U533" s="26" t="str">
        <f t="shared" si="152"/>
        <v/>
      </c>
      <c r="V533" s="26" t="str">
        <f t="shared" si="153"/>
        <v/>
      </c>
      <c r="W533" s="20" t="str">
        <f t="shared" si="154"/>
        <v/>
      </c>
      <c r="X533" s="20" t="str">
        <f t="shared" si="155"/>
        <v/>
      </c>
      <c r="Y533" s="86" t="str">
        <f t="shared" si="157"/>
        <v/>
      </c>
      <c r="Z533" s="31"/>
    </row>
    <row r="534" spans="2:26" outlineLevel="1">
      <c r="B534" s="14">
        <f t="shared" si="141"/>
        <v>531</v>
      </c>
      <c r="C534" s="37"/>
      <c r="D534" s="40"/>
      <c r="E534" s="39"/>
      <c r="F534" s="37"/>
      <c r="G534" s="39"/>
      <c r="H534" s="37"/>
      <c r="I534" s="37"/>
      <c r="J534" s="41" t="str">
        <f t="shared" si="142"/>
        <v/>
      </c>
      <c r="K534" s="12" t="str">
        <f t="shared" si="148"/>
        <v/>
      </c>
      <c r="L534" s="12" t="str">
        <f t="shared" si="149"/>
        <v/>
      </c>
      <c r="M534" s="12" t="str">
        <f t="shared" si="143"/>
        <v/>
      </c>
      <c r="N534" s="12" t="str">
        <f t="shared" si="144"/>
        <v/>
      </c>
      <c r="O534" s="12" t="str">
        <f t="shared" si="145"/>
        <v/>
      </c>
      <c r="P534" s="12" t="str">
        <f t="shared" si="146"/>
        <v/>
      </c>
      <c r="Q534" s="12" t="str">
        <f t="shared" si="150"/>
        <v/>
      </c>
      <c r="R534" s="26" t="str">
        <f t="shared" si="147"/>
        <v/>
      </c>
      <c r="S534" s="26" t="str">
        <f t="shared" si="156"/>
        <v/>
      </c>
      <c r="T534" s="26" t="str">
        <f t="shared" si="151"/>
        <v/>
      </c>
      <c r="U534" s="26" t="str">
        <f t="shared" si="152"/>
        <v/>
      </c>
      <c r="V534" s="26" t="str">
        <f t="shared" si="153"/>
        <v/>
      </c>
      <c r="W534" s="20" t="str">
        <f t="shared" si="154"/>
        <v/>
      </c>
      <c r="X534" s="20" t="str">
        <f t="shared" si="155"/>
        <v/>
      </c>
      <c r="Y534" s="86" t="str">
        <f t="shared" si="157"/>
        <v/>
      </c>
      <c r="Z534" s="31"/>
    </row>
    <row r="535" spans="2:26" outlineLevel="1">
      <c r="B535" s="14">
        <f t="shared" si="141"/>
        <v>532</v>
      </c>
      <c r="C535" s="37"/>
      <c r="D535" s="40"/>
      <c r="E535" s="39"/>
      <c r="F535" s="37"/>
      <c r="G535" s="39"/>
      <c r="H535" s="37"/>
      <c r="I535" s="37"/>
      <c r="J535" s="41" t="str">
        <f t="shared" si="142"/>
        <v/>
      </c>
      <c r="K535" s="12" t="str">
        <f t="shared" si="148"/>
        <v/>
      </c>
      <c r="L535" s="12" t="str">
        <f t="shared" si="149"/>
        <v/>
      </c>
      <c r="M535" s="12" t="str">
        <f t="shared" si="143"/>
        <v/>
      </c>
      <c r="N535" s="12" t="str">
        <f t="shared" si="144"/>
        <v/>
      </c>
      <c r="O535" s="12" t="str">
        <f t="shared" si="145"/>
        <v/>
      </c>
      <c r="P535" s="12" t="str">
        <f t="shared" si="146"/>
        <v/>
      </c>
      <c r="Q535" s="12" t="str">
        <f t="shared" si="150"/>
        <v/>
      </c>
      <c r="R535" s="26" t="str">
        <f t="shared" si="147"/>
        <v/>
      </c>
      <c r="S535" s="26" t="str">
        <f t="shared" si="156"/>
        <v/>
      </c>
      <c r="T535" s="26" t="str">
        <f t="shared" si="151"/>
        <v/>
      </c>
      <c r="U535" s="26" t="str">
        <f t="shared" si="152"/>
        <v/>
      </c>
      <c r="V535" s="26" t="str">
        <f t="shared" si="153"/>
        <v/>
      </c>
      <c r="W535" s="20" t="str">
        <f t="shared" si="154"/>
        <v/>
      </c>
      <c r="X535" s="20" t="str">
        <f t="shared" si="155"/>
        <v/>
      </c>
      <c r="Y535" s="86" t="str">
        <f t="shared" si="157"/>
        <v/>
      </c>
      <c r="Z535" s="31"/>
    </row>
    <row r="536" spans="2:26" outlineLevel="1">
      <c r="B536" s="14">
        <f t="shared" si="141"/>
        <v>533</v>
      </c>
      <c r="C536" s="37"/>
      <c r="D536" s="40"/>
      <c r="E536" s="39"/>
      <c r="F536" s="37"/>
      <c r="G536" s="39"/>
      <c r="H536" s="37"/>
      <c r="I536" s="37"/>
      <c r="J536" s="41" t="str">
        <f t="shared" si="142"/>
        <v/>
      </c>
      <c r="K536" s="12" t="str">
        <f t="shared" si="148"/>
        <v/>
      </c>
      <c r="L536" s="12" t="str">
        <f t="shared" si="149"/>
        <v/>
      </c>
      <c r="M536" s="12" t="str">
        <f t="shared" si="143"/>
        <v/>
      </c>
      <c r="N536" s="12" t="str">
        <f t="shared" si="144"/>
        <v/>
      </c>
      <c r="O536" s="12" t="str">
        <f t="shared" si="145"/>
        <v/>
      </c>
      <c r="P536" s="12" t="str">
        <f t="shared" si="146"/>
        <v/>
      </c>
      <c r="Q536" s="12" t="str">
        <f t="shared" si="150"/>
        <v/>
      </c>
      <c r="R536" s="26" t="str">
        <f t="shared" si="147"/>
        <v/>
      </c>
      <c r="S536" s="26" t="str">
        <f t="shared" si="156"/>
        <v/>
      </c>
      <c r="T536" s="26" t="str">
        <f t="shared" si="151"/>
        <v/>
      </c>
      <c r="U536" s="26" t="str">
        <f t="shared" si="152"/>
        <v/>
      </c>
      <c r="V536" s="26" t="str">
        <f t="shared" si="153"/>
        <v/>
      </c>
      <c r="W536" s="20" t="str">
        <f t="shared" si="154"/>
        <v/>
      </c>
      <c r="X536" s="20" t="str">
        <f t="shared" si="155"/>
        <v/>
      </c>
      <c r="Y536" s="86" t="str">
        <f t="shared" si="157"/>
        <v/>
      </c>
      <c r="Z536" s="31"/>
    </row>
    <row r="537" spans="2:26" outlineLevel="1">
      <c r="B537" s="14">
        <f t="shared" si="141"/>
        <v>534</v>
      </c>
      <c r="C537" s="37"/>
      <c r="D537" s="40"/>
      <c r="E537" s="39"/>
      <c r="F537" s="37"/>
      <c r="G537" s="39"/>
      <c r="H537" s="37"/>
      <c r="I537" s="37"/>
      <c r="J537" s="41" t="str">
        <f t="shared" si="142"/>
        <v/>
      </c>
      <c r="K537" s="12" t="str">
        <f t="shared" si="148"/>
        <v/>
      </c>
      <c r="L537" s="12" t="str">
        <f t="shared" si="149"/>
        <v/>
      </c>
      <c r="M537" s="12" t="str">
        <f t="shared" si="143"/>
        <v/>
      </c>
      <c r="N537" s="12" t="str">
        <f t="shared" si="144"/>
        <v/>
      </c>
      <c r="O537" s="12" t="str">
        <f t="shared" si="145"/>
        <v/>
      </c>
      <c r="P537" s="12" t="str">
        <f t="shared" si="146"/>
        <v/>
      </c>
      <c r="Q537" s="12" t="str">
        <f t="shared" si="150"/>
        <v/>
      </c>
      <c r="R537" s="26" t="str">
        <f t="shared" si="147"/>
        <v/>
      </c>
      <c r="S537" s="26" t="str">
        <f t="shared" si="156"/>
        <v/>
      </c>
      <c r="T537" s="26" t="str">
        <f t="shared" si="151"/>
        <v/>
      </c>
      <c r="U537" s="26" t="str">
        <f t="shared" si="152"/>
        <v/>
      </c>
      <c r="V537" s="26" t="str">
        <f t="shared" si="153"/>
        <v/>
      </c>
      <c r="W537" s="20" t="str">
        <f t="shared" si="154"/>
        <v/>
      </c>
      <c r="X537" s="20" t="str">
        <f t="shared" si="155"/>
        <v/>
      </c>
      <c r="Y537" s="86" t="str">
        <f t="shared" si="157"/>
        <v/>
      </c>
      <c r="Z537" s="31"/>
    </row>
    <row r="538" spans="2:26" outlineLevel="1">
      <c r="B538" s="14">
        <f t="shared" si="141"/>
        <v>535</v>
      </c>
      <c r="C538" s="37"/>
      <c r="D538" s="40"/>
      <c r="E538" s="39"/>
      <c r="F538" s="37"/>
      <c r="G538" s="39"/>
      <c r="H538" s="37"/>
      <c r="I538" s="37"/>
      <c r="J538" s="41" t="str">
        <f t="shared" si="142"/>
        <v/>
      </c>
      <c r="K538" s="12" t="str">
        <f t="shared" si="148"/>
        <v/>
      </c>
      <c r="L538" s="12" t="str">
        <f t="shared" si="149"/>
        <v/>
      </c>
      <c r="M538" s="12" t="str">
        <f t="shared" si="143"/>
        <v/>
      </c>
      <c r="N538" s="12" t="str">
        <f t="shared" si="144"/>
        <v/>
      </c>
      <c r="O538" s="12" t="str">
        <f t="shared" si="145"/>
        <v/>
      </c>
      <c r="P538" s="12" t="str">
        <f t="shared" si="146"/>
        <v/>
      </c>
      <c r="Q538" s="12" t="str">
        <f t="shared" si="150"/>
        <v/>
      </c>
      <c r="R538" s="26" t="str">
        <f t="shared" si="147"/>
        <v/>
      </c>
      <c r="S538" s="26" t="str">
        <f t="shared" si="156"/>
        <v/>
      </c>
      <c r="T538" s="26" t="str">
        <f t="shared" si="151"/>
        <v/>
      </c>
      <c r="U538" s="26" t="str">
        <f t="shared" si="152"/>
        <v/>
      </c>
      <c r="V538" s="26" t="str">
        <f t="shared" si="153"/>
        <v/>
      </c>
      <c r="W538" s="20" t="str">
        <f t="shared" si="154"/>
        <v/>
      </c>
      <c r="X538" s="20" t="str">
        <f t="shared" si="155"/>
        <v/>
      </c>
      <c r="Y538" s="86" t="str">
        <f t="shared" si="157"/>
        <v/>
      </c>
      <c r="Z538" s="31"/>
    </row>
    <row r="539" spans="2:26" outlineLevel="1">
      <c r="B539" s="14">
        <f t="shared" si="141"/>
        <v>536</v>
      </c>
      <c r="C539" s="37"/>
      <c r="D539" s="40"/>
      <c r="E539" s="39"/>
      <c r="F539" s="37"/>
      <c r="G539" s="39"/>
      <c r="H539" s="37"/>
      <c r="I539" s="37"/>
      <c r="J539" s="41" t="str">
        <f t="shared" si="142"/>
        <v/>
      </c>
      <c r="K539" s="12" t="str">
        <f t="shared" si="148"/>
        <v/>
      </c>
      <c r="L539" s="12" t="str">
        <f t="shared" si="149"/>
        <v/>
      </c>
      <c r="M539" s="12" t="str">
        <f t="shared" si="143"/>
        <v/>
      </c>
      <c r="N539" s="12" t="str">
        <f t="shared" si="144"/>
        <v/>
      </c>
      <c r="O539" s="12" t="str">
        <f t="shared" si="145"/>
        <v/>
      </c>
      <c r="P539" s="12" t="str">
        <f t="shared" si="146"/>
        <v/>
      </c>
      <c r="Q539" s="12" t="str">
        <f t="shared" si="150"/>
        <v/>
      </c>
      <c r="R539" s="26" t="str">
        <f t="shared" si="147"/>
        <v/>
      </c>
      <c r="S539" s="26" t="str">
        <f t="shared" si="156"/>
        <v/>
      </c>
      <c r="T539" s="26" t="str">
        <f t="shared" si="151"/>
        <v/>
      </c>
      <c r="U539" s="26" t="str">
        <f t="shared" si="152"/>
        <v/>
      </c>
      <c r="V539" s="26" t="str">
        <f t="shared" si="153"/>
        <v/>
      </c>
      <c r="W539" s="20" t="str">
        <f t="shared" si="154"/>
        <v/>
      </c>
      <c r="X539" s="20" t="str">
        <f t="shared" si="155"/>
        <v/>
      </c>
      <c r="Y539" s="86" t="str">
        <f t="shared" si="157"/>
        <v/>
      </c>
      <c r="Z539" s="31"/>
    </row>
    <row r="540" spans="2:26" outlineLevel="1">
      <c r="B540" s="14">
        <f t="shared" si="141"/>
        <v>537</v>
      </c>
      <c r="C540" s="37"/>
      <c r="D540" s="40"/>
      <c r="E540" s="39"/>
      <c r="F540" s="37"/>
      <c r="G540" s="39"/>
      <c r="H540" s="37"/>
      <c r="I540" s="37"/>
      <c r="J540" s="41" t="str">
        <f t="shared" si="142"/>
        <v/>
      </c>
      <c r="K540" s="12" t="str">
        <f t="shared" si="148"/>
        <v/>
      </c>
      <c r="L540" s="12" t="str">
        <f t="shared" si="149"/>
        <v/>
      </c>
      <c r="M540" s="12" t="str">
        <f t="shared" si="143"/>
        <v/>
      </c>
      <c r="N540" s="12" t="str">
        <f t="shared" si="144"/>
        <v/>
      </c>
      <c r="O540" s="12" t="str">
        <f t="shared" si="145"/>
        <v/>
      </c>
      <c r="P540" s="12" t="str">
        <f t="shared" si="146"/>
        <v/>
      </c>
      <c r="Q540" s="12" t="str">
        <f t="shared" si="150"/>
        <v/>
      </c>
      <c r="R540" s="26" t="str">
        <f t="shared" si="147"/>
        <v/>
      </c>
      <c r="S540" s="26" t="str">
        <f t="shared" si="156"/>
        <v/>
      </c>
      <c r="T540" s="26" t="str">
        <f t="shared" si="151"/>
        <v/>
      </c>
      <c r="U540" s="26" t="str">
        <f t="shared" si="152"/>
        <v/>
      </c>
      <c r="V540" s="26" t="str">
        <f t="shared" si="153"/>
        <v/>
      </c>
      <c r="W540" s="20" t="str">
        <f t="shared" si="154"/>
        <v/>
      </c>
      <c r="X540" s="20" t="str">
        <f t="shared" si="155"/>
        <v/>
      </c>
      <c r="Y540" s="86" t="str">
        <f t="shared" si="157"/>
        <v/>
      </c>
      <c r="Z540" s="31"/>
    </row>
    <row r="541" spans="2:26" outlineLevel="1">
      <c r="B541" s="14">
        <f t="shared" si="141"/>
        <v>538</v>
      </c>
      <c r="C541" s="37"/>
      <c r="D541" s="40"/>
      <c r="E541" s="39"/>
      <c r="F541" s="37"/>
      <c r="G541" s="39"/>
      <c r="H541" s="37"/>
      <c r="I541" s="37"/>
      <c r="J541" s="41" t="str">
        <f t="shared" si="142"/>
        <v/>
      </c>
      <c r="K541" s="12" t="str">
        <f t="shared" si="148"/>
        <v/>
      </c>
      <c r="L541" s="12" t="str">
        <f t="shared" si="149"/>
        <v/>
      </c>
      <c r="M541" s="12" t="str">
        <f t="shared" si="143"/>
        <v/>
      </c>
      <c r="N541" s="12" t="str">
        <f t="shared" si="144"/>
        <v/>
      </c>
      <c r="O541" s="12" t="str">
        <f t="shared" si="145"/>
        <v/>
      </c>
      <c r="P541" s="12" t="str">
        <f t="shared" si="146"/>
        <v/>
      </c>
      <c r="Q541" s="12" t="str">
        <f t="shared" si="150"/>
        <v/>
      </c>
      <c r="R541" s="26" t="str">
        <f t="shared" si="147"/>
        <v/>
      </c>
      <c r="S541" s="26" t="str">
        <f t="shared" si="156"/>
        <v/>
      </c>
      <c r="T541" s="26" t="str">
        <f t="shared" si="151"/>
        <v/>
      </c>
      <c r="U541" s="26" t="str">
        <f t="shared" si="152"/>
        <v/>
      </c>
      <c r="V541" s="26" t="str">
        <f t="shared" si="153"/>
        <v/>
      </c>
      <c r="W541" s="20" t="str">
        <f t="shared" si="154"/>
        <v/>
      </c>
      <c r="X541" s="20" t="str">
        <f t="shared" si="155"/>
        <v/>
      </c>
      <c r="Y541" s="86" t="str">
        <f t="shared" si="157"/>
        <v/>
      </c>
      <c r="Z541" s="31"/>
    </row>
    <row r="542" spans="2:26" outlineLevel="1">
      <c r="B542" s="14">
        <f t="shared" si="141"/>
        <v>539</v>
      </c>
      <c r="C542" s="37"/>
      <c r="D542" s="40"/>
      <c r="E542" s="39"/>
      <c r="F542" s="37"/>
      <c r="G542" s="39"/>
      <c r="H542" s="37"/>
      <c r="I542" s="37"/>
      <c r="J542" s="41" t="str">
        <f t="shared" si="142"/>
        <v/>
      </c>
      <c r="K542" s="12" t="str">
        <f t="shared" si="148"/>
        <v/>
      </c>
      <c r="L542" s="12" t="str">
        <f t="shared" si="149"/>
        <v/>
      </c>
      <c r="M542" s="12" t="str">
        <f t="shared" si="143"/>
        <v/>
      </c>
      <c r="N542" s="12" t="str">
        <f t="shared" si="144"/>
        <v/>
      </c>
      <c r="O542" s="12" t="str">
        <f t="shared" si="145"/>
        <v/>
      </c>
      <c r="P542" s="12" t="str">
        <f t="shared" si="146"/>
        <v/>
      </c>
      <c r="Q542" s="12" t="str">
        <f t="shared" si="150"/>
        <v/>
      </c>
      <c r="R542" s="26" t="str">
        <f t="shared" si="147"/>
        <v/>
      </c>
      <c r="S542" s="26" t="str">
        <f t="shared" si="156"/>
        <v/>
      </c>
      <c r="T542" s="26" t="str">
        <f t="shared" si="151"/>
        <v/>
      </c>
      <c r="U542" s="26" t="str">
        <f t="shared" si="152"/>
        <v/>
      </c>
      <c r="V542" s="26" t="str">
        <f t="shared" si="153"/>
        <v/>
      </c>
      <c r="W542" s="20" t="str">
        <f t="shared" si="154"/>
        <v/>
      </c>
      <c r="X542" s="20" t="str">
        <f t="shared" si="155"/>
        <v/>
      </c>
      <c r="Y542" s="86" t="str">
        <f t="shared" si="157"/>
        <v/>
      </c>
      <c r="Z542" s="31"/>
    </row>
    <row r="543" spans="2:26" outlineLevel="1">
      <c r="B543" s="14">
        <f t="shared" si="141"/>
        <v>540</v>
      </c>
      <c r="C543" s="37"/>
      <c r="D543" s="40"/>
      <c r="E543" s="39"/>
      <c r="F543" s="37"/>
      <c r="G543" s="39"/>
      <c r="H543" s="37"/>
      <c r="I543" s="37"/>
      <c r="J543" s="41" t="str">
        <f t="shared" si="142"/>
        <v/>
      </c>
      <c r="K543" s="12" t="str">
        <f t="shared" si="148"/>
        <v/>
      </c>
      <c r="L543" s="12" t="str">
        <f t="shared" si="149"/>
        <v/>
      </c>
      <c r="M543" s="12" t="str">
        <f t="shared" si="143"/>
        <v/>
      </c>
      <c r="N543" s="12" t="str">
        <f t="shared" si="144"/>
        <v/>
      </c>
      <c r="O543" s="12" t="str">
        <f t="shared" si="145"/>
        <v/>
      </c>
      <c r="P543" s="12" t="str">
        <f t="shared" si="146"/>
        <v/>
      </c>
      <c r="Q543" s="12" t="str">
        <f t="shared" si="150"/>
        <v/>
      </c>
      <c r="R543" s="26" t="str">
        <f t="shared" si="147"/>
        <v/>
      </c>
      <c r="S543" s="26" t="str">
        <f t="shared" si="156"/>
        <v/>
      </c>
      <c r="T543" s="26" t="str">
        <f t="shared" si="151"/>
        <v/>
      </c>
      <c r="U543" s="26" t="str">
        <f t="shared" si="152"/>
        <v/>
      </c>
      <c r="V543" s="26" t="str">
        <f t="shared" si="153"/>
        <v/>
      </c>
      <c r="W543" s="20" t="str">
        <f t="shared" si="154"/>
        <v/>
      </c>
      <c r="X543" s="20" t="str">
        <f t="shared" si="155"/>
        <v/>
      </c>
      <c r="Y543" s="86" t="str">
        <f t="shared" si="157"/>
        <v/>
      </c>
      <c r="Z543" s="31"/>
    </row>
    <row r="544" spans="2:26" outlineLevel="1">
      <c r="B544" s="14">
        <f t="shared" si="141"/>
        <v>541</v>
      </c>
      <c r="C544" s="37"/>
      <c r="D544" s="40"/>
      <c r="E544" s="39"/>
      <c r="F544" s="37"/>
      <c r="G544" s="39"/>
      <c r="H544" s="37"/>
      <c r="I544" s="37"/>
      <c r="J544" s="41" t="str">
        <f t="shared" si="142"/>
        <v/>
      </c>
      <c r="K544" s="12" t="str">
        <f t="shared" si="148"/>
        <v/>
      </c>
      <c r="L544" s="12" t="str">
        <f t="shared" si="149"/>
        <v/>
      </c>
      <c r="M544" s="12" t="str">
        <f t="shared" si="143"/>
        <v/>
      </c>
      <c r="N544" s="12" t="str">
        <f t="shared" si="144"/>
        <v/>
      </c>
      <c r="O544" s="12" t="str">
        <f t="shared" si="145"/>
        <v/>
      </c>
      <c r="P544" s="12" t="str">
        <f t="shared" si="146"/>
        <v/>
      </c>
      <c r="Q544" s="12" t="str">
        <f t="shared" si="150"/>
        <v/>
      </c>
      <c r="R544" s="26" t="str">
        <f t="shared" si="147"/>
        <v/>
      </c>
      <c r="S544" s="26" t="str">
        <f t="shared" si="156"/>
        <v/>
      </c>
      <c r="T544" s="26" t="str">
        <f t="shared" si="151"/>
        <v/>
      </c>
      <c r="U544" s="26" t="str">
        <f t="shared" si="152"/>
        <v/>
      </c>
      <c r="V544" s="26" t="str">
        <f t="shared" si="153"/>
        <v/>
      </c>
      <c r="W544" s="20" t="str">
        <f t="shared" si="154"/>
        <v/>
      </c>
      <c r="X544" s="20" t="str">
        <f t="shared" si="155"/>
        <v/>
      </c>
      <c r="Y544" s="86" t="str">
        <f t="shared" si="157"/>
        <v/>
      </c>
      <c r="Z544" s="31"/>
    </row>
    <row r="545" spans="2:26" outlineLevel="1">
      <c r="B545" s="14">
        <f t="shared" si="141"/>
        <v>542</v>
      </c>
      <c r="C545" s="37"/>
      <c r="D545" s="40"/>
      <c r="E545" s="39"/>
      <c r="F545" s="37"/>
      <c r="G545" s="39"/>
      <c r="H545" s="37"/>
      <c r="I545" s="37"/>
      <c r="J545" s="41" t="str">
        <f t="shared" si="142"/>
        <v/>
      </c>
      <c r="K545" s="12" t="str">
        <f t="shared" si="148"/>
        <v/>
      </c>
      <c r="L545" s="12" t="str">
        <f t="shared" si="149"/>
        <v/>
      </c>
      <c r="M545" s="12" t="str">
        <f t="shared" si="143"/>
        <v/>
      </c>
      <c r="N545" s="12" t="str">
        <f t="shared" si="144"/>
        <v/>
      </c>
      <c r="O545" s="12" t="str">
        <f t="shared" si="145"/>
        <v/>
      </c>
      <c r="P545" s="12" t="str">
        <f t="shared" si="146"/>
        <v/>
      </c>
      <c r="Q545" s="12" t="str">
        <f t="shared" si="150"/>
        <v/>
      </c>
      <c r="R545" s="26" t="str">
        <f t="shared" si="147"/>
        <v/>
      </c>
      <c r="S545" s="26" t="str">
        <f t="shared" si="156"/>
        <v/>
      </c>
      <c r="T545" s="26" t="str">
        <f t="shared" si="151"/>
        <v/>
      </c>
      <c r="U545" s="26" t="str">
        <f t="shared" si="152"/>
        <v/>
      </c>
      <c r="V545" s="26" t="str">
        <f t="shared" si="153"/>
        <v/>
      </c>
      <c r="W545" s="20" t="str">
        <f t="shared" si="154"/>
        <v/>
      </c>
      <c r="X545" s="20" t="str">
        <f t="shared" si="155"/>
        <v/>
      </c>
      <c r="Y545" s="86" t="str">
        <f t="shared" si="157"/>
        <v/>
      </c>
      <c r="Z545" s="31"/>
    </row>
    <row r="546" spans="2:26" outlineLevel="1">
      <c r="B546" s="14">
        <f t="shared" si="141"/>
        <v>543</v>
      </c>
      <c r="C546" s="37"/>
      <c r="D546" s="40"/>
      <c r="E546" s="39"/>
      <c r="F546" s="37"/>
      <c r="G546" s="39"/>
      <c r="H546" s="37"/>
      <c r="I546" s="37"/>
      <c r="J546" s="41" t="str">
        <f t="shared" si="142"/>
        <v/>
      </c>
      <c r="K546" s="12" t="str">
        <f t="shared" si="148"/>
        <v/>
      </c>
      <c r="L546" s="12" t="str">
        <f t="shared" si="149"/>
        <v/>
      </c>
      <c r="M546" s="12" t="str">
        <f t="shared" si="143"/>
        <v/>
      </c>
      <c r="N546" s="12" t="str">
        <f t="shared" si="144"/>
        <v/>
      </c>
      <c r="O546" s="12" t="str">
        <f t="shared" si="145"/>
        <v/>
      </c>
      <c r="P546" s="12" t="str">
        <f t="shared" si="146"/>
        <v/>
      </c>
      <c r="Q546" s="12" t="str">
        <f t="shared" si="150"/>
        <v/>
      </c>
      <c r="R546" s="26" t="str">
        <f t="shared" si="147"/>
        <v/>
      </c>
      <c r="S546" s="26" t="str">
        <f t="shared" si="156"/>
        <v/>
      </c>
      <c r="T546" s="26" t="str">
        <f t="shared" si="151"/>
        <v/>
      </c>
      <c r="U546" s="26" t="str">
        <f t="shared" si="152"/>
        <v/>
      </c>
      <c r="V546" s="26" t="str">
        <f t="shared" si="153"/>
        <v/>
      </c>
      <c r="W546" s="20" t="str">
        <f t="shared" si="154"/>
        <v/>
      </c>
      <c r="X546" s="20" t="str">
        <f t="shared" si="155"/>
        <v/>
      </c>
      <c r="Y546" s="86" t="str">
        <f t="shared" si="157"/>
        <v/>
      </c>
      <c r="Z546" s="31"/>
    </row>
    <row r="547" spans="2:26" outlineLevel="1">
      <c r="B547" s="14">
        <f t="shared" si="141"/>
        <v>544</v>
      </c>
      <c r="C547" s="37"/>
      <c r="D547" s="40"/>
      <c r="E547" s="39"/>
      <c r="F547" s="37"/>
      <c r="G547" s="39"/>
      <c r="H547" s="37"/>
      <c r="I547" s="37"/>
      <c r="J547" s="41" t="str">
        <f t="shared" si="142"/>
        <v/>
      </c>
      <c r="K547" s="12" t="str">
        <f t="shared" si="148"/>
        <v/>
      </c>
      <c r="L547" s="12" t="str">
        <f t="shared" si="149"/>
        <v/>
      </c>
      <c r="M547" s="12" t="str">
        <f t="shared" si="143"/>
        <v/>
      </c>
      <c r="N547" s="12" t="str">
        <f t="shared" si="144"/>
        <v/>
      </c>
      <c r="O547" s="12" t="str">
        <f t="shared" si="145"/>
        <v/>
      </c>
      <c r="P547" s="12" t="str">
        <f t="shared" si="146"/>
        <v/>
      </c>
      <c r="Q547" s="12" t="str">
        <f t="shared" si="150"/>
        <v/>
      </c>
      <c r="R547" s="26" t="str">
        <f t="shared" si="147"/>
        <v/>
      </c>
      <c r="S547" s="26" t="str">
        <f t="shared" si="156"/>
        <v/>
      </c>
      <c r="T547" s="26" t="str">
        <f t="shared" si="151"/>
        <v/>
      </c>
      <c r="U547" s="26" t="str">
        <f t="shared" si="152"/>
        <v/>
      </c>
      <c r="V547" s="26" t="str">
        <f t="shared" si="153"/>
        <v/>
      </c>
      <c r="W547" s="20" t="str">
        <f t="shared" si="154"/>
        <v/>
      </c>
      <c r="X547" s="20" t="str">
        <f t="shared" si="155"/>
        <v/>
      </c>
      <c r="Y547" s="86" t="str">
        <f t="shared" si="157"/>
        <v/>
      </c>
      <c r="Z547" s="31"/>
    </row>
    <row r="548" spans="2:26" outlineLevel="1">
      <c r="B548" s="14">
        <f t="shared" si="141"/>
        <v>545</v>
      </c>
      <c r="C548" s="37"/>
      <c r="D548" s="40"/>
      <c r="E548" s="39"/>
      <c r="F548" s="37"/>
      <c r="G548" s="39"/>
      <c r="H548" s="37"/>
      <c r="I548" s="37"/>
      <c r="J548" s="41" t="str">
        <f t="shared" si="142"/>
        <v/>
      </c>
      <c r="K548" s="12" t="str">
        <f t="shared" si="148"/>
        <v/>
      </c>
      <c r="L548" s="12" t="str">
        <f t="shared" si="149"/>
        <v/>
      </c>
      <c r="M548" s="12" t="str">
        <f t="shared" si="143"/>
        <v/>
      </c>
      <c r="N548" s="12" t="str">
        <f t="shared" si="144"/>
        <v/>
      </c>
      <c r="O548" s="12" t="str">
        <f t="shared" si="145"/>
        <v/>
      </c>
      <c r="P548" s="12" t="str">
        <f t="shared" si="146"/>
        <v/>
      </c>
      <c r="Q548" s="12" t="str">
        <f t="shared" si="150"/>
        <v/>
      </c>
      <c r="R548" s="26" t="str">
        <f t="shared" si="147"/>
        <v/>
      </c>
      <c r="S548" s="26" t="str">
        <f t="shared" si="156"/>
        <v/>
      </c>
      <c r="T548" s="26" t="str">
        <f t="shared" si="151"/>
        <v/>
      </c>
      <c r="U548" s="26" t="str">
        <f t="shared" si="152"/>
        <v/>
      </c>
      <c r="V548" s="26" t="str">
        <f t="shared" si="153"/>
        <v/>
      </c>
      <c r="W548" s="20" t="str">
        <f t="shared" si="154"/>
        <v/>
      </c>
      <c r="X548" s="20" t="str">
        <f t="shared" si="155"/>
        <v/>
      </c>
      <c r="Y548" s="86" t="str">
        <f t="shared" si="157"/>
        <v/>
      </c>
      <c r="Z548" s="31"/>
    </row>
    <row r="549" spans="2:26" outlineLevel="1">
      <c r="B549" s="14">
        <f t="shared" si="141"/>
        <v>546</v>
      </c>
      <c r="C549" s="37"/>
      <c r="D549" s="40"/>
      <c r="E549" s="39"/>
      <c r="F549" s="37"/>
      <c r="G549" s="39"/>
      <c r="H549" s="37"/>
      <c r="I549" s="37"/>
      <c r="J549" s="41" t="str">
        <f t="shared" si="142"/>
        <v/>
      </c>
      <c r="K549" s="12" t="str">
        <f t="shared" si="148"/>
        <v/>
      </c>
      <c r="L549" s="12" t="str">
        <f t="shared" si="149"/>
        <v/>
      </c>
      <c r="M549" s="12" t="str">
        <f t="shared" si="143"/>
        <v/>
      </c>
      <c r="N549" s="12" t="str">
        <f t="shared" si="144"/>
        <v/>
      </c>
      <c r="O549" s="12" t="str">
        <f t="shared" si="145"/>
        <v/>
      </c>
      <c r="P549" s="12" t="str">
        <f t="shared" si="146"/>
        <v/>
      </c>
      <c r="Q549" s="12" t="str">
        <f t="shared" si="150"/>
        <v/>
      </c>
      <c r="R549" s="26" t="str">
        <f t="shared" si="147"/>
        <v/>
      </c>
      <c r="S549" s="26" t="str">
        <f t="shared" si="156"/>
        <v/>
      </c>
      <c r="T549" s="26" t="str">
        <f t="shared" si="151"/>
        <v/>
      </c>
      <c r="U549" s="26" t="str">
        <f t="shared" si="152"/>
        <v/>
      </c>
      <c r="V549" s="26" t="str">
        <f t="shared" si="153"/>
        <v/>
      </c>
      <c r="W549" s="20" t="str">
        <f t="shared" si="154"/>
        <v/>
      </c>
      <c r="X549" s="20" t="str">
        <f t="shared" si="155"/>
        <v/>
      </c>
      <c r="Y549" s="86" t="str">
        <f t="shared" si="157"/>
        <v/>
      </c>
      <c r="Z549" s="31"/>
    </row>
    <row r="550" spans="2:26" outlineLevel="1">
      <c r="B550" s="14">
        <f t="shared" si="141"/>
        <v>547</v>
      </c>
      <c r="C550" s="37"/>
      <c r="D550" s="40"/>
      <c r="E550" s="39"/>
      <c r="F550" s="37"/>
      <c r="G550" s="39"/>
      <c r="H550" s="37"/>
      <c r="I550" s="37"/>
      <c r="J550" s="41" t="str">
        <f t="shared" si="142"/>
        <v/>
      </c>
      <c r="K550" s="12" t="str">
        <f t="shared" si="148"/>
        <v/>
      </c>
      <c r="L550" s="12" t="str">
        <f t="shared" si="149"/>
        <v/>
      </c>
      <c r="M550" s="12" t="str">
        <f t="shared" si="143"/>
        <v/>
      </c>
      <c r="N550" s="12" t="str">
        <f t="shared" si="144"/>
        <v/>
      </c>
      <c r="O550" s="12" t="str">
        <f t="shared" si="145"/>
        <v/>
      </c>
      <c r="P550" s="12" t="str">
        <f t="shared" si="146"/>
        <v/>
      </c>
      <c r="Q550" s="12" t="str">
        <f t="shared" si="150"/>
        <v/>
      </c>
      <c r="R550" s="26" t="str">
        <f t="shared" si="147"/>
        <v/>
      </c>
      <c r="S550" s="26" t="str">
        <f t="shared" si="156"/>
        <v/>
      </c>
      <c r="T550" s="26" t="str">
        <f t="shared" si="151"/>
        <v/>
      </c>
      <c r="U550" s="26" t="str">
        <f t="shared" si="152"/>
        <v/>
      </c>
      <c r="V550" s="26" t="str">
        <f t="shared" si="153"/>
        <v/>
      </c>
      <c r="W550" s="20" t="str">
        <f t="shared" si="154"/>
        <v/>
      </c>
      <c r="X550" s="20" t="str">
        <f t="shared" si="155"/>
        <v/>
      </c>
      <c r="Y550" s="86" t="str">
        <f t="shared" si="157"/>
        <v/>
      </c>
      <c r="Z550" s="31"/>
    </row>
    <row r="551" spans="2:26" outlineLevel="1">
      <c r="B551" s="14">
        <f t="shared" si="141"/>
        <v>548</v>
      </c>
      <c r="C551" s="37"/>
      <c r="D551" s="40"/>
      <c r="E551" s="39"/>
      <c r="F551" s="37"/>
      <c r="G551" s="39"/>
      <c r="H551" s="37"/>
      <c r="I551" s="37"/>
      <c r="J551" s="41" t="str">
        <f t="shared" si="142"/>
        <v/>
      </c>
      <c r="K551" s="12" t="str">
        <f t="shared" si="148"/>
        <v/>
      </c>
      <c r="L551" s="12" t="str">
        <f t="shared" si="149"/>
        <v/>
      </c>
      <c r="M551" s="12" t="str">
        <f t="shared" si="143"/>
        <v/>
      </c>
      <c r="N551" s="12" t="str">
        <f t="shared" si="144"/>
        <v/>
      </c>
      <c r="O551" s="12" t="str">
        <f t="shared" si="145"/>
        <v/>
      </c>
      <c r="P551" s="12" t="str">
        <f t="shared" si="146"/>
        <v/>
      </c>
      <c r="Q551" s="12" t="str">
        <f t="shared" si="150"/>
        <v/>
      </c>
      <c r="R551" s="26" t="str">
        <f t="shared" si="147"/>
        <v/>
      </c>
      <c r="S551" s="26" t="str">
        <f t="shared" si="156"/>
        <v/>
      </c>
      <c r="T551" s="26" t="str">
        <f t="shared" si="151"/>
        <v/>
      </c>
      <c r="U551" s="26" t="str">
        <f t="shared" si="152"/>
        <v/>
      </c>
      <c r="V551" s="26" t="str">
        <f t="shared" si="153"/>
        <v/>
      </c>
      <c r="W551" s="20" t="str">
        <f t="shared" si="154"/>
        <v/>
      </c>
      <c r="X551" s="20" t="str">
        <f t="shared" si="155"/>
        <v/>
      </c>
      <c r="Y551" s="86" t="str">
        <f t="shared" si="157"/>
        <v/>
      </c>
      <c r="Z551" s="31"/>
    </row>
    <row r="552" spans="2:26" outlineLevel="1">
      <c r="B552" s="14">
        <f t="shared" si="141"/>
        <v>549</v>
      </c>
      <c r="C552" s="37"/>
      <c r="D552" s="40"/>
      <c r="E552" s="39"/>
      <c r="F552" s="37"/>
      <c r="G552" s="39"/>
      <c r="H552" s="37"/>
      <c r="I552" s="37"/>
      <c r="J552" s="41" t="str">
        <f t="shared" si="142"/>
        <v/>
      </c>
      <c r="K552" s="12" t="str">
        <f t="shared" si="148"/>
        <v/>
      </c>
      <c r="L552" s="12" t="str">
        <f t="shared" si="149"/>
        <v/>
      </c>
      <c r="M552" s="12" t="str">
        <f t="shared" si="143"/>
        <v/>
      </c>
      <c r="N552" s="12" t="str">
        <f t="shared" si="144"/>
        <v/>
      </c>
      <c r="O552" s="12" t="str">
        <f t="shared" si="145"/>
        <v/>
      </c>
      <c r="P552" s="12" t="str">
        <f t="shared" si="146"/>
        <v/>
      </c>
      <c r="Q552" s="12" t="str">
        <f t="shared" si="150"/>
        <v/>
      </c>
      <c r="R552" s="26" t="str">
        <f t="shared" si="147"/>
        <v/>
      </c>
      <c r="S552" s="26" t="str">
        <f t="shared" si="156"/>
        <v/>
      </c>
      <c r="T552" s="26" t="str">
        <f t="shared" si="151"/>
        <v/>
      </c>
      <c r="U552" s="26" t="str">
        <f t="shared" si="152"/>
        <v/>
      </c>
      <c r="V552" s="26" t="str">
        <f t="shared" si="153"/>
        <v/>
      </c>
      <c r="W552" s="20" t="str">
        <f t="shared" si="154"/>
        <v/>
      </c>
      <c r="X552" s="20" t="str">
        <f t="shared" si="155"/>
        <v/>
      </c>
      <c r="Y552" s="86" t="str">
        <f t="shared" si="157"/>
        <v/>
      </c>
      <c r="Z552" s="31"/>
    </row>
    <row r="553" spans="2:26" outlineLevel="1">
      <c r="B553" s="14">
        <f t="shared" si="141"/>
        <v>550</v>
      </c>
      <c r="C553" s="37"/>
      <c r="D553" s="40"/>
      <c r="E553" s="39"/>
      <c r="F553" s="37"/>
      <c r="G553" s="39"/>
      <c r="H553" s="37"/>
      <c r="I553" s="37"/>
      <c r="J553" s="41" t="str">
        <f t="shared" si="142"/>
        <v/>
      </c>
      <c r="K553" s="12" t="str">
        <f t="shared" si="148"/>
        <v/>
      </c>
      <c r="L553" s="12" t="str">
        <f t="shared" si="149"/>
        <v/>
      </c>
      <c r="M553" s="12" t="str">
        <f t="shared" si="143"/>
        <v/>
      </c>
      <c r="N553" s="12" t="str">
        <f t="shared" si="144"/>
        <v/>
      </c>
      <c r="O553" s="12" t="str">
        <f t="shared" si="145"/>
        <v/>
      </c>
      <c r="P553" s="12" t="str">
        <f t="shared" si="146"/>
        <v/>
      </c>
      <c r="Q553" s="12" t="str">
        <f t="shared" si="150"/>
        <v/>
      </c>
      <c r="R553" s="26" t="str">
        <f t="shared" si="147"/>
        <v/>
      </c>
      <c r="S553" s="26" t="str">
        <f t="shared" si="156"/>
        <v/>
      </c>
      <c r="T553" s="26" t="str">
        <f t="shared" si="151"/>
        <v/>
      </c>
      <c r="U553" s="26" t="str">
        <f t="shared" si="152"/>
        <v/>
      </c>
      <c r="V553" s="26" t="str">
        <f t="shared" si="153"/>
        <v/>
      </c>
      <c r="W553" s="20" t="str">
        <f t="shared" si="154"/>
        <v/>
      </c>
      <c r="X553" s="20" t="str">
        <f t="shared" si="155"/>
        <v/>
      </c>
      <c r="Y553" s="86" t="str">
        <f t="shared" si="157"/>
        <v/>
      </c>
      <c r="Z553" s="31"/>
    </row>
    <row r="554" spans="2:26" outlineLevel="1">
      <c r="B554" s="14">
        <f t="shared" si="141"/>
        <v>551</v>
      </c>
      <c r="C554" s="37"/>
      <c r="D554" s="40"/>
      <c r="E554" s="39"/>
      <c r="F554" s="37"/>
      <c r="G554" s="39"/>
      <c r="H554" s="37"/>
      <c r="I554" s="37"/>
      <c r="J554" s="41" t="str">
        <f t="shared" si="142"/>
        <v/>
      </c>
      <c r="K554" s="12" t="str">
        <f t="shared" si="148"/>
        <v/>
      </c>
      <c r="L554" s="12" t="str">
        <f t="shared" si="149"/>
        <v/>
      </c>
      <c r="M554" s="12" t="str">
        <f t="shared" si="143"/>
        <v/>
      </c>
      <c r="N554" s="12" t="str">
        <f t="shared" si="144"/>
        <v/>
      </c>
      <c r="O554" s="12" t="str">
        <f t="shared" si="145"/>
        <v/>
      </c>
      <c r="P554" s="12" t="str">
        <f t="shared" si="146"/>
        <v/>
      </c>
      <c r="Q554" s="12" t="str">
        <f t="shared" si="150"/>
        <v/>
      </c>
      <c r="R554" s="26" t="str">
        <f t="shared" si="147"/>
        <v/>
      </c>
      <c r="S554" s="26" t="str">
        <f t="shared" si="156"/>
        <v/>
      </c>
      <c r="T554" s="26" t="str">
        <f t="shared" si="151"/>
        <v/>
      </c>
      <c r="U554" s="26" t="str">
        <f t="shared" si="152"/>
        <v/>
      </c>
      <c r="V554" s="26" t="str">
        <f t="shared" si="153"/>
        <v/>
      </c>
      <c r="W554" s="20" t="str">
        <f t="shared" si="154"/>
        <v/>
      </c>
      <c r="X554" s="20" t="str">
        <f t="shared" si="155"/>
        <v/>
      </c>
      <c r="Y554" s="86" t="str">
        <f t="shared" si="157"/>
        <v/>
      </c>
      <c r="Z554" s="31"/>
    </row>
    <row r="555" spans="2:26" outlineLevel="1">
      <c r="B555" s="14">
        <f t="shared" si="141"/>
        <v>552</v>
      </c>
      <c r="C555" s="37"/>
      <c r="D555" s="40"/>
      <c r="E555" s="39"/>
      <c r="F555" s="37"/>
      <c r="G555" s="39"/>
      <c r="H555" s="37"/>
      <c r="I555" s="37"/>
      <c r="J555" s="41" t="str">
        <f t="shared" si="142"/>
        <v/>
      </c>
      <c r="K555" s="12" t="str">
        <f t="shared" si="148"/>
        <v/>
      </c>
      <c r="L555" s="12" t="str">
        <f t="shared" si="149"/>
        <v/>
      </c>
      <c r="M555" s="12" t="str">
        <f t="shared" si="143"/>
        <v/>
      </c>
      <c r="N555" s="12" t="str">
        <f t="shared" si="144"/>
        <v/>
      </c>
      <c r="O555" s="12" t="str">
        <f t="shared" si="145"/>
        <v/>
      </c>
      <c r="P555" s="12" t="str">
        <f t="shared" si="146"/>
        <v/>
      </c>
      <c r="Q555" s="12" t="str">
        <f t="shared" si="150"/>
        <v/>
      </c>
      <c r="R555" s="26" t="str">
        <f t="shared" si="147"/>
        <v/>
      </c>
      <c r="S555" s="26" t="str">
        <f t="shared" si="156"/>
        <v/>
      </c>
      <c r="T555" s="26" t="str">
        <f t="shared" si="151"/>
        <v/>
      </c>
      <c r="U555" s="26" t="str">
        <f t="shared" si="152"/>
        <v/>
      </c>
      <c r="V555" s="26" t="str">
        <f t="shared" si="153"/>
        <v/>
      </c>
      <c r="W555" s="20" t="str">
        <f t="shared" si="154"/>
        <v/>
      </c>
      <c r="X555" s="20" t="str">
        <f t="shared" si="155"/>
        <v/>
      </c>
      <c r="Y555" s="86" t="str">
        <f t="shared" si="157"/>
        <v/>
      </c>
      <c r="Z555" s="31"/>
    </row>
    <row r="556" spans="2:26" outlineLevel="1">
      <c r="B556" s="14">
        <f t="shared" si="141"/>
        <v>553</v>
      </c>
      <c r="C556" s="37"/>
      <c r="D556" s="40"/>
      <c r="E556" s="39"/>
      <c r="F556" s="37"/>
      <c r="G556" s="39"/>
      <c r="H556" s="37"/>
      <c r="I556" s="37"/>
      <c r="J556" s="41" t="str">
        <f t="shared" si="142"/>
        <v/>
      </c>
      <c r="K556" s="12" t="str">
        <f t="shared" si="148"/>
        <v/>
      </c>
      <c r="L556" s="12" t="str">
        <f t="shared" si="149"/>
        <v/>
      </c>
      <c r="M556" s="12" t="str">
        <f t="shared" si="143"/>
        <v/>
      </c>
      <c r="N556" s="12" t="str">
        <f t="shared" si="144"/>
        <v/>
      </c>
      <c r="O556" s="12" t="str">
        <f t="shared" si="145"/>
        <v/>
      </c>
      <c r="P556" s="12" t="str">
        <f t="shared" si="146"/>
        <v/>
      </c>
      <c r="Q556" s="12" t="str">
        <f t="shared" si="150"/>
        <v/>
      </c>
      <c r="R556" s="26" t="str">
        <f t="shared" si="147"/>
        <v/>
      </c>
      <c r="S556" s="26" t="str">
        <f t="shared" si="156"/>
        <v/>
      </c>
      <c r="T556" s="26" t="str">
        <f t="shared" si="151"/>
        <v/>
      </c>
      <c r="U556" s="26" t="str">
        <f t="shared" si="152"/>
        <v/>
      </c>
      <c r="V556" s="26" t="str">
        <f t="shared" si="153"/>
        <v/>
      </c>
      <c r="W556" s="20" t="str">
        <f t="shared" si="154"/>
        <v/>
      </c>
      <c r="X556" s="20" t="str">
        <f t="shared" si="155"/>
        <v/>
      </c>
      <c r="Y556" s="86" t="str">
        <f t="shared" si="157"/>
        <v/>
      </c>
      <c r="Z556" s="31"/>
    </row>
    <row r="557" spans="2:26" outlineLevel="1">
      <c r="B557" s="14">
        <f t="shared" si="141"/>
        <v>554</v>
      </c>
      <c r="C557" s="37"/>
      <c r="D557" s="40"/>
      <c r="E557" s="39"/>
      <c r="F557" s="37"/>
      <c r="G557" s="39"/>
      <c r="H557" s="37"/>
      <c r="I557" s="37"/>
      <c r="J557" s="41" t="str">
        <f t="shared" si="142"/>
        <v/>
      </c>
      <c r="K557" s="12" t="str">
        <f t="shared" si="148"/>
        <v/>
      </c>
      <c r="L557" s="12" t="str">
        <f t="shared" si="149"/>
        <v/>
      </c>
      <c r="M557" s="12" t="str">
        <f t="shared" si="143"/>
        <v/>
      </c>
      <c r="N557" s="12" t="str">
        <f t="shared" si="144"/>
        <v/>
      </c>
      <c r="O557" s="12" t="str">
        <f t="shared" si="145"/>
        <v/>
      </c>
      <c r="P557" s="12" t="str">
        <f t="shared" si="146"/>
        <v/>
      </c>
      <c r="Q557" s="12" t="str">
        <f t="shared" si="150"/>
        <v/>
      </c>
      <c r="R557" s="26" t="str">
        <f t="shared" si="147"/>
        <v/>
      </c>
      <c r="S557" s="26" t="str">
        <f t="shared" si="156"/>
        <v/>
      </c>
      <c r="T557" s="26" t="str">
        <f t="shared" si="151"/>
        <v/>
      </c>
      <c r="U557" s="26" t="str">
        <f t="shared" si="152"/>
        <v/>
      </c>
      <c r="V557" s="26" t="str">
        <f t="shared" si="153"/>
        <v/>
      </c>
      <c r="W557" s="20" t="str">
        <f t="shared" si="154"/>
        <v/>
      </c>
      <c r="X557" s="20" t="str">
        <f t="shared" si="155"/>
        <v/>
      </c>
      <c r="Y557" s="86" t="str">
        <f t="shared" si="157"/>
        <v/>
      </c>
      <c r="Z557" s="31"/>
    </row>
    <row r="558" spans="2:26" outlineLevel="1">
      <c r="B558" s="14">
        <f t="shared" si="141"/>
        <v>555</v>
      </c>
      <c r="C558" s="37"/>
      <c r="D558" s="40"/>
      <c r="E558" s="39"/>
      <c r="F558" s="37"/>
      <c r="G558" s="39"/>
      <c r="H558" s="37"/>
      <c r="I558" s="37"/>
      <c r="J558" s="41" t="str">
        <f t="shared" si="142"/>
        <v/>
      </c>
      <c r="K558" s="12" t="str">
        <f t="shared" si="148"/>
        <v/>
      </c>
      <c r="L558" s="12" t="str">
        <f t="shared" si="149"/>
        <v/>
      </c>
      <c r="M558" s="12" t="str">
        <f t="shared" si="143"/>
        <v/>
      </c>
      <c r="N558" s="12" t="str">
        <f t="shared" si="144"/>
        <v/>
      </c>
      <c r="O558" s="12" t="str">
        <f t="shared" si="145"/>
        <v/>
      </c>
      <c r="P558" s="12" t="str">
        <f t="shared" si="146"/>
        <v/>
      </c>
      <c r="Q558" s="12" t="str">
        <f t="shared" si="150"/>
        <v/>
      </c>
      <c r="R558" s="26" t="str">
        <f t="shared" si="147"/>
        <v/>
      </c>
      <c r="S558" s="26" t="str">
        <f t="shared" si="156"/>
        <v/>
      </c>
      <c r="T558" s="26" t="str">
        <f t="shared" si="151"/>
        <v/>
      </c>
      <c r="U558" s="26" t="str">
        <f t="shared" si="152"/>
        <v/>
      </c>
      <c r="V558" s="26" t="str">
        <f t="shared" si="153"/>
        <v/>
      </c>
      <c r="W558" s="20" t="str">
        <f t="shared" si="154"/>
        <v/>
      </c>
      <c r="X558" s="20" t="str">
        <f t="shared" si="155"/>
        <v/>
      </c>
      <c r="Y558" s="86" t="str">
        <f t="shared" si="157"/>
        <v/>
      </c>
      <c r="Z558" s="31"/>
    </row>
    <row r="559" spans="2:26" outlineLevel="1">
      <c r="B559" s="14">
        <f t="shared" si="141"/>
        <v>556</v>
      </c>
      <c r="C559" s="37"/>
      <c r="D559" s="40"/>
      <c r="E559" s="39"/>
      <c r="F559" s="37"/>
      <c r="G559" s="39"/>
      <c r="H559" s="37"/>
      <c r="I559" s="37"/>
      <c r="J559" s="41" t="str">
        <f t="shared" si="142"/>
        <v/>
      </c>
      <c r="K559" s="12" t="str">
        <f t="shared" si="148"/>
        <v/>
      </c>
      <c r="L559" s="12" t="str">
        <f t="shared" si="149"/>
        <v/>
      </c>
      <c r="M559" s="12" t="str">
        <f t="shared" si="143"/>
        <v/>
      </c>
      <c r="N559" s="12" t="str">
        <f t="shared" si="144"/>
        <v/>
      </c>
      <c r="O559" s="12" t="str">
        <f t="shared" si="145"/>
        <v/>
      </c>
      <c r="P559" s="12" t="str">
        <f t="shared" si="146"/>
        <v/>
      </c>
      <c r="Q559" s="12" t="str">
        <f t="shared" si="150"/>
        <v/>
      </c>
      <c r="R559" s="26" t="str">
        <f t="shared" si="147"/>
        <v/>
      </c>
      <c r="S559" s="26" t="str">
        <f t="shared" si="156"/>
        <v/>
      </c>
      <c r="T559" s="26" t="str">
        <f t="shared" si="151"/>
        <v/>
      </c>
      <c r="U559" s="26" t="str">
        <f t="shared" si="152"/>
        <v/>
      </c>
      <c r="V559" s="26" t="str">
        <f t="shared" si="153"/>
        <v/>
      </c>
      <c r="W559" s="20" t="str">
        <f t="shared" si="154"/>
        <v/>
      </c>
      <c r="X559" s="20" t="str">
        <f t="shared" si="155"/>
        <v/>
      </c>
      <c r="Y559" s="86" t="str">
        <f t="shared" si="157"/>
        <v/>
      </c>
      <c r="Z559" s="31"/>
    </row>
    <row r="560" spans="2:26" outlineLevel="1">
      <c r="B560" s="14">
        <f t="shared" si="141"/>
        <v>557</v>
      </c>
      <c r="C560" s="37"/>
      <c r="D560" s="40"/>
      <c r="E560" s="39"/>
      <c r="F560" s="37"/>
      <c r="G560" s="39"/>
      <c r="H560" s="37"/>
      <c r="I560" s="37"/>
      <c r="J560" s="41" t="str">
        <f t="shared" si="142"/>
        <v/>
      </c>
      <c r="K560" s="12" t="str">
        <f t="shared" si="148"/>
        <v/>
      </c>
      <c r="L560" s="12" t="str">
        <f t="shared" si="149"/>
        <v/>
      </c>
      <c r="M560" s="12" t="str">
        <f t="shared" si="143"/>
        <v/>
      </c>
      <c r="N560" s="12" t="str">
        <f t="shared" si="144"/>
        <v/>
      </c>
      <c r="O560" s="12" t="str">
        <f t="shared" si="145"/>
        <v/>
      </c>
      <c r="P560" s="12" t="str">
        <f t="shared" si="146"/>
        <v/>
      </c>
      <c r="Q560" s="12" t="str">
        <f t="shared" si="150"/>
        <v/>
      </c>
      <c r="R560" s="26" t="str">
        <f t="shared" si="147"/>
        <v/>
      </c>
      <c r="S560" s="26" t="str">
        <f t="shared" si="156"/>
        <v/>
      </c>
      <c r="T560" s="26" t="str">
        <f t="shared" si="151"/>
        <v/>
      </c>
      <c r="U560" s="26" t="str">
        <f t="shared" si="152"/>
        <v/>
      </c>
      <c r="V560" s="26" t="str">
        <f t="shared" si="153"/>
        <v/>
      </c>
      <c r="W560" s="20" t="str">
        <f t="shared" si="154"/>
        <v/>
      </c>
      <c r="X560" s="20" t="str">
        <f t="shared" si="155"/>
        <v/>
      </c>
      <c r="Y560" s="86" t="str">
        <f t="shared" si="157"/>
        <v/>
      </c>
      <c r="Z560" s="31"/>
    </row>
    <row r="561" spans="2:26" outlineLevel="1">
      <c r="B561" s="14">
        <f t="shared" si="141"/>
        <v>558</v>
      </c>
      <c r="C561" s="37"/>
      <c r="D561" s="40"/>
      <c r="E561" s="39"/>
      <c r="F561" s="37"/>
      <c r="G561" s="39"/>
      <c r="H561" s="37"/>
      <c r="I561" s="37"/>
      <c r="J561" s="41" t="str">
        <f t="shared" si="142"/>
        <v/>
      </c>
      <c r="K561" s="12" t="str">
        <f t="shared" si="148"/>
        <v/>
      </c>
      <c r="L561" s="12" t="str">
        <f t="shared" si="149"/>
        <v/>
      </c>
      <c r="M561" s="12" t="str">
        <f t="shared" si="143"/>
        <v/>
      </c>
      <c r="N561" s="12" t="str">
        <f t="shared" si="144"/>
        <v/>
      </c>
      <c r="O561" s="12" t="str">
        <f t="shared" si="145"/>
        <v/>
      </c>
      <c r="P561" s="12" t="str">
        <f t="shared" si="146"/>
        <v/>
      </c>
      <c r="Q561" s="12" t="str">
        <f t="shared" si="150"/>
        <v/>
      </c>
      <c r="R561" s="26" t="str">
        <f t="shared" si="147"/>
        <v/>
      </c>
      <c r="S561" s="26" t="str">
        <f t="shared" si="156"/>
        <v/>
      </c>
      <c r="T561" s="26" t="str">
        <f t="shared" si="151"/>
        <v/>
      </c>
      <c r="U561" s="26" t="str">
        <f t="shared" si="152"/>
        <v/>
      </c>
      <c r="V561" s="26" t="str">
        <f t="shared" si="153"/>
        <v/>
      </c>
      <c r="W561" s="20" t="str">
        <f t="shared" si="154"/>
        <v/>
      </c>
      <c r="X561" s="20" t="str">
        <f t="shared" si="155"/>
        <v/>
      </c>
      <c r="Y561" s="86" t="str">
        <f t="shared" si="157"/>
        <v/>
      </c>
      <c r="Z561" s="31"/>
    </row>
    <row r="562" spans="2:26" outlineLevel="1">
      <c r="B562" s="14">
        <f t="shared" si="141"/>
        <v>559</v>
      </c>
      <c r="C562" s="37"/>
      <c r="D562" s="40"/>
      <c r="E562" s="39"/>
      <c r="F562" s="37"/>
      <c r="G562" s="39"/>
      <c r="H562" s="37"/>
      <c r="I562" s="37"/>
      <c r="J562" s="41" t="str">
        <f t="shared" si="142"/>
        <v/>
      </c>
      <c r="K562" s="12" t="str">
        <f t="shared" si="148"/>
        <v/>
      </c>
      <c r="L562" s="12" t="str">
        <f t="shared" si="149"/>
        <v/>
      </c>
      <c r="M562" s="12" t="str">
        <f t="shared" si="143"/>
        <v/>
      </c>
      <c r="N562" s="12" t="str">
        <f t="shared" si="144"/>
        <v/>
      </c>
      <c r="O562" s="12" t="str">
        <f t="shared" si="145"/>
        <v/>
      </c>
      <c r="P562" s="12" t="str">
        <f t="shared" si="146"/>
        <v/>
      </c>
      <c r="Q562" s="12" t="str">
        <f t="shared" si="150"/>
        <v/>
      </c>
      <c r="R562" s="26" t="str">
        <f t="shared" si="147"/>
        <v/>
      </c>
      <c r="S562" s="26" t="str">
        <f t="shared" si="156"/>
        <v/>
      </c>
      <c r="T562" s="26" t="str">
        <f t="shared" si="151"/>
        <v/>
      </c>
      <c r="U562" s="26" t="str">
        <f t="shared" si="152"/>
        <v/>
      </c>
      <c r="V562" s="26" t="str">
        <f t="shared" si="153"/>
        <v/>
      </c>
      <c r="W562" s="20" t="str">
        <f t="shared" si="154"/>
        <v/>
      </c>
      <c r="X562" s="20" t="str">
        <f t="shared" si="155"/>
        <v/>
      </c>
      <c r="Y562" s="86" t="str">
        <f t="shared" si="157"/>
        <v/>
      </c>
      <c r="Z562" s="31"/>
    </row>
    <row r="563" spans="2:26" outlineLevel="1">
      <c r="B563" s="14">
        <f t="shared" si="141"/>
        <v>560</v>
      </c>
      <c r="C563" s="37"/>
      <c r="D563" s="40"/>
      <c r="E563" s="39"/>
      <c r="F563" s="37"/>
      <c r="G563" s="39"/>
      <c r="H563" s="37"/>
      <c r="I563" s="37"/>
      <c r="J563" s="41" t="str">
        <f t="shared" si="142"/>
        <v/>
      </c>
      <c r="K563" s="12" t="str">
        <f t="shared" si="148"/>
        <v/>
      </c>
      <c r="L563" s="12" t="str">
        <f t="shared" si="149"/>
        <v/>
      </c>
      <c r="M563" s="12" t="str">
        <f t="shared" si="143"/>
        <v/>
      </c>
      <c r="N563" s="12" t="str">
        <f t="shared" si="144"/>
        <v/>
      </c>
      <c r="O563" s="12" t="str">
        <f t="shared" si="145"/>
        <v/>
      </c>
      <c r="P563" s="12" t="str">
        <f t="shared" si="146"/>
        <v/>
      </c>
      <c r="Q563" s="12" t="str">
        <f t="shared" si="150"/>
        <v/>
      </c>
      <c r="R563" s="26" t="str">
        <f t="shared" si="147"/>
        <v/>
      </c>
      <c r="S563" s="26" t="str">
        <f t="shared" si="156"/>
        <v/>
      </c>
      <c r="T563" s="26" t="str">
        <f t="shared" si="151"/>
        <v/>
      </c>
      <c r="U563" s="26" t="str">
        <f t="shared" si="152"/>
        <v/>
      </c>
      <c r="V563" s="26" t="str">
        <f t="shared" si="153"/>
        <v/>
      </c>
      <c r="W563" s="20" t="str">
        <f t="shared" si="154"/>
        <v/>
      </c>
      <c r="X563" s="20" t="str">
        <f t="shared" si="155"/>
        <v/>
      </c>
      <c r="Y563" s="86" t="str">
        <f t="shared" si="157"/>
        <v/>
      </c>
      <c r="Z563" s="31"/>
    </row>
    <row r="564" spans="2:26" outlineLevel="1">
      <c r="B564" s="14">
        <f t="shared" si="141"/>
        <v>561</v>
      </c>
      <c r="C564" s="37"/>
      <c r="D564" s="40"/>
      <c r="E564" s="39"/>
      <c r="F564" s="37"/>
      <c r="G564" s="39"/>
      <c r="H564" s="37"/>
      <c r="I564" s="37"/>
      <c r="J564" s="41" t="str">
        <f t="shared" si="142"/>
        <v/>
      </c>
      <c r="K564" s="12" t="str">
        <f t="shared" si="148"/>
        <v/>
      </c>
      <c r="L564" s="12" t="str">
        <f t="shared" si="149"/>
        <v/>
      </c>
      <c r="M564" s="12" t="str">
        <f t="shared" si="143"/>
        <v/>
      </c>
      <c r="N564" s="12" t="str">
        <f t="shared" si="144"/>
        <v/>
      </c>
      <c r="O564" s="12" t="str">
        <f t="shared" si="145"/>
        <v/>
      </c>
      <c r="P564" s="12" t="str">
        <f t="shared" si="146"/>
        <v/>
      </c>
      <c r="Q564" s="12" t="str">
        <f t="shared" si="150"/>
        <v/>
      </c>
      <c r="R564" s="26" t="str">
        <f t="shared" si="147"/>
        <v/>
      </c>
      <c r="S564" s="26" t="str">
        <f t="shared" si="156"/>
        <v/>
      </c>
      <c r="T564" s="26" t="str">
        <f t="shared" si="151"/>
        <v/>
      </c>
      <c r="U564" s="26" t="str">
        <f t="shared" si="152"/>
        <v/>
      </c>
      <c r="V564" s="26" t="str">
        <f t="shared" si="153"/>
        <v/>
      </c>
      <c r="W564" s="20" t="str">
        <f t="shared" si="154"/>
        <v/>
      </c>
      <c r="X564" s="20" t="str">
        <f t="shared" si="155"/>
        <v/>
      </c>
      <c r="Y564" s="86" t="str">
        <f t="shared" si="157"/>
        <v/>
      </c>
      <c r="Z564" s="31"/>
    </row>
    <row r="565" spans="2:26" outlineLevel="1">
      <c r="B565" s="14">
        <f t="shared" si="141"/>
        <v>562</v>
      </c>
      <c r="C565" s="37"/>
      <c r="D565" s="40"/>
      <c r="E565" s="39"/>
      <c r="F565" s="37"/>
      <c r="G565" s="39"/>
      <c r="H565" s="37"/>
      <c r="I565" s="37"/>
      <c r="J565" s="41" t="str">
        <f t="shared" si="142"/>
        <v/>
      </c>
      <c r="K565" s="12" t="str">
        <f t="shared" si="148"/>
        <v/>
      </c>
      <c r="L565" s="12" t="str">
        <f t="shared" si="149"/>
        <v/>
      </c>
      <c r="M565" s="12" t="str">
        <f t="shared" si="143"/>
        <v/>
      </c>
      <c r="N565" s="12" t="str">
        <f t="shared" si="144"/>
        <v/>
      </c>
      <c r="O565" s="12" t="str">
        <f t="shared" si="145"/>
        <v/>
      </c>
      <c r="P565" s="12" t="str">
        <f t="shared" si="146"/>
        <v/>
      </c>
      <c r="Q565" s="12" t="str">
        <f t="shared" si="150"/>
        <v/>
      </c>
      <c r="R565" s="26" t="str">
        <f t="shared" si="147"/>
        <v/>
      </c>
      <c r="S565" s="26" t="str">
        <f t="shared" si="156"/>
        <v/>
      </c>
      <c r="T565" s="26" t="str">
        <f t="shared" si="151"/>
        <v/>
      </c>
      <c r="U565" s="26" t="str">
        <f t="shared" si="152"/>
        <v/>
      </c>
      <c r="V565" s="26" t="str">
        <f t="shared" si="153"/>
        <v/>
      </c>
      <c r="W565" s="20" t="str">
        <f t="shared" si="154"/>
        <v/>
      </c>
      <c r="X565" s="20" t="str">
        <f t="shared" si="155"/>
        <v/>
      </c>
      <c r="Y565" s="86" t="str">
        <f t="shared" si="157"/>
        <v/>
      </c>
      <c r="Z565" s="31"/>
    </row>
    <row r="566" spans="2:26" outlineLevel="1">
      <c r="B566" s="14">
        <f t="shared" si="141"/>
        <v>563</v>
      </c>
      <c r="C566" s="37"/>
      <c r="D566" s="40"/>
      <c r="E566" s="39"/>
      <c r="F566" s="37"/>
      <c r="G566" s="39"/>
      <c r="H566" s="37"/>
      <c r="I566" s="37"/>
      <c r="J566" s="41" t="str">
        <f t="shared" si="142"/>
        <v/>
      </c>
      <c r="K566" s="12" t="str">
        <f t="shared" si="148"/>
        <v/>
      </c>
      <c r="L566" s="12" t="str">
        <f t="shared" si="149"/>
        <v/>
      </c>
      <c r="M566" s="12" t="str">
        <f t="shared" si="143"/>
        <v/>
      </c>
      <c r="N566" s="12" t="str">
        <f t="shared" si="144"/>
        <v/>
      </c>
      <c r="O566" s="12" t="str">
        <f t="shared" si="145"/>
        <v/>
      </c>
      <c r="P566" s="12" t="str">
        <f t="shared" si="146"/>
        <v/>
      </c>
      <c r="Q566" s="12" t="str">
        <f t="shared" si="150"/>
        <v/>
      </c>
      <c r="R566" s="26" t="str">
        <f t="shared" si="147"/>
        <v/>
      </c>
      <c r="S566" s="26" t="str">
        <f t="shared" si="156"/>
        <v/>
      </c>
      <c r="T566" s="26" t="str">
        <f t="shared" si="151"/>
        <v/>
      </c>
      <c r="U566" s="26" t="str">
        <f t="shared" si="152"/>
        <v/>
      </c>
      <c r="V566" s="26" t="str">
        <f t="shared" si="153"/>
        <v/>
      </c>
      <c r="W566" s="20" t="str">
        <f t="shared" si="154"/>
        <v/>
      </c>
      <c r="X566" s="20" t="str">
        <f t="shared" si="155"/>
        <v/>
      </c>
      <c r="Y566" s="86" t="str">
        <f t="shared" si="157"/>
        <v/>
      </c>
      <c r="Z566" s="31"/>
    </row>
    <row r="567" spans="2:26" outlineLevel="1">
      <c r="B567" s="14">
        <f t="shared" si="141"/>
        <v>564</v>
      </c>
      <c r="C567" s="37"/>
      <c r="D567" s="40"/>
      <c r="E567" s="39"/>
      <c r="F567" s="37"/>
      <c r="G567" s="39"/>
      <c r="H567" s="37"/>
      <c r="I567" s="37"/>
      <c r="J567" s="41" t="str">
        <f t="shared" si="142"/>
        <v/>
      </c>
      <c r="K567" s="12" t="str">
        <f t="shared" si="148"/>
        <v/>
      </c>
      <c r="L567" s="12" t="str">
        <f t="shared" si="149"/>
        <v/>
      </c>
      <c r="M567" s="12" t="str">
        <f t="shared" si="143"/>
        <v/>
      </c>
      <c r="N567" s="12" t="str">
        <f t="shared" si="144"/>
        <v/>
      </c>
      <c r="O567" s="12" t="str">
        <f t="shared" si="145"/>
        <v/>
      </c>
      <c r="P567" s="12" t="str">
        <f t="shared" si="146"/>
        <v/>
      </c>
      <c r="Q567" s="12" t="str">
        <f t="shared" si="150"/>
        <v/>
      </c>
      <c r="R567" s="26" t="str">
        <f t="shared" si="147"/>
        <v/>
      </c>
      <c r="S567" s="26" t="str">
        <f t="shared" si="156"/>
        <v/>
      </c>
      <c r="T567" s="26" t="str">
        <f t="shared" si="151"/>
        <v/>
      </c>
      <c r="U567" s="26" t="str">
        <f t="shared" si="152"/>
        <v/>
      </c>
      <c r="V567" s="26" t="str">
        <f t="shared" si="153"/>
        <v/>
      </c>
      <c r="W567" s="20" t="str">
        <f t="shared" si="154"/>
        <v/>
      </c>
      <c r="X567" s="20" t="str">
        <f t="shared" si="155"/>
        <v/>
      </c>
      <c r="Y567" s="86" t="str">
        <f t="shared" si="157"/>
        <v/>
      </c>
      <c r="Z567" s="31"/>
    </row>
    <row r="568" spans="2:26" outlineLevel="1">
      <c r="B568" s="14">
        <f t="shared" si="141"/>
        <v>565</v>
      </c>
      <c r="C568" s="37"/>
      <c r="D568" s="40"/>
      <c r="E568" s="39"/>
      <c r="F568" s="37"/>
      <c r="G568" s="39"/>
      <c r="H568" s="37"/>
      <c r="I568" s="37"/>
      <c r="J568" s="41" t="str">
        <f t="shared" si="142"/>
        <v/>
      </c>
      <c r="K568" s="12" t="str">
        <f t="shared" si="148"/>
        <v/>
      </c>
      <c r="L568" s="12" t="str">
        <f t="shared" si="149"/>
        <v/>
      </c>
      <c r="M568" s="12" t="str">
        <f t="shared" si="143"/>
        <v/>
      </c>
      <c r="N568" s="12" t="str">
        <f t="shared" si="144"/>
        <v/>
      </c>
      <c r="O568" s="12" t="str">
        <f t="shared" si="145"/>
        <v/>
      </c>
      <c r="P568" s="12" t="str">
        <f t="shared" si="146"/>
        <v/>
      </c>
      <c r="Q568" s="12" t="str">
        <f t="shared" si="150"/>
        <v/>
      </c>
      <c r="R568" s="26" t="str">
        <f t="shared" si="147"/>
        <v/>
      </c>
      <c r="S568" s="26" t="str">
        <f t="shared" si="156"/>
        <v/>
      </c>
      <c r="T568" s="26" t="str">
        <f t="shared" si="151"/>
        <v/>
      </c>
      <c r="U568" s="26" t="str">
        <f t="shared" si="152"/>
        <v/>
      </c>
      <c r="V568" s="26" t="str">
        <f t="shared" si="153"/>
        <v/>
      </c>
      <c r="W568" s="20" t="str">
        <f t="shared" si="154"/>
        <v/>
      </c>
      <c r="X568" s="20" t="str">
        <f t="shared" si="155"/>
        <v/>
      </c>
      <c r="Y568" s="86" t="str">
        <f t="shared" si="157"/>
        <v/>
      </c>
      <c r="Z568" s="31"/>
    </row>
    <row r="569" spans="2:26" outlineLevel="1">
      <c r="B569" s="14">
        <f t="shared" si="141"/>
        <v>566</v>
      </c>
      <c r="C569" s="37"/>
      <c r="D569" s="40"/>
      <c r="E569" s="39"/>
      <c r="F569" s="37"/>
      <c r="G569" s="39"/>
      <c r="H569" s="37"/>
      <c r="I569" s="37"/>
      <c r="J569" s="41" t="str">
        <f t="shared" si="142"/>
        <v/>
      </c>
      <c r="K569" s="12" t="str">
        <f t="shared" si="148"/>
        <v/>
      </c>
      <c r="L569" s="12" t="str">
        <f t="shared" si="149"/>
        <v/>
      </c>
      <c r="M569" s="12" t="str">
        <f t="shared" si="143"/>
        <v/>
      </c>
      <c r="N569" s="12" t="str">
        <f t="shared" si="144"/>
        <v/>
      </c>
      <c r="O569" s="12" t="str">
        <f t="shared" si="145"/>
        <v/>
      </c>
      <c r="P569" s="12" t="str">
        <f t="shared" si="146"/>
        <v/>
      </c>
      <c r="Q569" s="12" t="str">
        <f t="shared" si="150"/>
        <v/>
      </c>
      <c r="R569" s="26" t="str">
        <f t="shared" si="147"/>
        <v/>
      </c>
      <c r="S569" s="26" t="str">
        <f t="shared" si="156"/>
        <v/>
      </c>
      <c r="T569" s="26" t="str">
        <f t="shared" si="151"/>
        <v/>
      </c>
      <c r="U569" s="26" t="str">
        <f t="shared" si="152"/>
        <v/>
      </c>
      <c r="V569" s="26" t="str">
        <f t="shared" si="153"/>
        <v/>
      </c>
      <c r="W569" s="20" t="str">
        <f t="shared" si="154"/>
        <v/>
      </c>
      <c r="X569" s="20" t="str">
        <f t="shared" si="155"/>
        <v/>
      </c>
      <c r="Y569" s="86" t="str">
        <f t="shared" si="157"/>
        <v/>
      </c>
      <c r="Z569" s="31"/>
    </row>
    <row r="570" spans="2:26" outlineLevel="1">
      <c r="B570" s="14">
        <f t="shared" si="141"/>
        <v>567</v>
      </c>
      <c r="C570" s="37"/>
      <c r="D570" s="40"/>
      <c r="E570" s="39"/>
      <c r="F570" s="37"/>
      <c r="G570" s="39"/>
      <c r="H570" s="37"/>
      <c r="I570" s="37"/>
      <c r="J570" s="41" t="str">
        <f t="shared" si="142"/>
        <v/>
      </c>
      <c r="K570" s="12" t="str">
        <f t="shared" si="148"/>
        <v/>
      </c>
      <c r="L570" s="12" t="str">
        <f t="shared" si="149"/>
        <v/>
      </c>
      <c r="M570" s="12" t="str">
        <f t="shared" si="143"/>
        <v/>
      </c>
      <c r="N570" s="12" t="str">
        <f t="shared" si="144"/>
        <v/>
      </c>
      <c r="O570" s="12" t="str">
        <f t="shared" si="145"/>
        <v/>
      </c>
      <c r="P570" s="12" t="str">
        <f t="shared" si="146"/>
        <v/>
      </c>
      <c r="Q570" s="12" t="str">
        <f t="shared" si="150"/>
        <v/>
      </c>
      <c r="R570" s="26" t="str">
        <f t="shared" si="147"/>
        <v/>
      </c>
      <c r="S570" s="26" t="str">
        <f t="shared" si="156"/>
        <v/>
      </c>
      <c r="T570" s="26" t="str">
        <f t="shared" si="151"/>
        <v/>
      </c>
      <c r="U570" s="26" t="str">
        <f t="shared" si="152"/>
        <v/>
      </c>
      <c r="V570" s="26" t="str">
        <f t="shared" si="153"/>
        <v/>
      </c>
      <c r="W570" s="20" t="str">
        <f t="shared" si="154"/>
        <v/>
      </c>
      <c r="X570" s="20" t="str">
        <f t="shared" si="155"/>
        <v/>
      </c>
      <c r="Y570" s="86" t="str">
        <f t="shared" si="157"/>
        <v/>
      </c>
      <c r="Z570" s="31"/>
    </row>
    <row r="571" spans="2:26" outlineLevel="1">
      <c r="B571" s="14">
        <f t="shared" si="141"/>
        <v>568</v>
      </c>
      <c r="C571" s="37"/>
      <c r="D571" s="40"/>
      <c r="E571" s="39"/>
      <c r="F571" s="37"/>
      <c r="G571" s="39"/>
      <c r="H571" s="37"/>
      <c r="I571" s="37"/>
      <c r="J571" s="41" t="str">
        <f t="shared" si="142"/>
        <v/>
      </c>
      <c r="K571" s="12" t="str">
        <f t="shared" si="148"/>
        <v/>
      </c>
      <c r="L571" s="12" t="str">
        <f t="shared" si="149"/>
        <v/>
      </c>
      <c r="M571" s="12" t="str">
        <f t="shared" si="143"/>
        <v/>
      </c>
      <c r="N571" s="12" t="str">
        <f t="shared" si="144"/>
        <v/>
      </c>
      <c r="O571" s="12" t="str">
        <f t="shared" si="145"/>
        <v/>
      </c>
      <c r="P571" s="12" t="str">
        <f t="shared" si="146"/>
        <v/>
      </c>
      <c r="Q571" s="12" t="str">
        <f t="shared" si="150"/>
        <v/>
      </c>
      <c r="R571" s="26" t="str">
        <f t="shared" si="147"/>
        <v/>
      </c>
      <c r="S571" s="26" t="str">
        <f t="shared" si="156"/>
        <v/>
      </c>
      <c r="T571" s="26" t="str">
        <f t="shared" si="151"/>
        <v/>
      </c>
      <c r="U571" s="26" t="str">
        <f t="shared" si="152"/>
        <v/>
      </c>
      <c r="V571" s="26" t="str">
        <f t="shared" si="153"/>
        <v/>
      </c>
      <c r="W571" s="20" t="str">
        <f t="shared" si="154"/>
        <v/>
      </c>
      <c r="X571" s="20" t="str">
        <f t="shared" si="155"/>
        <v/>
      </c>
      <c r="Y571" s="86" t="str">
        <f t="shared" si="157"/>
        <v/>
      </c>
      <c r="Z571" s="31"/>
    </row>
    <row r="572" spans="2:26" outlineLevel="1">
      <c r="B572" s="14">
        <f t="shared" si="141"/>
        <v>569</v>
      </c>
      <c r="C572" s="37"/>
      <c r="D572" s="40"/>
      <c r="E572" s="39"/>
      <c r="F572" s="37"/>
      <c r="G572" s="39"/>
      <c r="H572" s="37"/>
      <c r="I572" s="37"/>
      <c r="J572" s="41" t="str">
        <f t="shared" si="142"/>
        <v/>
      </c>
      <c r="K572" s="12" t="str">
        <f t="shared" si="148"/>
        <v/>
      </c>
      <c r="L572" s="12" t="str">
        <f t="shared" si="149"/>
        <v/>
      </c>
      <c r="M572" s="12" t="str">
        <f t="shared" si="143"/>
        <v/>
      </c>
      <c r="N572" s="12" t="str">
        <f t="shared" si="144"/>
        <v/>
      </c>
      <c r="O572" s="12" t="str">
        <f t="shared" si="145"/>
        <v/>
      </c>
      <c r="P572" s="12" t="str">
        <f t="shared" si="146"/>
        <v/>
      </c>
      <c r="Q572" s="12" t="str">
        <f t="shared" si="150"/>
        <v/>
      </c>
      <c r="R572" s="26" t="str">
        <f t="shared" si="147"/>
        <v/>
      </c>
      <c r="S572" s="26" t="str">
        <f t="shared" si="156"/>
        <v/>
      </c>
      <c r="T572" s="26" t="str">
        <f t="shared" si="151"/>
        <v/>
      </c>
      <c r="U572" s="26" t="str">
        <f t="shared" si="152"/>
        <v/>
      </c>
      <c r="V572" s="26" t="str">
        <f t="shared" si="153"/>
        <v/>
      </c>
      <c r="W572" s="20" t="str">
        <f t="shared" si="154"/>
        <v/>
      </c>
      <c r="X572" s="20" t="str">
        <f t="shared" si="155"/>
        <v/>
      </c>
      <c r="Y572" s="86" t="str">
        <f t="shared" si="157"/>
        <v/>
      </c>
      <c r="Z572" s="31"/>
    </row>
    <row r="573" spans="2:26" outlineLevel="1">
      <c r="B573" s="14">
        <f t="shared" si="141"/>
        <v>570</v>
      </c>
      <c r="C573" s="37"/>
      <c r="D573" s="40"/>
      <c r="E573" s="39"/>
      <c r="F573" s="37"/>
      <c r="G573" s="39"/>
      <c r="H573" s="37"/>
      <c r="I573" s="37"/>
      <c r="J573" s="41" t="str">
        <f t="shared" si="142"/>
        <v/>
      </c>
      <c r="K573" s="12" t="str">
        <f t="shared" si="148"/>
        <v/>
      </c>
      <c r="L573" s="12" t="str">
        <f t="shared" si="149"/>
        <v/>
      </c>
      <c r="M573" s="12" t="str">
        <f t="shared" si="143"/>
        <v/>
      </c>
      <c r="N573" s="12" t="str">
        <f t="shared" si="144"/>
        <v/>
      </c>
      <c r="O573" s="12" t="str">
        <f t="shared" si="145"/>
        <v/>
      </c>
      <c r="P573" s="12" t="str">
        <f t="shared" si="146"/>
        <v/>
      </c>
      <c r="Q573" s="12" t="str">
        <f t="shared" si="150"/>
        <v/>
      </c>
      <c r="R573" s="26" t="str">
        <f t="shared" si="147"/>
        <v/>
      </c>
      <c r="S573" s="26" t="str">
        <f t="shared" si="156"/>
        <v/>
      </c>
      <c r="T573" s="26" t="str">
        <f t="shared" si="151"/>
        <v/>
      </c>
      <c r="U573" s="26" t="str">
        <f t="shared" si="152"/>
        <v/>
      </c>
      <c r="V573" s="26" t="str">
        <f t="shared" si="153"/>
        <v/>
      </c>
      <c r="W573" s="20" t="str">
        <f t="shared" si="154"/>
        <v/>
      </c>
      <c r="X573" s="20" t="str">
        <f t="shared" si="155"/>
        <v/>
      </c>
      <c r="Y573" s="86" t="str">
        <f t="shared" si="157"/>
        <v/>
      </c>
      <c r="Z573" s="31"/>
    </row>
    <row r="574" spans="2:26" outlineLevel="1">
      <c r="B574" s="14">
        <f t="shared" si="141"/>
        <v>571</v>
      </c>
      <c r="C574" s="37"/>
      <c r="D574" s="40"/>
      <c r="E574" s="39"/>
      <c r="F574" s="37"/>
      <c r="G574" s="39"/>
      <c r="H574" s="37"/>
      <c r="I574" s="37"/>
      <c r="J574" s="41" t="str">
        <f t="shared" si="142"/>
        <v/>
      </c>
      <c r="K574" s="12" t="str">
        <f t="shared" si="148"/>
        <v/>
      </c>
      <c r="L574" s="12" t="str">
        <f t="shared" si="149"/>
        <v/>
      </c>
      <c r="M574" s="12" t="str">
        <f t="shared" si="143"/>
        <v/>
      </c>
      <c r="N574" s="12" t="str">
        <f t="shared" si="144"/>
        <v/>
      </c>
      <c r="O574" s="12" t="str">
        <f t="shared" si="145"/>
        <v/>
      </c>
      <c r="P574" s="12" t="str">
        <f t="shared" si="146"/>
        <v/>
      </c>
      <c r="Q574" s="12" t="str">
        <f t="shared" si="150"/>
        <v/>
      </c>
      <c r="R574" s="26" t="str">
        <f t="shared" si="147"/>
        <v/>
      </c>
      <c r="S574" s="26" t="str">
        <f t="shared" si="156"/>
        <v/>
      </c>
      <c r="T574" s="26" t="str">
        <f t="shared" si="151"/>
        <v/>
      </c>
      <c r="U574" s="26" t="str">
        <f t="shared" si="152"/>
        <v/>
      </c>
      <c r="V574" s="26" t="str">
        <f t="shared" si="153"/>
        <v/>
      </c>
      <c r="W574" s="20" t="str">
        <f t="shared" si="154"/>
        <v/>
      </c>
      <c r="X574" s="20" t="str">
        <f t="shared" si="155"/>
        <v/>
      </c>
      <c r="Y574" s="86" t="str">
        <f t="shared" si="157"/>
        <v/>
      </c>
      <c r="Z574" s="31"/>
    </row>
    <row r="575" spans="2:26" outlineLevel="1">
      <c r="B575" s="14">
        <f t="shared" si="141"/>
        <v>572</v>
      </c>
      <c r="C575" s="37"/>
      <c r="D575" s="40"/>
      <c r="E575" s="39"/>
      <c r="F575" s="37"/>
      <c r="G575" s="39"/>
      <c r="H575" s="37"/>
      <c r="I575" s="37"/>
      <c r="J575" s="41" t="str">
        <f t="shared" si="142"/>
        <v/>
      </c>
      <c r="K575" s="12" t="str">
        <f t="shared" si="148"/>
        <v/>
      </c>
      <c r="L575" s="12" t="str">
        <f t="shared" si="149"/>
        <v/>
      </c>
      <c r="M575" s="12" t="str">
        <f t="shared" si="143"/>
        <v/>
      </c>
      <c r="N575" s="12" t="str">
        <f t="shared" si="144"/>
        <v/>
      </c>
      <c r="O575" s="12" t="str">
        <f t="shared" si="145"/>
        <v/>
      </c>
      <c r="P575" s="12" t="str">
        <f t="shared" si="146"/>
        <v/>
      </c>
      <c r="Q575" s="12" t="str">
        <f t="shared" si="150"/>
        <v/>
      </c>
      <c r="R575" s="26" t="str">
        <f t="shared" si="147"/>
        <v/>
      </c>
      <c r="S575" s="26" t="str">
        <f t="shared" si="156"/>
        <v/>
      </c>
      <c r="T575" s="26" t="str">
        <f t="shared" si="151"/>
        <v/>
      </c>
      <c r="U575" s="26" t="str">
        <f t="shared" si="152"/>
        <v/>
      </c>
      <c r="V575" s="26" t="str">
        <f t="shared" si="153"/>
        <v/>
      </c>
      <c r="W575" s="20" t="str">
        <f t="shared" si="154"/>
        <v/>
      </c>
      <c r="X575" s="20" t="str">
        <f t="shared" si="155"/>
        <v/>
      </c>
      <c r="Y575" s="86" t="str">
        <f t="shared" si="157"/>
        <v/>
      </c>
      <c r="Z575" s="31"/>
    </row>
    <row r="576" spans="2:26" outlineLevel="1">
      <c r="B576" s="14">
        <f t="shared" si="141"/>
        <v>573</v>
      </c>
      <c r="C576" s="37"/>
      <c r="D576" s="40"/>
      <c r="E576" s="39"/>
      <c r="F576" s="37"/>
      <c r="G576" s="39"/>
      <c r="H576" s="37"/>
      <c r="I576" s="37"/>
      <c r="J576" s="41" t="str">
        <f t="shared" si="142"/>
        <v/>
      </c>
      <c r="K576" s="12" t="str">
        <f t="shared" si="148"/>
        <v/>
      </c>
      <c r="L576" s="12" t="str">
        <f t="shared" si="149"/>
        <v/>
      </c>
      <c r="M576" s="12" t="str">
        <f t="shared" si="143"/>
        <v/>
      </c>
      <c r="N576" s="12" t="str">
        <f t="shared" si="144"/>
        <v/>
      </c>
      <c r="O576" s="12" t="str">
        <f t="shared" si="145"/>
        <v/>
      </c>
      <c r="P576" s="12" t="str">
        <f t="shared" si="146"/>
        <v/>
      </c>
      <c r="Q576" s="12" t="str">
        <f t="shared" si="150"/>
        <v/>
      </c>
      <c r="R576" s="26" t="str">
        <f t="shared" si="147"/>
        <v/>
      </c>
      <c r="S576" s="26" t="str">
        <f t="shared" si="156"/>
        <v/>
      </c>
      <c r="T576" s="26" t="str">
        <f t="shared" si="151"/>
        <v/>
      </c>
      <c r="U576" s="26" t="str">
        <f t="shared" si="152"/>
        <v/>
      </c>
      <c r="V576" s="26" t="str">
        <f t="shared" si="153"/>
        <v/>
      </c>
      <c r="W576" s="20" t="str">
        <f t="shared" si="154"/>
        <v/>
      </c>
      <c r="X576" s="20" t="str">
        <f t="shared" si="155"/>
        <v/>
      </c>
      <c r="Y576" s="86" t="str">
        <f t="shared" si="157"/>
        <v/>
      </c>
      <c r="Z576" s="31"/>
    </row>
    <row r="577" spans="2:26" outlineLevel="1">
      <c r="B577" s="14">
        <f t="shared" si="141"/>
        <v>574</v>
      </c>
      <c r="C577" s="37"/>
      <c r="D577" s="40"/>
      <c r="E577" s="39"/>
      <c r="F577" s="37"/>
      <c r="G577" s="39"/>
      <c r="H577" s="37"/>
      <c r="I577" s="37"/>
      <c r="J577" s="41" t="str">
        <f t="shared" si="142"/>
        <v/>
      </c>
      <c r="K577" s="12" t="str">
        <f t="shared" si="148"/>
        <v/>
      </c>
      <c r="L577" s="12" t="str">
        <f t="shared" si="149"/>
        <v/>
      </c>
      <c r="M577" s="12" t="str">
        <f t="shared" si="143"/>
        <v/>
      </c>
      <c r="N577" s="12" t="str">
        <f t="shared" si="144"/>
        <v/>
      </c>
      <c r="O577" s="12" t="str">
        <f t="shared" si="145"/>
        <v/>
      </c>
      <c r="P577" s="12" t="str">
        <f t="shared" si="146"/>
        <v/>
      </c>
      <c r="Q577" s="12" t="str">
        <f t="shared" si="150"/>
        <v/>
      </c>
      <c r="R577" s="26" t="str">
        <f t="shared" si="147"/>
        <v/>
      </c>
      <c r="S577" s="26" t="str">
        <f t="shared" si="156"/>
        <v/>
      </c>
      <c r="T577" s="26" t="str">
        <f t="shared" si="151"/>
        <v/>
      </c>
      <c r="U577" s="26" t="str">
        <f t="shared" si="152"/>
        <v/>
      </c>
      <c r="V577" s="26" t="str">
        <f t="shared" si="153"/>
        <v/>
      </c>
      <c r="W577" s="20" t="str">
        <f t="shared" si="154"/>
        <v/>
      </c>
      <c r="X577" s="20" t="str">
        <f t="shared" si="155"/>
        <v/>
      </c>
      <c r="Y577" s="86" t="str">
        <f t="shared" si="157"/>
        <v/>
      </c>
      <c r="Z577" s="31"/>
    </row>
    <row r="578" spans="2:26" outlineLevel="1">
      <c r="B578" s="14">
        <f t="shared" ref="B578:B641" si="158">1+B577</f>
        <v>575</v>
      </c>
      <c r="C578" s="37"/>
      <c r="D578" s="40"/>
      <c r="E578" s="39"/>
      <c r="F578" s="37"/>
      <c r="G578" s="39"/>
      <c r="H578" s="37"/>
      <c r="I578" s="37"/>
      <c r="J578" s="41" t="str">
        <f t="shared" si="142"/>
        <v/>
      </c>
      <c r="K578" s="12" t="str">
        <f t="shared" si="148"/>
        <v/>
      </c>
      <c r="L578" s="12" t="str">
        <f t="shared" si="149"/>
        <v/>
      </c>
      <c r="M578" s="12" t="str">
        <f t="shared" si="143"/>
        <v/>
      </c>
      <c r="N578" s="12" t="str">
        <f t="shared" si="144"/>
        <v/>
      </c>
      <c r="O578" s="12" t="str">
        <f t="shared" si="145"/>
        <v/>
      </c>
      <c r="P578" s="12" t="str">
        <f t="shared" si="146"/>
        <v/>
      </c>
      <c r="Q578" s="12" t="str">
        <f t="shared" si="150"/>
        <v/>
      </c>
      <c r="R578" s="26" t="str">
        <f t="shared" si="147"/>
        <v/>
      </c>
      <c r="S578" s="26" t="str">
        <f t="shared" si="156"/>
        <v/>
      </c>
      <c r="T578" s="26" t="str">
        <f t="shared" si="151"/>
        <v/>
      </c>
      <c r="U578" s="26" t="str">
        <f t="shared" si="152"/>
        <v/>
      </c>
      <c r="V578" s="26" t="str">
        <f t="shared" si="153"/>
        <v/>
      </c>
      <c r="W578" s="20" t="str">
        <f t="shared" si="154"/>
        <v/>
      </c>
      <c r="X578" s="20" t="str">
        <f t="shared" si="155"/>
        <v/>
      </c>
      <c r="Y578" s="86" t="str">
        <f t="shared" si="157"/>
        <v/>
      </c>
      <c r="Z578" s="31"/>
    </row>
    <row r="579" spans="2:26" outlineLevel="1">
      <c r="B579" s="14">
        <f t="shared" si="158"/>
        <v>576</v>
      </c>
      <c r="C579" s="37"/>
      <c r="D579" s="40"/>
      <c r="E579" s="39"/>
      <c r="F579" s="37"/>
      <c r="G579" s="39"/>
      <c r="H579" s="37"/>
      <c r="I579" s="37"/>
      <c r="J579" s="41" t="str">
        <f t="shared" si="142"/>
        <v/>
      </c>
      <c r="K579" s="12" t="str">
        <f t="shared" si="148"/>
        <v/>
      </c>
      <c r="L579" s="12" t="str">
        <f t="shared" si="149"/>
        <v/>
      </c>
      <c r="M579" s="12" t="str">
        <f t="shared" si="143"/>
        <v/>
      </c>
      <c r="N579" s="12" t="str">
        <f t="shared" si="144"/>
        <v/>
      </c>
      <c r="O579" s="12" t="str">
        <f t="shared" si="145"/>
        <v/>
      </c>
      <c r="P579" s="12" t="str">
        <f t="shared" si="146"/>
        <v/>
      </c>
      <c r="Q579" s="12" t="str">
        <f t="shared" si="150"/>
        <v/>
      </c>
      <c r="R579" s="26" t="str">
        <f t="shared" si="147"/>
        <v/>
      </c>
      <c r="S579" s="26" t="str">
        <f t="shared" si="156"/>
        <v/>
      </c>
      <c r="T579" s="26" t="str">
        <f t="shared" si="151"/>
        <v/>
      </c>
      <c r="U579" s="26" t="str">
        <f t="shared" si="152"/>
        <v/>
      </c>
      <c r="V579" s="26" t="str">
        <f t="shared" si="153"/>
        <v/>
      </c>
      <c r="W579" s="20" t="str">
        <f t="shared" si="154"/>
        <v/>
      </c>
      <c r="X579" s="20" t="str">
        <f t="shared" si="155"/>
        <v/>
      </c>
      <c r="Y579" s="86" t="str">
        <f t="shared" si="157"/>
        <v/>
      </c>
      <c r="Z579" s="31"/>
    </row>
    <row r="580" spans="2:26" outlineLevel="1">
      <c r="B580" s="14">
        <f t="shared" si="158"/>
        <v>577</v>
      </c>
      <c r="C580" s="37"/>
      <c r="D580" s="40"/>
      <c r="E580" s="39"/>
      <c r="F580" s="37"/>
      <c r="G580" s="39"/>
      <c r="H580" s="37"/>
      <c r="I580" s="37"/>
      <c r="J580" s="41" t="str">
        <f t="shared" ref="J580:J643" si="159">IF(D580="","",+$E$2*D580)</f>
        <v/>
      </c>
      <c r="K580" s="12" t="str">
        <f t="shared" si="148"/>
        <v/>
      </c>
      <c r="L580" s="12" t="str">
        <f t="shared" si="149"/>
        <v/>
      </c>
      <c r="M580" s="12" t="str">
        <f t="shared" ref="M580:M643" si="160">IF(E580="","",IF($L580="x",E580/12*3.14,(LEFT($E580,FIND("*",$E580)-1)+0)*12/144*2+(RIGHT($E580,LEN($E580)-FIND("*",$E580)))*12/144*2))</f>
        <v/>
      </c>
      <c r="N580" s="12" t="str">
        <f t="shared" ref="N580:N643" si="161">IF(E580="","",M580*IF(I580="y",MAX(0,J580-$AC$13),J580))</f>
        <v/>
      </c>
      <c r="O580" s="12" t="str">
        <f t="shared" ref="O580:O643" si="162">IF(E580="","",$AC$5*N580)</f>
        <v/>
      </c>
      <c r="P580" s="12" t="str">
        <f t="shared" ref="P580:P643" si="163">IF(D580="","",IFERROR(IF(ISERROR(FIND("*",$E580)),0,ROUND((O580*$AC$6),-1)),""))</f>
        <v/>
      </c>
      <c r="Q580" s="12" t="str">
        <f t="shared" si="150"/>
        <v/>
      </c>
      <c r="R580" s="26" t="str">
        <f t="shared" ref="R580:R643" si="164">IF(E580="","",IF(F580="x",N580*$AC$7,0))</f>
        <v/>
      </c>
      <c r="S580" s="26" t="str">
        <f t="shared" si="156"/>
        <v/>
      </c>
      <c r="T580" s="26" t="str">
        <f t="shared" si="151"/>
        <v/>
      </c>
      <c r="U580" s="26" t="str">
        <f t="shared" si="152"/>
        <v/>
      </c>
      <c r="V580" s="26" t="str">
        <f t="shared" si="153"/>
        <v/>
      </c>
      <c r="W580" s="20" t="str">
        <f t="shared" si="154"/>
        <v/>
      </c>
      <c r="X580" s="20" t="str">
        <f t="shared" si="155"/>
        <v/>
      </c>
      <c r="Y580" s="86" t="str">
        <f t="shared" si="157"/>
        <v/>
      </c>
      <c r="Z580" s="31"/>
    </row>
    <row r="581" spans="2:26" outlineLevel="1">
      <c r="B581" s="14">
        <f t="shared" si="158"/>
        <v>578</v>
      </c>
      <c r="C581" s="37"/>
      <c r="D581" s="40"/>
      <c r="E581" s="39"/>
      <c r="F581" s="37"/>
      <c r="G581" s="39"/>
      <c r="H581" s="37"/>
      <c r="I581" s="37"/>
      <c r="J581" s="41" t="str">
        <f t="shared" si="159"/>
        <v/>
      </c>
      <c r="K581" s="12" t="str">
        <f t="shared" ref="K581:K644" si="165">IF($D581="","",IF(ISERROR(FIND("*",$E581)),"","x"))</f>
        <v/>
      </c>
      <c r="L581" s="12" t="str">
        <f t="shared" ref="L581:L644" si="166">IF($D581="","",IF(ISERROR(FIND("*",$E581)),"x",""))</f>
        <v/>
      </c>
      <c r="M581" s="12" t="str">
        <f t="shared" si="160"/>
        <v/>
      </c>
      <c r="N581" s="12" t="str">
        <f t="shared" si="161"/>
        <v/>
      </c>
      <c r="O581" s="12" t="str">
        <f t="shared" si="162"/>
        <v/>
      </c>
      <c r="P581" s="12" t="str">
        <f t="shared" si="163"/>
        <v/>
      </c>
      <c r="Q581" s="12" t="str">
        <f t="shared" ref="Q581:Q644" si="167">IF(D581="","",IFERROR(IF(ISERROR(FIND("*",$E581)),INDEX($AP$5:$AP$16,MATCH($E581,$AL$5:$AL$16,0),1)*$J581,0),""))</f>
        <v/>
      </c>
      <c r="R581" s="26" t="str">
        <f t="shared" si="164"/>
        <v/>
      </c>
      <c r="S581" s="26" t="str">
        <f t="shared" si="156"/>
        <v/>
      </c>
      <c r="T581" s="26" t="str">
        <f t="shared" ref="T581:T644" si="168">IF(E581="","",IF(H581="x",IF(G581="x",0,25),0))</f>
        <v/>
      </c>
      <c r="U581" s="26" t="str">
        <f t="shared" ref="U581:U644" si="169">IF(D581="","",SUM(P581,R581,S581,T581)*$U$2)</f>
        <v/>
      </c>
      <c r="V581" s="26" t="str">
        <f t="shared" ref="V581:V644" si="170">IF(D581="","",SUM($Q581)*$V$2)</f>
        <v/>
      </c>
      <c r="W581" s="20" t="str">
        <f t="shared" ref="W581:W644" si="171">IF($D581="","",SUM(P581:U581))</f>
        <v/>
      </c>
      <c r="X581" s="20" t="str">
        <f t="shared" ref="X581:X644" si="172">IF(J581="","",ROUNDUP(J581*$AC$9+IF(R581=0,0,$AC$8*J581)+IF(G581="x",$AC$12,0)+IF(H581="x",0.5*25,0),-1))</f>
        <v/>
      </c>
      <c r="Y581" s="86" t="str">
        <f t="shared" si="157"/>
        <v/>
      </c>
      <c r="Z581" s="31"/>
    </row>
    <row r="582" spans="2:26" outlineLevel="1">
      <c r="B582" s="14">
        <f t="shared" si="158"/>
        <v>579</v>
      </c>
      <c r="C582" s="37"/>
      <c r="D582" s="40"/>
      <c r="E582" s="39"/>
      <c r="F582" s="37"/>
      <c r="G582" s="39"/>
      <c r="H582" s="37"/>
      <c r="I582" s="37"/>
      <c r="J582" s="41" t="str">
        <f t="shared" si="159"/>
        <v/>
      </c>
      <c r="K582" s="12" t="str">
        <f t="shared" si="165"/>
        <v/>
      </c>
      <c r="L582" s="12" t="str">
        <f t="shared" si="166"/>
        <v/>
      </c>
      <c r="M582" s="12" t="str">
        <f t="shared" si="160"/>
        <v/>
      </c>
      <c r="N582" s="12" t="str">
        <f t="shared" si="161"/>
        <v/>
      </c>
      <c r="O582" s="12" t="str">
        <f t="shared" si="162"/>
        <v/>
      </c>
      <c r="P582" s="12" t="str">
        <f t="shared" si="163"/>
        <v/>
      </c>
      <c r="Q582" s="12" t="str">
        <f t="shared" si="167"/>
        <v/>
      </c>
      <c r="R582" s="26" t="str">
        <f t="shared" si="164"/>
        <v/>
      </c>
      <c r="S582" s="26" t="str">
        <f t="shared" ref="S582:S645" si="173">IF(E582="","",IF(I582="x",$AC$13*INDEX($AN$19:$AN$30,MATCH($E582,$AL$19:$AL$30,0),1)*1.25,0))</f>
        <v/>
      </c>
      <c r="T582" s="26" t="str">
        <f t="shared" si="168"/>
        <v/>
      </c>
      <c r="U582" s="26" t="str">
        <f t="shared" si="169"/>
        <v/>
      </c>
      <c r="V582" s="26" t="str">
        <f t="shared" si="170"/>
        <v/>
      </c>
      <c r="W582" s="20" t="str">
        <f t="shared" si="171"/>
        <v/>
      </c>
      <c r="X582" s="20" t="str">
        <f t="shared" si="172"/>
        <v/>
      </c>
      <c r="Y582" s="86" t="str">
        <f t="shared" si="157"/>
        <v/>
      </c>
      <c r="Z582" s="31"/>
    </row>
    <row r="583" spans="2:26" outlineLevel="1">
      <c r="B583" s="14">
        <f t="shared" si="158"/>
        <v>580</v>
      </c>
      <c r="C583" s="37"/>
      <c r="D583" s="40"/>
      <c r="E583" s="39"/>
      <c r="F583" s="37"/>
      <c r="G583" s="39"/>
      <c r="H583" s="37"/>
      <c r="I583" s="37"/>
      <c r="J583" s="41" t="str">
        <f t="shared" si="159"/>
        <v/>
      </c>
      <c r="K583" s="12" t="str">
        <f t="shared" si="165"/>
        <v/>
      </c>
      <c r="L583" s="12" t="str">
        <f t="shared" si="166"/>
        <v/>
      </c>
      <c r="M583" s="12" t="str">
        <f t="shared" si="160"/>
        <v/>
      </c>
      <c r="N583" s="12" t="str">
        <f t="shared" si="161"/>
        <v/>
      </c>
      <c r="O583" s="12" t="str">
        <f t="shared" si="162"/>
        <v/>
      </c>
      <c r="P583" s="12" t="str">
        <f t="shared" si="163"/>
        <v/>
      </c>
      <c r="Q583" s="12" t="str">
        <f t="shared" si="167"/>
        <v/>
      </c>
      <c r="R583" s="26" t="str">
        <f t="shared" si="164"/>
        <v/>
      </c>
      <c r="S583" s="26" t="str">
        <f t="shared" si="173"/>
        <v/>
      </c>
      <c r="T583" s="26" t="str">
        <f t="shared" si="168"/>
        <v/>
      </c>
      <c r="U583" s="26" t="str">
        <f t="shared" si="169"/>
        <v/>
      </c>
      <c r="V583" s="26" t="str">
        <f t="shared" si="170"/>
        <v/>
      </c>
      <c r="W583" s="20" t="str">
        <f t="shared" si="171"/>
        <v/>
      </c>
      <c r="X583" s="20" t="str">
        <f t="shared" si="172"/>
        <v/>
      </c>
      <c r="Y583" s="86" t="str">
        <f t="shared" si="157"/>
        <v/>
      </c>
      <c r="Z583" s="31"/>
    </row>
    <row r="584" spans="2:26" outlineLevel="1">
      <c r="B584" s="14">
        <f t="shared" si="158"/>
        <v>581</v>
      </c>
      <c r="C584" s="37"/>
      <c r="D584" s="40"/>
      <c r="E584" s="39"/>
      <c r="F584" s="37"/>
      <c r="G584" s="39"/>
      <c r="H584" s="37"/>
      <c r="I584" s="37"/>
      <c r="J584" s="41" t="str">
        <f t="shared" si="159"/>
        <v/>
      </c>
      <c r="K584" s="12" t="str">
        <f t="shared" si="165"/>
        <v/>
      </c>
      <c r="L584" s="12" t="str">
        <f t="shared" si="166"/>
        <v/>
      </c>
      <c r="M584" s="12" t="str">
        <f t="shared" si="160"/>
        <v/>
      </c>
      <c r="N584" s="12" t="str">
        <f t="shared" si="161"/>
        <v/>
      </c>
      <c r="O584" s="12" t="str">
        <f t="shared" si="162"/>
        <v/>
      </c>
      <c r="P584" s="12" t="str">
        <f t="shared" si="163"/>
        <v/>
      </c>
      <c r="Q584" s="12" t="str">
        <f t="shared" si="167"/>
        <v/>
      </c>
      <c r="R584" s="26" t="str">
        <f t="shared" si="164"/>
        <v/>
      </c>
      <c r="S584" s="26" t="str">
        <f t="shared" si="173"/>
        <v/>
      </c>
      <c r="T584" s="26" t="str">
        <f t="shared" si="168"/>
        <v/>
      </c>
      <c r="U584" s="26" t="str">
        <f t="shared" si="169"/>
        <v/>
      </c>
      <c r="V584" s="26" t="str">
        <f t="shared" si="170"/>
        <v/>
      </c>
      <c r="W584" s="20" t="str">
        <f t="shared" si="171"/>
        <v/>
      </c>
      <c r="X584" s="20" t="str">
        <f t="shared" si="172"/>
        <v/>
      </c>
      <c r="Y584" s="86" t="str">
        <f t="shared" si="157"/>
        <v/>
      </c>
      <c r="Z584" s="31"/>
    </row>
    <row r="585" spans="2:26" outlineLevel="1">
      <c r="B585" s="14">
        <f t="shared" si="158"/>
        <v>582</v>
      </c>
      <c r="C585" s="37"/>
      <c r="D585" s="40"/>
      <c r="E585" s="39"/>
      <c r="F585" s="37"/>
      <c r="G585" s="39"/>
      <c r="H585" s="37"/>
      <c r="I585" s="37"/>
      <c r="J585" s="41" t="str">
        <f t="shared" si="159"/>
        <v/>
      </c>
      <c r="K585" s="12" t="str">
        <f t="shared" si="165"/>
        <v/>
      </c>
      <c r="L585" s="12" t="str">
        <f t="shared" si="166"/>
        <v/>
      </c>
      <c r="M585" s="12" t="str">
        <f t="shared" si="160"/>
        <v/>
      </c>
      <c r="N585" s="12" t="str">
        <f t="shared" si="161"/>
        <v/>
      </c>
      <c r="O585" s="12" t="str">
        <f t="shared" si="162"/>
        <v/>
      </c>
      <c r="P585" s="12" t="str">
        <f t="shared" si="163"/>
        <v/>
      </c>
      <c r="Q585" s="12" t="str">
        <f t="shared" si="167"/>
        <v/>
      </c>
      <c r="R585" s="26" t="str">
        <f t="shared" si="164"/>
        <v/>
      </c>
      <c r="S585" s="26" t="str">
        <f t="shared" si="173"/>
        <v/>
      </c>
      <c r="T585" s="26" t="str">
        <f t="shared" si="168"/>
        <v/>
      </c>
      <c r="U585" s="26" t="str">
        <f t="shared" si="169"/>
        <v/>
      </c>
      <c r="V585" s="26" t="str">
        <f t="shared" si="170"/>
        <v/>
      </c>
      <c r="W585" s="20" t="str">
        <f t="shared" si="171"/>
        <v/>
      </c>
      <c r="X585" s="20" t="str">
        <f t="shared" si="172"/>
        <v/>
      </c>
      <c r="Y585" s="86" t="str">
        <f t="shared" si="157"/>
        <v/>
      </c>
      <c r="Z585" s="31"/>
    </row>
    <row r="586" spans="2:26" outlineLevel="1">
      <c r="B586" s="14">
        <f t="shared" si="158"/>
        <v>583</v>
      </c>
      <c r="C586" s="37"/>
      <c r="D586" s="40"/>
      <c r="E586" s="39"/>
      <c r="F586" s="37"/>
      <c r="G586" s="39"/>
      <c r="H586" s="37"/>
      <c r="I586" s="37"/>
      <c r="J586" s="41" t="str">
        <f t="shared" si="159"/>
        <v/>
      </c>
      <c r="K586" s="12" t="str">
        <f t="shared" si="165"/>
        <v/>
      </c>
      <c r="L586" s="12" t="str">
        <f t="shared" si="166"/>
        <v/>
      </c>
      <c r="M586" s="12" t="str">
        <f t="shared" si="160"/>
        <v/>
      </c>
      <c r="N586" s="12" t="str">
        <f t="shared" si="161"/>
        <v/>
      </c>
      <c r="O586" s="12" t="str">
        <f t="shared" si="162"/>
        <v/>
      </c>
      <c r="P586" s="12" t="str">
        <f t="shared" si="163"/>
        <v/>
      </c>
      <c r="Q586" s="12" t="str">
        <f t="shared" si="167"/>
        <v/>
      </c>
      <c r="R586" s="26" t="str">
        <f t="shared" si="164"/>
        <v/>
      </c>
      <c r="S586" s="26" t="str">
        <f t="shared" si="173"/>
        <v/>
      </c>
      <c r="T586" s="26" t="str">
        <f t="shared" si="168"/>
        <v/>
      </c>
      <c r="U586" s="26" t="str">
        <f t="shared" si="169"/>
        <v/>
      </c>
      <c r="V586" s="26" t="str">
        <f t="shared" si="170"/>
        <v/>
      </c>
      <c r="W586" s="20" t="str">
        <f t="shared" si="171"/>
        <v/>
      </c>
      <c r="X586" s="20" t="str">
        <f t="shared" si="172"/>
        <v/>
      </c>
      <c r="Y586" s="86" t="str">
        <f t="shared" si="157"/>
        <v/>
      </c>
      <c r="Z586" s="31"/>
    </row>
    <row r="587" spans="2:26" outlineLevel="1">
      <c r="B587" s="14">
        <f t="shared" si="158"/>
        <v>584</v>
      </c>
      <c r="C587" s="37"/>
      <c r="D587" s="40"/>
      <c r="E587" s="39"/>
      <c r="F587" s="37"/>
      <c r="G587" s="39"/>
      <c r="H587" s="37"/>
      <c r="I587" s="37"/>
      <c r="J587" s="41" t="str">
        <f t="shared" si="159"/>
        <v/>
      </c>
      <c r="K587" s="12" t="str">
        <f t="shared" si="165"/>
        <v/>
      </c>
      <c r="L587" s="12" t="str">
        <f t="shared" si="166"/>
        <v/>
      </c>
      <c r="M587" s="12" t="str">
        <f t="shared" si="160"/>
        <v/>
      </c>
      <c r="N587" s="12" t="str">
        <f t="shared" si="161"/>
        <v/>
      </c>
      <c r="O587" s="12" t="str">
        <f t="shared" si="162"/>
        <v/>
      </c>
      <c r="P587" s="12" t="str">
        <f t="shared" si="163"/>
        <v/>
      </c>
      <c r="Q587" s="12" t="str">
        <f t="shared" si="167"/>
        <v/>
      </c>
      <c r="R587" s="26" t="str">
        <f t="shared" si="164"/>
        <v/>
      </c>
      <c r="S587" s="26" t="str">
        <f t="shared" si="173"/>
        <v/>
      </c>
      <c r="T587" s="26" t="str">
        <f t="shared" si="168"/>
        <v/>
      </c>
      <c r="U587" s="26" t="str">
        <f t="shared" si="169"/>
        <v/>
      </c>
      <c r="V587" s="26" t="str">
        <f t="shared" si="170"/>
        <v/>
      </c>
      <c r="W587" s="20" t="str">
        <f t="shared" si="171"/>
        <v/>
      </c>
      <c r="X587" s="20" t="str">
        <f t="shared" si="172"/>
        <v/>
      </c>
      <c r="Y587" s="86" t="str">
        <f t="shared" si="157"/>
        <v/>
      </c>
      <c r="Z587" s="31"/>
    </row>
    <row r="588" spans="2:26" outlineLevel="1">
      <c r="B588" s="14">
        <f t="shared" si="158"/>
        <v>585</v>
      </c>
      <c r="C588" s="37"/>
      <c r="D588" s="40"/>
      <c r="E588" s="39"/>
      <c r="F588" s="37"/>
      <c r="G588" s="39"/>
      <c r="H588" s="37"/>
      <c r="I588" s="37"/>
      <c r="J588" s="41" t="str">
        <f t="shared" si="159"/>
        <v/>
      </c>
      <c r="K588" s="12" t="str">
        <f t="shared" si="165"/>
        <v/>
      </c>
      <c r="L588" s="12" t="str">
        <f t="shared" si="166"/>
        <v/>
      </c>
      <c r="M588" s="12" t="str">
        <f t="shared" si="160"/>
        <v/>
      </c>
      <c r="N588" s="12" t="str">
        <f t="shared" si="161"/>
        <v/>
      </c>
      <c r="O588" s="12" t="str">
        <f t="shared" si="162"/>
        <v/>
      </c>
      <c r="P588" s="12" t="str">
        <f t="shared" si="163"/>
        <v/>
      </c>
      <c r="Q588" s="12" t="str">
        <f t="shared" si="167"/>
        <v/>
      </c>
      <c r="R588" s="26" t="str">
        <f t="shared" si="164"/>
        <v/>
      </c>
      <c r="S588" s="26" t="str">
        <f t="shared" si="173"/>
        <v/>
      </c>
      <c r="T588" s="26" t="str">
        <f t="shared" si="168"/>
        <v/>
      </c>
      <c r="U588" s="26" t="str">
        <f t="shared" si="169"/>
        <v/>
      </c>
      <c r="V588" s="26" t="str">
        <f t="shared" si="170"/>
        <v/>
      </c>
      <c r="W588" s="20" t="str">
        <f t="shared" si="171"/>
        <v/>
      </c>
      <c r="X588" s="20" t="str">
        <f t="shared" si="172"/>
        <v/>
      </c>
      <c r="Y588" s="86" t="str">
        <f t="shared" si="157"/>
        <v/>
      </c>
      <c r="Z588" s="31"/>
    </row>
    <row r="589" spans="2:26" outlineLevel="1">
      <c r="B589" s="14">
        <f t="shared" si="158"/>
        <v>586</v>
      </c>
      <c r="C589" s="37"/>
      <c r="D589" s="40"/>
      <c r="E589" s="39"/>
      <c r="F589" s="37"/>
      <c r="G589" s="39"/>
      <c r="H589" s="37"/>
      <c r="I589" s="37"/>
      <c r="J589" s="41" t="str">
        <f t="shared" si="159"/>
        <v/>
      </c>
      <c r="K589" s="12" t="str">
        <f t="shared" si="165"/>
        <v/>
      </c>
      <c r="L589" s="12" t="str">
        <f t="shared" si="166"/>
        <v/>
      </c>
      <c r="M589" s="12" t="str">
        <f t="shared" si="160"/>
        <v/>
      </c>
      <c r="N589" s="12" t="str">
        <f t="shared" si="161"/>
        <v/>
      </c>
      <c r="O589" s="12" t="str">
        <f t="shared" si="162"/>
        <v/>
      </c>
      <c r="P589" s="12" t="str">
        <f t="shared" si="163"/>
        <v/>
      </c>
      <c r="Q589" s="12" t="str">
        <f t="shared" si="167"/>
        <v/>
      </c>
      <c r="R589" s="26" t="str">
        <f t="shared" si="164"/>
        <v/>
      </c>
      <c r="S589" s="26" t="str">
        <f t="shared" si="173"/>
        <v/>
      </c>
      <c r="T589" s="26" t="str">
        <f t="shared" si="168"/>
        <v/>
      </c>
      <c r="U589" s="26" t="str">
        <f t="shared" si="169"/>
        <v/>
      </c>
      <c r="V589" s="26" t="str">
        <f t="shared" si="170"/>
        <v/>
      </c>
      <c r="W589" s="20" t="str">
        <f t="shared" si="171"/>
        <v/>
      </c>
      <c r="X589" s="20" t="str">
        <f t="shared" si="172"/>
        <v/>
      </c>
      <c r="Y589" s="86" t="str">
        <f t="shared" si="157"/>
        <v/>
      </c>
      <c r="Z589" s="31"/>
    </row>
    <row r="590" spans="2:26" outlineLevel="1">
      <c r="B590" s="14">
        <f t="shared" si="158"/>
        <v>587</v>
      </c>
      <c r="C590" s="37"/>
      <c r="D590" s="40"/>
      <c r="E590" s="39"/>
      <c r="F590" s="37"/>
      <c r="G590" s="39"/>
      <c r="H590" s="37"/>
      <c r="I590" s="37"/>
      <c r="J590" s="41" t="str">
        <f t="shared" si="159"/>
        <v/>
      </c>
      <c r="K590" s="12" t="str">
        <f t="shared" si="165"/>
        <v/>
      </c>
      <c r="L590" s="12" t="str">
        <f t="shared" si="166"/>
        <v/>
      </c>
      <c r="M590" s="12" t="str">
        <f t="shared" si="160"/>
        <v/>
      </c>
      <c r="N590" s="12" t="str">
        <f t="shared" si="161"/>
        <v/>
      </c>
      <c r="O590" s="12" t="str">
        <f t="shared" si="162"/>
        <v/>
      </c>
      <c r="P590" s="12" t="str">
        <f t="shared" si="163"/>
        <v/>
      </c>
      <c r="Q590" s="12" t="str">
        <f t="shared" si="167"/>
        <v/>
      </c>
      <c r="R590" s="26" t="str">
        <f t="shared" si="164"/>
        <v/>
      </c>
      <c r="S590" s="26" t="str">
        <f t="shared" si="173"/>
        <v/>
      </c>
      <c r="T590" s="26" t="str">
        <f t="shared" si="168"/>
        <v/>
      </c>
      <c r="U590" s="26" t="str">
        <f t="shared" si="169"/>
        <v/>
      </c>
      <c r="V590" s="26" t="str">
        <f t="shared" si="170"/>
        <v/>
      </c>
      <c r="W590" s="20" t="str">
        <f t="shared" si="171"/>
        <v/>
      </c>
      <c r="X590" s="20" t="str">
        <f t="shared" si="172"/>
        <v/>
      </c>
      <c r="Y590" s="86" t="str">
        <f t="shared" si="157"/>
        <v/>
      </c>
      <c r="Z590" s="31"/>
    </row>
    <row r="591" spans="2:26" outlineLevel="1">
      <c r="B591" s="14">
        <f t="shared" si="158"/>
        <v>588</v>
      </c>
      <c r="C591" s="37"/>
      <c r="D591" s="40"/>
      <c r="E591" s="39"/>
      <c r="F591" s="37"/>
      <c r="G591" s="39"/>
      <c r="H591" s="37"/>
      <c r="I591" s="37"/>
      <c r="J591" s="41" t="str">
        <f t="shared" si="159"/>
        <v/>
      </c>
      <c r="K591" s="12" t="str">
        <f t="shared" si="165"/>
        <v/>
      </c>
      <c r="L591" s="12" t="str">
        <f t="shared" si="166"/>
        <v/>
      </c>
      <c r="M591" s="12" t="str">
        <f t="shared" si="160"/>
        <v/>
      </c>
      <c r="N591" s="12" t="str">
        <f t="shared" si="161"/>
        <v/>
      </c>
      <c r="O591" s="12" t="str">
        <f t="shared" si="162"/>
        <v/>
      </c>
      <c r="P591" s="12" t="str">
        <f t="shared" si="163"/>
        <v/>
      </c>
      <c r="Q591" s="12" t="str">
        <f t="shared" si="167"/>
        <v/>
      </c>
      <c r="R591" s="26" t="str">
        <f t="shared" si="164"/>
        <v/>
      </c>
      <c r="S591" s="26" t="str">
        <f t="shared" si="173"/>
        <v/>
      </c>
      <c r="T591" s="26" t="str">
        <f t="shared" si="168"/>
        <v/>
      </c>
      <c r="U591" s="26" t="str">
        <f t="shared" si="169"/>
        <v/>
      </c>
      <c r="V591" s="26" t="str">
        <f t="shared" si="170"/>
        <v/>
      </c>
      <c r="W591" s="20" t="str">
        <f t="shared" si="171"/>
        <v/>
      </c>
      <c r="X591" s="20" t="str">
        <f t="shared" si="172"/>
        <v/>
      </c>
      <c r="Y591" s="86" t="str">
        <f t="shared" si="157"/>
        <v/>
      </c>
      <c r="Z591" s="31"/>
    </row>
    <row r="592" spans="2:26" outlineLevel="1">
      <c r="B592" s="14">
        <f t="shared" si="158"/>
        <v>589</v>
      </c>
      <c r="C592" s="37"/>
      <c r="D592" s="40"/>
      <c r="E592" s="39"/>
      <c r="F592" s="37"/>
      <c r="G592" s="39"/>
      <c r="H592" s="37"/>
      <c r="I592" s="37"/>
      <c r="J592" s="41" t="str">
        <f t="shared" si="159"/>
        <v/>
      </c>
      <c r="K592" s="12" t="str">
        <f t="shared" si="165"/>
        <v/>
      </c>
      <c r="L592" s="12" t="str">
        <f t="shared" si="166"/>
        <v/>
      </c>
      <c r="M592" s="12" t="str">
        <f t="shared" si="160"/>
        <v/>
      </c>
      <c r="N592" s="12" t="str">
        <f t="shared" si="161"/>
        <v/>
      </c>
      <c r="O592" s="12" t="str">
        <f t="shared" si="162"/>
        <v/>
      </c>
      <c r="P592" s="12" t="str">
        <f t="shared" si="163"/>
        <v/>
      </c>
      <c r="Q592" s="12" t="str">
        <f t="shared" si="167"/>
        <v/>
      </c>
      <c r="R592" s="26" t="str">
        <f t="shared" si="164"/>
        <v/>
      </c>
      <c r="S592" s="26" t="str">
        <f t="shared" si="173"/>
        <v/>
      </c>
      <c r="T592" s="26" t="str">
        <f t="shared" si="168"/>
        <v/>
      </c>
      <c r="U592" s="26" t="str">
        <f t="shared" si="169"/>
        <v/>
      </c>
      <c r="V592" s="26" t="str">
        <f t="shared" si="170"/>
        <v/>
      </c>
      <c r="W592" s="20" t="str">
        <f t="shared" si="171"/>
        <v/>
      </c>
      <c r="X592" s="20" t="str">
        <f t="shared" si="172"/>
        <v/>
      </c>
      <c r="Y592" s="86" t="str">
        <f t="shared" ref="Y592:Y655" si="174">IFERROR(+W592+X592,"")</f>
        <v/>
      </c>
      <c r="Z592" s="31"/>
    </row>
    <row r="593" spans="2:26" outlineLevel="1">
      <c r="B593" s="14">
        <f t="shared" si="158"/>
        <v>590</v>
      </c>
      <c r="C593" s="37"/>
      <c r="D593" s="40"/>
      <c r="E593" s="39"/>
      <c r="F593" s="37"/>
      <c r="G593" s="39"/>
      <c r="H593" s="37"/>
      <c r="I593" s="37"/>
      <c r="J593" s="41" t="str">
        <f t="shared" si="159"/>
        <v/>
      </c>
      <c r="K593" s="12" t="str">
        <f t="shared" si="165"/>
        <v/>
      </c>
      <c r="L593" s="12" t="str">
        <f t="shared" si="166"/>
        <v/>
      </c>
      <c r="M593" s="12" t="str">
        <f t="shared" si="160"/>
        <v/>
      </c>
      <c r="N593" s="12" t="str">
        <f t="shared" si="161"/>
        <v/>
      </c>
      <c r="O593" s="12" t="str">
        <f t="shared" si="162"/>
        <v/>
      </c>
      <c r="P593" s="12" t="str">
        <f t="shared" si="163"/>
        <v/>
      </c>
      <c r="Q593" s="12" t="str">
        <f t="shared" si="167"/>
        <v/>
      </c>
      <c r="R593" s="26" t="str">
        <f t="shared" si="164"/>
        <v/>
      </c>
      <c r="S593" s="26" t="str">
        <f t="shared" si="173"/>
        <v/>
      </c>
      <c r="T593" s="26" t="str">
        <f t="shared" si="168"/>
        <v/>
      </c>
      <c r="U593" s="26" t="str">
        <f t="shared" si="169"/>
        <v/>
      </c>
      <c r="V593" s="26" t="str">
        <f t="shared" si="170"/>
        <v/>
      </c>
      <c r="W593" s="20" t="str">
        <f t="shared" si="171"/>
        <v/>
      </c>
      <c r="X593" s="20" t="str">
        <f t="shared" si="172"/>
        <v/>
      </c>
      <c r="Y593" s="86" t="str">
        <f t="shared" si="174"/>
        <v/>
      </c>
      <c r="Z593" s="31"/>
    </row>
    <row r="594" spans="2:26" outlineLevel="1">
      <c r="B594" s="14">
        <f t="shared" si="158"/>
        <v>591</v>
      </c>
      <c r="C594" s="37"/>
      <c r="D594" s="40"/>
      <c r="E594" s="39"/>
      <c r="F594" s="37"/>
      <c r="G594" s="39"/>
      <c r="H594" s="37"/>
      <c r="I594" s="37"/>
      <c r="J594" s="41" t="str">
        <f t="shared" si="159"/>
        <v/>
      </c>
      <c r="K594" s="12" t="str">
        <f t="shared" si="165"/>
        <v/>
      </c>
      <c r="L594" s="12" t="str">
        <f t="shared" si="166"/>
        <v/>
      </c>
      <c r="M594" s="12" t="str">
        <f t="shared" si="160"/>
        <v/>
      </c>
      <c r="N594" s="12" t="str">
        <f t="shared" si="161"/>
        <v/>
      </c>
      <c r="O594" s="12" t="str">
        <f t="shared" si="162"/>
        <v/>
      </c>
      <c r="P594" s="12" t="str">
        <f t="shared" si="163"/>
        <v/>
      </c>
      <c r="Q594" s="12" t="str">
        <f t="shared" si="167"/>
        <v/>
      </c>
      <c r="R594" s="26" t="str">
        <f t="shared" si="164"/>
        <v/>
      </c>
      <c r="S594" s="26" t="str">
        <f t="shared" si="173"/>
        <v/>
      </c>
      <c r="T594" s="26" t="str">
        <f t="shared" si="168"/>
        <v/>
      </c>
      <c r="U594" s="26" t="str">
        <f t="shared" si="169"/>
        <v/>
      </c>
      <c r="V594" s="26" t="str">
        <f t="shared" si="170"/>
        <v/>
      </c>
      <c r="W594" s="20" t="str">
        <f t="shared" si="171"/>
        <v/>
      </c>
      <c r="X594" s="20" t="str">
        <f t="shared" si="172"/>
        <v/>
      </c>
      <c r="Y594" s="86" t="str">
        <f t="shared" si="174"/>
        <v/>
      </c>
      <c r="Z594" s="31"/>
    </row>
    <row r="595" spans="2:26" outlineLevel="1">
      <c r="B595" s="14">
        <f t="shared" si="158"/>
        <v>592</v>
      </c>
      <c r="C595" s="37"/>
      <c r="D595" s="40"/>
      <c r="E595" s="39"/>
      <c r="F595" s="37"/>
      <c r="G595" s="39"/>
      <c r="H595" s="37"/>
      <c r="I595" s="37"/>
      <c r="J595" s="41" t="str">
        <f t="shared" si="159"/>
        <v/>
      </c>
      <c r="K595" s="12" t="str">
        <f t="shared" si="165"/>
        <v/>
      </c>
      <c r="L595" s="12" t="str">
        <f t="shared" si="166"/>
        <v/>
      </c>
      <c r="M595" s="12" t="str">
        <f t="shared" si="160"/>
        <v/>
      </c>
      <c r="N595" s="12" t="str">
        <f t="shared" si="161"/>
        <v/>
      </c>
      <c r="O595" s="12" t="str">
        <f t="shared" si="162"/>
        <v/>
      </c>
      <c r="P595" s="12" t="str">
        <f t="shared" si="163"/>
        <v/>
      </c>
      <c r="Q595" s="12" t="str">
        <f t="shared" si="167"/>
        <v/>
      </c>
      <c r="R595" s="26" t="str">
        <f t="shared" si="164"/>
        <v/>
      </c>
      <c r="S595" s="26" t="str">
        <f t="shared" si="173"/>
        <v/>
      </c>
      <c r="T595" s="26" t="str">
        <f t="shared" si="168"/>
        <v/>
      </c>
      <c r="U595" s="26" t="str">
        <f t="shared" si="169"/>
        <v/>
      </c>
      <c r="V595" s="26" t="str">
        <f t="shared" si="170"/>
        <v/>
      </c>
      <c r="W595" s="20" t="str">
        <f t="shared" si="171"/>
        <v/>
      </c>
      <c r="X595" s="20" t="str">
        <f t="shared" si="172"/>
        <v/>
      </c>
      <c r="Y595" s="86" t="str">
        <f t="shared" si="174"/>
        <v/>
      </c>
      <c r="Z595" s="31"/>
    </row>
    <row r="596" spans="2:26" outlineLevel="1">
      <c r="B596" s="14">
        <f t="shared" si="158"/>
        <v>593</v>
      </c>
      <c r="C596" s="37"/>
      <c r="D596" s="40"/>
      <c r="E596" s="39"/>
      <c r="F596" s="37"/>
      <c r="G596" s="39"/>
      <c r="H596" s="37"/>
      <c r="I596" s="37"/>
      <c r="J596" s="41" t="str">
        <f t="shared" si="159"/>
        <v/>
      </c>
      <c r="K596" s="12" t="str">
        <f t="shared" si="165"/>
        <v/>
      </c>
      <c r="L596" s="12" t="str">
        <f t="shared" si="166"/>
        <v/>
      </c>
      <c r="M596" s="12" t="str">
        <f t="shared" si="160"/>
        <v/>
      </c>
      <c r="N596" s="12" t="str">
        <f t="shared" si="161"/>
        <v/>
      </c>
      <c r="O596" s="12" t="str">
        <f t="shared" si="162"/>
        <v/>
      </c>
      <c r="P596" s="12" t="str">
        <f t="shared" si="163"/>
        <v/>
      </c>
      <c r="Q596" s="12" t="str">
        <f t="shared" si="167"/>
        <v/>
      </c>
      <c r="R596" s="26" t="str">
        <f t="shared" si="164"/>
        <v/>
      </c>
      <c r="S596" s="26" t="str">
        <f t="shared" si="173"/>
        <v/>
      </c>
      <c r="T596" s="26" t="str">
        <f t="shared" si="168"/>
        <v/>
      </c>
      <c r="U596" s="26" t="str">
        <f t="shared" si="169"/>
        <v/>
      </c>
      <c r="V596" s="26" t="str">
        <f t="shared" si="170"/>
        <v/>
      </c>
      <c r="W596" s="20" t="str">
        <f t="shared" si="171"/>
        <v/>
      </c>
      <c r="X596" s="20" t="str">
        <f t="shared" si="172"/>
        <v/>
      </c>
      <c r="Y596" s="86" t="str">
        <f t="shared" si="174"/>
        <v/>
      </c>
      <c r="Z596" s="31"/>
    </row>
    <row r="597" spans="2:26" outlineLevel="1">
      <c r="B597" s="14">
        <f t="shared" si="158"/>
        <v>594</v>
      </c>
      <c r="C597" s="37"/>
      <c r="D597" s="40"/>
      <c r="E597" s="39"/>
      <c r="F597" s="37"/>
      <c r="G597" s="39"/>
      <c r="H597" s="37"/>
      <c r="I597" s="37"/>
      <c r="J597" s="41" t="str">
        <f t="shared" si="159"/>
        <v/>
      </c>
      <c r="K597" s="12" t="str">
        <f t="shared" si="165"/>
        <v/>
      </c>
      <c r="L597" s="12" t="str">
        <f t="shared" si="166"/>
        <v/>
      </c>
      <c r="M597" s="12" t="str">
        <f t="shared" si="160"/>
        <v/>
      </c>
      <c r="N597" s="12" t="str">
        <f t="shared" si="161"/>
        <v/>
      </c>
      <c r="O597" s="12" t="str">
        <f t="shared" si="162"/>
        <v/>
      </c>
      <c r="P597" s="12" t="str">
        <f t="shared" si="163"/>
        <v/>
      </c>
      <c r="Q597" s="12" t="str">
        <f t="shared" si="167"/>
        <v/>
      </c>
      <c r="R597" s="26" t="str">
        <f t="shared" si="164"/>
        <v/>
      </c>
      <c r="S597" s="26" t="str">
        <f t="shared" si="173"/>
        <v/>
      </c>
      <c r="T597" s="26" t="str">
        <f t="shared" si="168"/>
        <v/>
      </c>
      <c r="U597" s="26" t="str">
        <f t="shared" si="169"/>
        <v/>
      </c>
      <c r="V597" s="26" t="str">
        <f t="shared" si="170"/>
        <v/>
      </c>
      <c r="W597" s="20" t="str">
        <f t="shared" si="171"/>
        <v/>
      </c>
      <c r="X597" s="20" t="str">
        <f t="shared" si="172"/>
        <v/>
      </c>
      <c r="Y597" s="86" t="str">
        <f t="shared" si="174"/>
        <v/>
      </c>
      <c r="Z597" s="31"/>
    </row>
    <row r="598" spans="2:26" outlineLevel="1">
      <c r="B598" s="14">
        <f t="shared" si="158"/>
        <v>595</v>
      </c>
      <c r="C598" s="37"/>
      <c r="D598" s="40"/>
      <c r="E598" s="39"/>
      <c r="F598" s="37"/>
      <c r="G598" s="39"/>
      <c r="H598" s="37"/>
      <c r="I598" s="37"/>
      <c r="J598" s="41" t="str">
        <f t="shared" si="159"/>
        <v/>
      </c>
      <c r="K598" s="12" t="str">
        <f t="shared" si="165"/>
        <v/>
      </c>
      <c r="L598" s="12" t="str">
        <f t="shared" si="166"/>
        <v/>
      </c>
      <c r="M598" s="12" t="str">
        <f t="shared" si="160"/>
        <v/>
      </c>
      <c r="N598" s="12" t="str">
        <f t="shared" si="161"/>
        <v/>
      </c>
      <c r="O598" s="12" t="str">
        <f t="shared" si="162"/>
        <v/>
      </c>
      <c r="P598" s="12" t="str">
        <f t="shared" si="163"/>
        <v/>
      </c>
      <c r="Q598" s="12" t="str">
        <f t="shared" si="167"/>
        <v/>
      </c>
      <c r="R598" s="26" t="str">
        <f t="shared" si="164"/>
        <v/>
      </c>
      <c r="S598" s="26" t="str">
        <f t="shared" si="173"/>
        <v/>
      </c>
      <c r="T598" s="26" t="str">
        <f t="shared" si="168"/>
        <v/>
      </c>
      <c r="U598" s="26" t="str">
        <f t="shared" si="169"/>
        <v/>
      </c>
      <c r="V598" s="26" t="str">
        <f t="shared" si="170"/>
        <v/>
      </c>
      <c r="W598" s="20" t="str">
        <f t="shared" si="171"/>
        <v/>
      </c>
      <c r="X598" s="20" t="str">
        <f t="shared" si="172"/>
        <v/>
      </c>
      <c r="Y598" s="86" t="str">
        <f t="shared" si="174"/>
        <v/>
      </c>
      <c r="Z598" s="31"/>
    </row>
    <row r="599" spans="2:26" outlineLevel="1">
      <c r="B599" s="14">
        <f t="shared" si="158"/>
        <v>596</v>
      </c>
      <c r="C599" s="37"/>
      <c r="D599" s="40"/>
      <c r="E599" s="39"/>
      <c r="F599" s="37"/>
      <c r="G599" s="39"/>
      <c r="H599" s="37"/>
      <c r="I599" s="37"/>
      <c r="J599" s="41" t="str">
        <f t="shared" si="159"/>
        <v/>
      </c>
      <c r="K599" s="12" t="str">
        <f t="shared" si="165"/>
        <v/>
      </c>
      <c r="L599" s="12" t="str">
        <f t="shared" si="166"/>
        <v/>
      </c>
      <c r="M599" s="12" t="str">
        <f t="shared" si="160"/>
        <v/>
      </c>
      <c r="N599" s="12" t="str">
        <f t="shared" si="161"/>
        <v/>
      </c>
      <c r="O599" s="12" t="str">
        <f t="shared" si="162"/>
        <v/>
      </c>
      <c r="P599" s="12" t="str">
        <f t="shared" si="163"/>
        <v/>
      </c>
      <c r="Q599" s="12" t="str">
        <f t="shared" si="167"/>
        <v/>
      </c>
      <c r="R599" s="26" t="str">
        <f t="shared" si="164"/>
        <v/>
      </c>
      <c r="S599" s="26" t="str">
        <f t="shared" si="173"/>
        <v/>
      </c>
      <c r="T599" s="26" t="str">
        <f t="shared" si="168"/>
        <v/>
      </c>
      <c r="U599" s="26" t="str">
        <f t="shared" si="169"/>
        <v/>
      </c>
      <c r="V599" s="26" t="str">
        <f t="shared" si="170"/>
        <v/>
      </c>
      <c r="W599" s="20" t="str">
        <f t="shared" si="171"/>
        <v/>
      </c>
      <c r="X599" s="20" t="str">
        <f t="shared" si="172"/>
        <v/>
      </c>
      <c r="Y599" s="86" t="str">
        <f t="shared" si="174"/>
        <v/>
      </c>
      <c r="Z599" s="31"/>
    </row>
    <row r="600" spans="2:26" outlineLevel="1">
      <c r="B600" s="14">
        <f t="shared" si="158"/>
        <v>597</v>
      </c>
      <c r="C600" s="37"/>
      <c r="D600" s="40"/>
      <c r="E600" s="39"/>
      <c r="F600" s="37"/>
      <c r="G600" s="39"/>
      <c r="H600" s="37"/>
      <c r="I600" s="37"/>
      <c r="J600" s="41" t="str">
        <f t="shared" si="159"/>
        <v/>
      </c>
      <c r="K600" s="12" t="str">
        <f t="shared" si="165"/>
        <v/>
      </c>
      <c r="L600" s="12" t="str">
        <f t="shared" si="166"/>
        <v/>
      </c>
      <c r="M600" s="12" t="str">
        <f t="shared" si="160"/>
        <v/>
      </c>
      <c r="N600" s="12" t="str">
        <f t="shared" si="161"/>
        <v/>
      </c>
      <c r="O600" s="12" t="str">
        <f t="shared" si="162"/>
        <v/>
      </c>
      <c r="P600" s="12" t="str">
        <f t="shared" si="163"/>
        <v/>
      </c>
      <c r="Q600" s="12" t="str">
        <f t="shared" si="167"/>
        <v/>
      </c>
      <c r="R600" s="26" t="str">
        <f t="shared" si="164"/>
        <v/>
      </c>
      <c r="S600" s="26" t="str">
        <f t="shared" si="173"/>
        <v/>
      </c>
      <c r="T600" s="26" t="str">
        <f t="shared" si="168"/>
        <v/>
      </c>
      <c r="U600" s="26" t="str">
        <f t="shared" si="169"/>
        <v/>
      </c>
      <c r="V600" s="26" t="str">
        <f t="shared" si="170"/>
        <v/>
      </c>
      <c r="W600" s="20" t="str">
        <f t="shared" si="171"/>
        <v/>
      </c>
      <c r="X600" s="20" t="str">
        <f t="shared" si="172"/>
        <v/>
      </c>
      <c r="Y600" s="86" t="str">
        <f t="shared" si="174"/>
        <v/>
      </c>
      <c r="Z600" s="31"/>
    </row>
    <row r="601" spans="2:26" outlineLevel="1">
      <c r="B601" s="14">
        <f t="shared" si="158"/>
        <v>598</v>
      </c>
      <c r="C601" s="37"/>
      <c r="D601" s="40"/>
      <c r="E601" s="39"/>
      <c r="F601" s="37"/>
      <c r="G601" s="39"/>
      <c r="H601" s="37"/>
      <c r="I601" s="37"/>
      <c r="J601" s="41" t="str">
        <f t="shared" si="159"/>
        <v/>
      </c>
      <c r="K601" s="12" t="str">
        <f t="shared" si="165"/>
        <v/>
      </c>
      <c r="L601" s="12" t="str">
        <f t="shared" si="166"/>
        <v/>
      </c>
      <c r="M601" s="12" t="str">
        <f t="shared" si="160"/>
        <v/>
      </c>
      <c r="N601" s="12" t="str">
        <f t="shared" si="161"/>
        <v/>
      </c>
      <c r="O601" s="12" t="str">
        <f t="shared" si="162"/>
        <v/>
      </c>
      <c r="P601" s="12" t="str">
        <f t="shared" si="163"/>
        <v/>
      </c>
      <c r="Q601" s="12" t="str">
        <f t="shared" si="167"/>
        <v/>
      </c>
      <c r="R601" s="26" t="str">
        <f t="shared" si="164"/>
        <v/>
      </c>
      <c r="S601" s="26" t="str">
        <f t="shared" si="173"/>
        <v/>
      </c>
      <c r="T601" s="26" t="str">
        <f t="shared" si="168"/>
        <v/>
      </c>
      <c r="U601" s="26" t="str">
        <f t="shared" si="169"/>
        <v/>
      </c>
      <c r="V601" s="26" t="str">
        <f t="shared" si="170"/>
        <v/>
      </c>
      <c r="W601" s="20" t="str">
        <f t="shared" si="171"/>
        <v/>
      </c>
      <c r="X601" s="20" t="str">
        <f t="shared" si="172"/>
        <v/>
      </c>
      <c r="Y601" s="86" t="str">
        <f t="shared" si="174"/>
        <v/>
      </c>
      <c r="Z601" s="31"/>
    </row>
    <row r="602" spans="2:26" outlineLevel="1">
      <c r="B602" s="14">
        <f t="shared" si="158"/>
        <v>599</v>
      </c>
      <c r="C602" s="37"/>
      <c r="D602" s="40"/>
      <c r="E602" s="39"/>
      <c r="F602" s="37"/>
      <c r="G602" s="39"/>
      <c r="H602" s="37"/>
      <c r="I602" s="37"/>
      <c r="J602" s="41" t="str">
        <f t="shared" si="159"/>
        <v/>
      </c>
      <c r="K602" s="12" t="str">
        <f t="shared" si="165"/>
        <v/>
      </c>
      <c r="L602" s="12" t="str">
        <f t="shared" si="166"/>
        <v/>
      </c>
      <c r="M602" s="12" t="str">
        <f t="shared" si="160"/>
        <v/>
      </c>
      <c r="N602" s="12" t="str">
        <f t="shared" si="161"/>
        <v/>
      </c>
      <c r="O602" s="12" t="str">
        <f t="shared" si="162"/>
        <v/>
      </c>
      <c r="P602" s="12" t="str">
        <f t="shared" si="163"/>
        <v/>
      </c>
      <c r="Q602" s="12" t="str">
        <f t="shared" si="167"/>
        <v/>
      </c>
      <c r="R602" s="26" t="str">
        <f t="shared" si="164"/>
        <v/>
      </c>
      <c r="S602" s="26" t="str">
        <f t="shared" si="173"/>
        <v/>
      </c>
      <c r="T602" s="26" t="str">
        <f t="shared" si="168"/>
        <v/>
      </c>
      <c r="U602" s="26" t="str">
        <f t="shared" si="169"/>
        <v/>
      </c>
      <c r="V602" s="26" t="str">
        <f t="shared" si="170"/>
        <v/>
      </c>
      <c r="W602" s="20" t="str">
        <f t="shared" si="171"/>
        <v/>
      </c>
      <c r="X602" s="20" t="str">
        <f t="shared" si="172"/>
        <v/>
      </c>
      <c r="Y602" s="86" t="str">
        <f t="shared" si="174"/>
        <v/>
      </c>
      <c r="Z602" s="31"/>
    </row>
    <row r="603" spans="2:26" outlineLevel="1">
      <c r="B603" s="14">
        <f t="shared" si="158"/>
        <v>600</v>
      </c>
      <c r="C603" s="37"/>
      <c r="D603" s="40"/>
      <c r="E603" s="39"/>
      <c r="F603" s="37"/>
      <c r="G603" s="39"/>
      <c r="H603" s="37"/>
      <c r="I603" s="37"/>
      <c r="J603" s="41" t="str">
        <f t="shared" si="159"/>
        <v/>
      </c>
      <c r="K603" s="12" t="str">
        <f t="shared" si="165"/>
        <v/>
      </c>
      <c r="L603" s="12" t="str">
        <f t="shared" si="166"/>
        <v/>
      </c>
      <c r="M603" s="12" t="str">
        <f t="shared" si="160"/>
        <v/>
      </c>
      <c r="N603" s="12" t="str">
        <f t="shared" si="161"/>
        <v/>
      </c>
      <c r="O603" s="12" t="str">
        <f t="shared" si="162"/>
        <v/>
      </c>
      <c r="P603" s="12" t="str">
        <f t="shared" si="163"/>
        <v/>
      </c>
      <c r="Q603" s="12" t="str">
        <f t="shared" si="167"/>
        <v/>
      </c>
      <c r="R603" s="26" t="str">
        <f t="shared" si="164"/>
        <v/>
      </c>
      <c r="S603" s="26" t="str">
        <f t="shared" si="173"/>
        <v/>
      </c>
      <c r="T603" s="26" t="str">
        <f t="shared" si="168"/>
        <v/>
      </c>
      <c r="U603" s="26" t="str">
        <f t="shared" si="169"/>
        <v/>
      </c>
      <c r="V603" s="26" t="str">
        <f t="shared" si="170"/>
        <v/>
      </c>
      <c r="W603" s="20" t="str">
        <f t="shared" si="171"/>
        <v/>
      </c>
      <c r="X603" s="20" t="str">
        <f t="shared" si="172"/>
        <v/>
      </c>
      <c r="Y603" s="86" t="str">
        <f t="shared" si="174"/>
        <v/>
      </c>
      <c r="Z603" s="31"/>
    </row>
    <row r="604" spans="2:26" outlineLevel="1">
      <c r="B604" s="14">
        <f t="shared" si="158"/>
        <v>601</v>
      </c>
      <c r="C604" s="37"/>
      <c r="D604" s="40"/>
      <c r="E604" s="39"/>
      <c r="F604" s="37"/>
      <c r="G604" s="39"/>
      <c r="H604" s="37"/>
      <c r="I604" s="37"/>
      <c r="J604" s="41" t="str">
        <f t="shared" si="159"/>
        <v/>
      </c>
      <c r="K604" s="12" t="str">
        <f t="shared" si="165"/>
        <v/>
      </c>
      <c r="L604" s="12" t="str">
        <f t="shared" si="166"/>
        <v/>
      </c>
      <c r="M604" s="12" t="str">
        <f t="shared" si="160"/>
        <v/>
      </c>
      <c r="N604" s="12" t="str">
        <f t="shared" si="161"/>
        <v/>
      </c>
      <c r="O604" s="12" t="str">
        <f t="shared" si="162"/>
        <v/>
      </c>
      <c r="P604" s="12" t="str">
        <f t="shared" si="163"/>
        <v/>
      </c>
      <c r="Q604" s="12" t="str">
        <f t="shared" si="167"/>
        <v/>
      </c>
      <c r="R604" s="26" t="str">
        <f t="shared" si="164"/>
        <v/>
      </c>
      <c r="S604" s="26" t="str">
        <f t="shared" si="173"/>
        <v/>
      </c>
      <c r="T604" s="26" t="str">
        <f t="shared" si="168"/>
        <v/>
      </c>
      <c r="U604" s="26" t="str">
        <f t="shared" si="169"/>
        <v/>
      </c>
      <c r="V604" s="26" t="str">
        <f t="shared" si="170"/>
        <v/>
      </c>
      <c r="W604" s="20" t="str">
        <f t="shared" si="171"/>
        <v/>
      </c>
      <c r="X604" s="20" t="str">
        <f t="shared" si="172"/>
        <v/>
      </c>
      <c r="Y604" s="86" t="str">
        <f t="shared" si="174"/>
        <v/>
      </c>
      <c r="Z604" s="31"/>
    </row>
    <row r="605" spans="2:26" outlineLevel="1">
      <c r="B605" s="14">
        <f t="shared" si="158"/>
        <v>602</v>
      </c>
      <c r="C605" s="37"/>
      <c r="D605" s="40"/>
      <c r="E605" s="39"/>
      <c r="F605" s="37"/>
      <c r="G605" s="39"/>
      <c r="H605" s="37"/>
      <c r="I605" s="37"/>
      <c r="J605" s="41" t="str">
        <f t="shared" si="159"/>
        <v/>
      </c>
      <c r="K605" s="12" t="str">
        <f t="shared" si="165"/>
        <v/>
      </c>
      <c r="L605" s="12" t="str">
        <f t="shared" si="166"/>
        <v/>
      </c>
      <c r="M605" s="12" t="str">
        <f t="shared" si="160"/>
        <v/>
      </c>
      <c r="N605" s="12" t="str">
        <f t="shared" si="161"/>
        <v/>
      </c>
      <c r="O605" s="12" t="str">
        <f t="shared" si="162"/>
        <v/>
      </c>
      <c r="P605" s="12" t="str">
        <f t="shared" si="163"/>
        <v/>
      </c>
      <c r="Q605" s="12" t="str">
        <f t="shared" si="167"/>
        <v/>
      </c>
      <c r="R605" s="26" t="str">
        <f t="shared" si="164"/>
        <v/>
      </c>
      <c r="S605" s="26" t="str">
        <f t="shared" si="173"/>
        <v/>
      </c>
      <c r="T605" s="26" t="str">
        <f t="shared" si="168"/>
        <v/>
      </c>
      <c r="U605" s="26" t="str">
        <f t="shared" si="169"/>
        <v/>
      </c>
      <c r="V605" s="26" t="str">
        <f t="shared" si="170"/>
        <v/>
      </c>
      <c r="W605" s="20" t="str">
        <f t="shared" si="171"/>
        <v/>
      </c>
      <c r="X605" s="20" t="str">
        <f t="shared" si="172"/>
        <v/>
      </c>
      <c r="Y605" s="86" t="str">
        <f t="shared" si="174"/>
        <v/>
      </c>
      <c r="Z605" s="31"/>
    </row>
    <row r="606" spans="2:26" outlineLevel="1">
      <c r="B606" s="14">
        <f t="shared" si="158"/>
        <v>603</v>
      </c>
      <c r="C606" s="37"/>
      <c r="D606" s="40"/>
      <c r="E606" s="39"/>
      <c r="F606" s="37"/>
      <c r="G606" s="39"/>
      <c r="H606" s="37"/>
      <c r="I606" s="37"/>
      <c r="J606" s="41" t="str">
        <f t="shared" si="159"/>
        <v/>
      </c>
      <c r="K606" s="12" t="str">
        <f t="shared" si="165"/>
        <v/>
      </c>
      <c r="L606" s="12" t="str">
        <f t="shared" si="166"/>
        <v/>
      </c>
      <c r="M606" s="12" t="str">
        <f t="shared" si="160"/>
        <v/>
      </c>
      <c r="N606" s="12" t="str">
        <f t="shared" si="161"/>
        <v/>
      </c>
      <c r="O606" s="12" t="str">
        <f t="shared" si="162"/>
        <v/>
      </c>
      <c r="P606" s="12" t="str">
        <f t="shared" si="163"/>
        <v/>
      </c>
      <c r="Q606" s="12" t="str">
        <f t="shared" si="167"/>
        <v/>
      </c>
      <c r="R606" s="26" t="str">
        <f t="shared" si="164"/>
        <v/>
      </c>
      <c r="S606" s="26" t="str">
        <f t="shared" si="173"/>
        <v/>
      </c>
      <c r="T606" s="26" t="str">
        <f t="shared" si="168"/>
        <v/>
      </c>
      <c r="U606" s="26" t="str">
        <f t="shared" si="169"/>
        <v/>
      </c>
      <c r="V606" s="26" t="str">
        <f t="shared" si="170"/>
        <v/>
      </c>
      <c r="W606" s="20" t="str">
        <f t="shared" si="171"/>
        <v/>
      </c>
      <c r="X606" s="20" t="str">
        <f t="shared" si="172"/>
        <v/>
      </c>
      <c r="Y606" s="86" t="str">
        <f t="shared" si="174"/>
        <v/>
      </c>
      <c r="Z606" s="31"/>
    </row>
    <row r="607" spans="2:26" outlineLevel="1">
      <c r="B607" s="14">
        <f t="shared" si="158"/>
        <v>604</v>
      </c>
      <c r="C607" s="37"/>
      <c r="D607" s="40"/>
      <c r="E607" s="39"/>
      <c r="F607" s="37"/>
      <c r="G607" s="39"/>
      <c r="H607" s="37"/>
      <c r="I607" s="37"/>
      <c r="J607" s="41" t="str">
        <f t="shared" si="159"/>
        <v/>
      </c>
      <c r="K607" s="12" t="str">
        <f t="shared" si="165"/>
        <v/>
      </c>
      <c r="L607" s="12" t="str">
        <f t="shared" si="166"/>
        <v/>
      </c>
      <c r="M607" s="12" t="str">
        <f t="shared" si="160"/>
        <v/>
      </c>
      <c r="N607" s="12" t="str">
        <f t="shared" si="161"/>
        <v/>
      </c>
      <c r="O607" s="12" t="str">
        <f t="shared" si="162"/>
        <v/>
      </c>
      <c r="P607" s="12" t="str">
        <f t="shared" si="163"/>
        <v/>
      </c>
      <c r="Q607" s="12" t="str">
        <f t="shared" si="167"/>
        <v/>
      </c>
      <c r="R607" s="26" t="str">
        <f t="shared" si="164"/>
        <v/>
      </c>
      <c r="S607" s="26" t="str">
        <f t="shared" si="173"/>
        <v/>
      </c>
      <c r="T607" s="26" t="str">
        <f t="shared" si="168"/>
        <v/>
      </c>
      <c r="U607" s="26" t="str">
        <f t="shared" si="169"/>
        <v/>
      </c>
      <c r="V607" s="26" t="str">
        <f t="shared" si="170"/>
        <v/>
      </c>
      <c r="W607" s="20" t="str">
        <f t="shared" si="171"/>
        <v/>
      </c>
      <c r="X607" s="20" t="str">
        <f t="shared" si="172"/>
        <v/>
      </c>
      <c r="Y607" s="86" t="str">
        <f t="shared" si="174"/>
        <v/>
      </c>
      <c r="Z607" s="31"/>
    </row>
    <row r="608" spans="2:26" outlineLevel="1">
      <c r="B608" s="14">
        <f t="shared" si="158"/>
        <v>605</v>
      </c>
      <c r="C608" s="37"/>
      <c r="D608" s="40"/>
      <c r="E608" s="39"/>
      <c r="F608" s="37"/>
      <c r="G608" s="39"/>
      <c r="H608" s="37"/>
      <c r="I608" s="37"/>
      <c r="J608" s="41" t="str">
        <f t="shared" si="159"/>
        <v/>
      </c>
      <c r="K608" s="12" t="str">
        <f t="shared" si="165"/>
        <v/>
      </c>
      <c r="L608" s="12" t="str">
        <f t="shared" si="166"/>
        <v/>
      </c>
      <c r="M608" s="12" t="str">
        <f t="shared" si="160"/>
        <v/>
      </c>
      <c r="N608" s="12" t="str">
        <f t="shared" si="161"/>
        <v/>
      </c>
      <c r="O608" s="12" t="str">
        <f t="shared" si="162"/>
        <v/>
      </c>
      <c r="P608" s="12" t="str">
        <f t="shared" si="163"/>
        <v/>
      </c>
      <c r="Q608" s="12" t="str">
        <f t="shared" si="167"/>
        <v/>
      </c>
      <c r="R608" s="26" t="str">
        <f t="shared" si="164"/>
        <v/>
      </c>
      <c r="S608" s="26" t="str">
        <f t="shared" si="173"/>
        <v/>
      </c>
      <c r="T608" s="26" t="str">
        <f t="shared" si="168"/>
        <v/>
      </c>
      <c r="U608" s="26" t="str">
        <f t="shared" si="169"/>
        <v/>
      </c>
      <c r="V608" s="26" t="str">
        <f t="shared" si="170"/>
        <v/>
      </c>
      <c r="W608" s="20" t="str">
        <f t="shared" si="171"/>
        <v/>
      </c>
      <c r="X608" s="20" t="str">
        <f t="shared" si="172"/>
        <v/>
      </c>
      <c r="Y608" s="86" t="str">
        <f t="shared" si="174"/>
        <v/>
      </c>
      <c r="Z608" s="31"/>
    </row>
    <row r="609" spans="2:26" outlineLevel="1">
      <c r="B609" s="14">
        <f t="shared" si="158"/>
        <v>606</v>
      </c>
      <c r="C609" s="37"/>
      <c r="D609" s="40"/>
      <c r="E609" s="39"/>
      <c r="F609" s="37"/>
      <c r="G609" s="39"/>
      <c r="H609" s="37"/>
      <c r="I609" s="37"/>
      <c r="J609" s="41" t="str">
        <f t="shared" si="159"/>
        <v/>
      </c>
      <c r="K609" s="12" t="str">
        <f t="shared" si="165"/>
        <v/>
      </c>
      <c r="L609" s="12" t="str">
        <f t="shared" si="166"/>
        <v/>
      </c>
      <c r="M609" s="12" t="str">
        <f t="shared" si="160"/>
        <v/>
      </c>
      <c r="N609" s="12" t="str">
        <f t="shared" si="161"/>
        <v/>
      </c>
      <c r="O609" s="12" t="str">
        <f t="shared" si="162"/>
        <v/>
      </c>
      <c r="P609" s="12" t="str">
        <f t="shared" si="163"/>
        <v/>
      </c>
      <c r="Q609" s="12" t="str">
        <f t="shared" si="167"/>
        <v/>
      </c>
      <c r="R609" s="26" t="str">
        <f t="shared" si="164"/>
        <v/>
      </c>
      <c r="S609" s="26" t="str">
        <f t="shared" si="173"/>
        <v/>
      </c>
      <c r="T609" s="26" t="str">
        <f t="shared" si="168"/>
        <v/>
      </c>
      <c r="U609" s="26" t="str">
        <f t="shared" si="169"/>
        <v/>
      </c>
      <c r="V609" s="26" t="str">
        <f t="shared" si="170"/>
        <v/>
      </c>
      <c r="W609" s="20" t="str">
        <f t="shared" si="171"/>
        <v/>
      </c>
      <c r="X609" s="20" t="str">
        <f t="shared" si="172"/>
        <v/>
      </c>
      <c r="Y609" s="86" t="str">
        <f t="shared" si="174"/>
        <v/>
      </c>
      <c r="Z609" s="31"/>
    </row>
    <row r="610" spans="2:26" outlineLevel="1">
      <c r="B610" s="14">
        <f t="shared" si="158"/>
        <v>607</v>
      </c>
      <c r="C610" s="37"/>
      <c r="D610" s="40"/>
      <c r="E610" s="39"/>
      <c r="F610" s="37"/>
      <c r="G610" s="39"/>
      <c r="H610" s="37"/>
      <c r="I610" s="37"/>
      <c r="J610" s="41" t="str">
        <f t="shared" si="159"/>
        <v/>
      </c>
      <c r="K610" s="12" t="str">
        <f t="shared" si="165"/>
        <v/>
      </c>
      <c r="L610" s="12" t="str">
        <f t="shared" si="166"/>
        <v/>
      </c>
      <c r="M610" s="12" t="str">
        <f t="shared" si="160"/>
        <v/>
      </c>
      <c r="N610" s="12" t="str">
        <f t="shared" si="161"/>
        <v/>
      </c>
      <c r="O610" s="12" t="str">
        <f t="shared" si="162"/>
        <v/>
      </c>
      <c r="P610" s="12" t="str">
        <f t="shared" si="163"/>
        <v/>
      </c>
      <c r="Q610" s="12" t="str">
        <f t="shared" si="167"/>
        <v/>
      </c>
      <c r="R610" s="26" t="str">
        <f t="shared" si="164"/>
        <v/>
      </c>
      <c r="S610" s="26" t="str">
        <f t="shared" si="173"/>
        <v/>
      </c>
      <c r="T610" s="26" t="str">
        <f t="shared" si="168"/>
        <v/>
      </c>
      <c r="U610" s="26" t="str">
        <f t="shared" si="169"/>
        <v/>
      </c>
      <c r="V610" s="26" t="str">
        <f t="shared" si="170"/>
        <v/>
      </c>
      <c r="W610" s="20" t="str">
        <f t="shared" si="171"/>
        <v/>
      </c>
      <c r="X610" s="20" t="str">
        <f t="shared" si="172"/>
        <v/>
      </c>
      <c r="Y610" s="86" t="str">
        <f t="shared" si="174"/>
        <v/>
      </c>
      <c r="Z610" s="31"/>
    </row>
    <row r="611" spans="2:26" outlineLevel="1">
      <c r="B611" s="14">
        <f t="shared" si="158"/>
        <v>608</v>
      </c>
      <c r="C611" s="37"/>
      <c r="D611" s="40"/>
      <c r="E611" s="39"/>
      <c r="F611" s="37"/>
      <c r="G611" s="39"/>
      <c r="H611" s="37"/>
      <c r="I611" s="37"/>
      <c r="J611" s="41" t="str">
        <f t="shared" si="159"/>
        <v/>
      </c>
      <c r="K611" s="12" t="str">
        <f t="shared" si="165"/>
        <v/>
      </c>
      <c r="L611" s="12" t="str">
        <f t="shared" si="166"/>
        <v/>
      </c>
      <c r="M611" s="12" t="str">
        <f t="shared" si="160"/>
        <v/>
      </c>
      <c r="N611" s="12" t="str">
        <f t="shared" si="161"/>
        <v/>
      </c>
      <c r="O611" s="12" t="str">
        <f t="shared" si="162"/>
        <v/>
      </c>
      <c r="P611" s="12" t="str">
        <f t="shared" si="163"/>
        <v/>
      </c>
      <c r="Q611" s="12" t="str">
        <f t="shared" si="167"/>
        <v/>
      </c>
      <c r="R611" s="26" t="str">
        <f t="shared" si="164"/>
        <v/>
      </c>
      <c r="S611" s="26" t="str">
        <f t="shared" si="173"/>
        <v/>
      </c>
      <c r="T611" s="26" t="str">
        <f t="shared" si="168"/>
        <v/>
      </c>
      <c r="U611" s="26" t="str">
        <f t="shared" si="169"/>
        <v/>
      </c>
      <c r="V611" s="26" t="str">
        <f t="shared" si="170"/>
        <v/>
      </c>
      <c r="W611" s="20" t="str">
        <f t="shared" si="171"/>
        <v/>
      </c>
      <c r="X611" s="20" t="str">
        <f t="shared" si="172"/>
        <v/>
      </c>
      <c r="Y611" s="86" t="str">
        <f t="shared" si="174"/>
        <v/>
      </c>
      <c r="Z611" s="31"/>
    </row>
    <row r="612" spans="2:26" outlineLevel="1">
      <c r="B612" s="14">
        <f t="shared" si="158"/>
        <v>609</v>
      </c>
      <c r="C612" s="37"/>
      <c r="D612" s="40"/>
      <c r="E612" s="39"/>
      <c r="F612" s="37"/>
      <c r="G612" s="39"/>
      <c r="H612" s="37"/>
      <c r="I612" s="37"/>
      <c r="J612" s="41" t="str">
        <f t="shared" si="159"/>
        <v/>
      </c>
      <c r="K612" s="12" t="str">
        <f t="shared" si="165"/>
        <v/>
      </c>
      <c r="L612" s="12" t="str">
        <f t="shared" si="166"/>
        <v/>
      </c>
      <c r="M612" s="12" t="str">
        <f t="shared" si="160"/>
        <v/>
      </c>
      <c r="N612" s="12" t="str">
        <f t="shared" si="161"/>
        <v/>
      </c>
      <c r="O612" s="12" t="str">
        <f t="shared" si="162"/>
        <v/>
      </c>
      <c r="P612" s="12" t="str">
        <f t="shared" si="163"/>
        <v/>
      </c>
      <c r="Q612" s="12" t="str">
        <f t="shared" si="167"/>
        <v/>
      </c>
      <c r="R612" s="26" t="str">
        <f t="shared" si="164"/>
        <v/>
      </c>
      <c r="S612" s="26" t="str">
        <f t="shared" si="173"/>
        <v/>
      </c>
      <c r="T612" s="26" t="str">
        <f t="shared" si="168"/>
        <v/>
      </c>
      <c r="U612" s="26" t="str">
        <f t="shared" si="169"/>
        <v/>
      </c>
      <c r="V612" s="26" t="str">
        <f t="shared" si="170"/>
        <v/>
      </c>
      <c r="W612" s="20" t="str">
        <f t="shared" si="171"/>
        <v/>
      </c>
      <c r="X612" s="20" t="str">
        <f t="shared" si="172"/>
        <v/>
      </c>
      <c r="Y612" s="86" t="str">
        <f t="shared" si="174"/>
        <v/>
      </c>
      <c r="Z612" s="31"/>
    </row>
    <row r="613" spans="2:26" outlineLevel="1">
      <c r="B613" s="14">
        <f t="shared" si="158"/>
        <v>610</v>
      </c>
      <c r="C613" s="37"/>
      <c r="D613" s="40"/>
      <c r="E613" s="39"/>
      <c r="F613" s="37"/>
      <c r="G613" s="39"/>
      <c r="H613" s="37"/>
      <c r="I613" s="37"/>
      <c r="J613" s="41" t="str">
        <f t="shared" si="159"/>
        <v/>
      </c>
      <c r="K613" s="12" t="str">
        <f t="shared" si="165"/>
        <v/>
      </c>
      <c r="L613" s="12" t="str">
        <f t="shared" si="166"/>
        <v/>
      </c>
      <c r="M613" s="12" t="str">
        <f t="shared" si="160"/>
        <v/>
      </c>
      <c r="N613" s="12" t="str">
        <f t="shared" si="161"/>
        <v/>
      </c>
      <c r="O613" s="12" t="str">
        <f t="shared" si="162"/>
        <v/>
      </c>
      <c r="P613" s="12" t="str">
        <f t="shared" si="163"/>
        <v/>
      </c>
      <c r="Q613" s="12" t="str">
        <f t="shared" si="167"/>
        <v/>
      </c>
      <c r="R613" s="26" t="str">
        <f t="shared" si="164"/>
        <v/>
      </c>
      <c r="S613" s="26" t="str">
        <f t="shared" si="173"/>
        <v/>
      </c>
      <c r="T613" s="26" t="str">
        <f t="shared" si="168"/>
        <v/>
      </c>
      <c r="U613" s="26" t="str">
        <f t="shared" si="169"/>
        <v/>
      </c>
      <c r="V613" s="26" t="str">
        <f t="shared" si="170"/>
        <v/>
      </c>
      <c r="W613" s="20" t="str">
        <f t="shared" si="171"/>
        <v/>
      </c>
      <c r="X613" s="20" t="str">
        <f t="shared" si="172"/>
        <v/>
      </c>
      <c r="Y613" s="86" t="str">
        <f t="shared" si="174"/>
        <v/>
      </c>
      <c r="Z613" s="31"/>
    </row>
    <row r="614" spans="2:26" outlineLevel="1">
      <c r="B614" s="14">
        <f t="shared" si="158"/>
        <v>611</v>
      </c>
      <c r="C614" s="37"/>
      <c r="D614" s="40"/>
      <c r="E614" s="39"/>
      <c r="F614" s="37"/>
      <c r="G614" s="39"/>
      <c r="H614" s="37"/>
      <c r="I614" s="37"/>
      <c r="J614" s="41" t="str">
        <f t="shared" si="159"/>
        <v/>
      </c>
      <c r="K614" s="12" t="str">
        <f t="shared" si="165"/>
        <v/>
      </c>
      <c r="L614" s="12" t="str">
        <f t="shared" si="166"/>
        <v/>
      </c>
      <c r="M614" s="12" t="str">
        <f t="shared" si="160"/>
        <v/>
      </c>
      <c r="N614" s="12" t="str">
        <f t="shared" si="161"/>
        <v/>
      </c>
      <c r="O614" s="12" t="str">
        <f t="shared" si="162"/>
        <v/>
      </c>
      <c r="P614" s="12" t="str">
        <f t="shared" si="163"/>
        <v/>
      </c>
      <c r="Q614" s="12" t="str">
        <f t="shared" si="167"/>
        <v/>
      </c>
      <c r="R614" s="26" t="str">
        <f t="shared" si="164"/>
        <v/>
      </c>
      <c r="S614" s="26" t="str">
        <f t="shared" si="173"/>
        <v/>
      </c>
      <c r="T614" s="26" t="str">
        <f t="shared" si="168"/>
        <v/>
      </c>
      <c r="U614" s="26" t="str">
        <f t="shared" si="169"/>
        <v/>
      </c>
      <c r="V614" s="26" t="str">
        <f t="shared" si="170"/>
        <v/>
      </c>
      <c r="W614" s="20" t="str">
        <f t="shared" si="171"/>
        <v/>
      </c>
      <c r="X614" s="20" t="str">
        <f t="shared" si="172"/>
        <v/>
      </c>
      <c r="Y614" s="86" t="str">
        <f t="shared" si="174"/>
        <v/>
      </c>
      <c r="Z614" s="31"/>
    </row>
    <row r="615" spans="2:26" outlineLevel="1">
      <c r="B615" s="14">
        <f t="shared" si="158"/>
        <v>612</v>
      </c>
      <c r="C615" s="37"/>
      <c r="D615" s="40"/>
      <c r="E615" s="39"/>
      <c r="F615" s="37"/>
      <c r="G615" s="39"/>
      <c r="H615" s="37"/>
      <c r="I615" s="37"/>
      <c r="J615" s="41" t="str">
        <f t="shared" si="159"/>
        <v/>
      </c>
      <c r="K615" s="12" t="str">
        <f t="shared" si="165"/>
        <v/>
      </c>
      <c r="L615" s="12" t="str">
        <f t="shared" si="166"/>
        <v/>
      </c>
      <c r="M615" s="12" t="str">
        <f t="shared" si="160"/>
        <v/>
      </c>
      <c r="N615" s="12" t="str">
        <f t="shared" si="161"/>
        <v/>
      </c>
      <c r="O615" s="12" t="str">
        <f t="shared" si="162"/>
        <v/>
      </c>
      <c r="P615" s="12" t="str">
        <f t="shared" si="163"/>
        <v/>
      </c>
      <c r="Q615" s="12" t="str">
        <f t="shared" si="167"/>
        <v/>
      </c>
      <c r="R615" s="26" t="str">
        <f t="shared" si="164"/>
        <v/>
      </c>
      <c r="S615" s="26" t="str">
        <f t="shared" si="173"/>
        <v/>
      </c>
      <c r="T615" s="26" t="str">
        <f t="shared" si="168"/>
        <v/>
      </c>
      <c r="U615" s="26" t="str">
        <f t="shared" si="169"/>
        <v/>
      </c>
      <c r="V615" s="26" t="str">
        <f t="shared" si="170"/>
        <v/>
      </c>
      <c r="W615" s="20" t="str">
        <f t="shared" si="171"/>
        <v/>
      </c>
      <c r="X615" s="20" t="str">
        <f t="shared" si="172"/>
        <v/>
      </c>
      <c r="Y615" s="86" t="str">
        <f t="shared" si="174"/>
        <v/>
      </c>
      <c r="Z615" s="31"/>
    </row>
    <row r="616" spans="2:26" outlineLevel="1">
      <c r="B616" s="14">
        <f t="shared" si="158"/>
        <v>613</v>
      </c>
      <c r="C616" s="37"/>
      <c r="D616" s="40"/>
      <c r="E616" s="39"/>
      <c r="F616" s="37"/>
      <c r="G616" s="39"/>
      <c r="H616" s="37"/>
      <c r="I616" s="37"/>
      <c r="J616" s="41" t="str">
        <f t="shared" si="159"/>
        <v/>
      </c>
      <c r="K616" s="12" t="str">
        <f t="shared" si="165"/>
        <v/>
      </c>
      <c r="L616" s="12" t="str">
        <f t="shared" si="166"/>
        <v/>
      </c>
      <c r="M616" s="12" t="str">
        <f t="shared" si="160"/>
        <v/>
      </c>
      <c r="N616" s="12" t="str">
        <f t="shared" si="161"/>
        <v/>
      </c>
      <c r="O616" s="12" t="str">
        <f t="shared" si="162"/>
        <v/>
      </c>
      <c r="P616" s="12" t="str">
        <f t="shared" si="163"/>
        <v/>
      </c>
      <c r="Q616" s="12" t="str">
        <f t="shared" si="167"/>
        <v/>
      </c>
      <c r="R616" s="26" t="str">
        <f t="shared" si="164"/>
        <v/>
      </c>
      <c r="S616" s="26" t="str">
        <f t="shared" si="173"/>
        <v/>
      </c>
      <c r="T616" s="26" t="str">
        <f t="shared" si="168"/>
        <v/>
      </c>
      <c r="U616" s="26" t="str">
        <f t="shared" si="169"/>
        <v/>
      </c>
      <c r="V616" s="26" t="str">
        <f t="shared" si="170"/>
        <v/>
      </c>
      <c r="W616" s="20" t="str">
        <f t="shared" si="171"/>
        <v/>
      </c>
      <c r="X616" s="20" t="str">
        <f t="shared" si="172"/>
        <v/>
      </c>
      <c r="Y616" s="86" t="str">
        <f t="shared" si="174"/>
        <v/>
      </c>
      <c r="Z616" s="31"/>
    </row>
    <row r="617" spans="2:26" outlineLevel="1">
      <c r="B617" s="14">
        <f t="shared" si="158"/>
        <v>614</v>
      </c>
      <c r="C617" s="37"/>
      <c r="D617" s="40"/>
      <c r="E617" s="39"/>
      <c r="F617" s="37"/>
      <c r="G617" s="39"/>
      <c r="H617" s="37"/>
      <c r="I617" s="37"/>
      <c r="J617" s="41" t="str">
        <f t="shared" si="159"/>
        <v/>
      </c>
      <c r="K617" s="12" t="str">
        <f t="shared" si="165"/>
        <v/>
      </c>
      <c r="L617" s="12" t="str">
        <f t="shared" si="166"/>
        <v/>
      </c>
      <c r="M617" s="12" t="str">
        <f t="shared" si="160"/>
        <v/>
      </c>
      <c r="N617" s="12" t="str">
        <f t="shared" si="161"/>
        <v/>
      </c>
      <c r="O617" s="12" t="str">
        <f t="shared" si="162"/>
        <v/>
      </c>
      <c r="P617" s="12" t="str">
        <f t="shared" si="163"/>
        <v/>
      </c>
      <c r="Q617" s="12" t="str">
        <f t="shared" si="167"/>
        <v/>
      </c>
      <c r="R617" s="26" t="str">
        <f t="shared" si="164"/>
        <v/>
      </c>
      <c r="S617" s="26" t="str">
        <f t="shared" si="173"/>
        <v/>
      </c>
      <c r="T617" s="26" t="str">
        <f t="shared" si="168"/>
        <v/>
      </c>
      <c r="U617" s="26" t="str">
        <f t="shared" si="169"/>
        <v/>
      </c>
      <c r="V617" s="26" t="str">
        <f t="shared" si="170"/>
        <v/>
      </c>
      <c r="W617" s="20" t="str">
        <f t="shared" si="171"/>
        <v/>
      </c>
      <c r="X617" s="20" t="str">
        <f t="shared" si="172"/>
        <v/>
      </c>
      <c r="Y617" s="86" t="str">
        <f t="shared" si="174"/>
        <v/>
      </c>
      <c r="Z617" s="31"/>
    </row>
    <row r="618" spans="2:26" outlineLevel="1">
      <c r="B618" s="14">
        <f t="shared" si="158"/>
        <v>615</v>
      </c>
      <c r="C618" s="37"/>
      <c r="D618" s="40"/>
      <c r="E618" s="39"/>
      <c r="F618" s="37"/>
      <c r="G618" s="39"/>
      <c r="H618" s="37"/>
      <c r="I618" s="37"/>
      <c r="J618" s="41" t="str">
        <f t="shared" si="159"/>
        <v/>
      </c>
      <c r="K618" s="12" t="str">
        <f t="shared" si="165"/>
        <v/>
      </c>
      <c r="L618" s="12" t="str">
        <f t="shared" si="166"/>
        <v/>
      </c>
      <c r="M618" s="12" t="str">
        <f t="shared" si="160"/>
        <v/>
      </c>
      <c r="N618" s="12" t="str">
        <f t="shared" si="161"/>
        <v/>
      </c>
      <c r="O618" s="12" t="str">
        <f t="shared" si="162"/>
        <v/>
      </c>
      <c r="P618" s="12" t="str">
        <f t="shared" si="163"/>
        <v/>
      </c>
      <c r="Q618" s="12" t="str">
        <f t="shared" si="167"/>
        <v/>
      </c>
      <c r="R618" s="26" t="str">
        <f t="shared" si="164"/>
        <v/>
      </c>
      <c r="S618" s="26" t="str">
        <f t="shared" si="173"/>
        <v/>
      </c>
      <c r="T618" s="26" t="str">
        <f t="shared" si="168"/>
        <v/>
      </c>
      <c r="U618" s="26" t="str">
        <f t="shared" si="169"/>
        <v/>
      </c>
      <c r="V618" s="26" t="str">
        <f t="shared" si="170"/>
        <v/>
      </c>
      <c r="W618" s="20" t="str">
        <f t="shared" si="171"/>
        <v/>
      </c>
      <c r="X618" s="20" t="str">
        <f t="shared" si="172"/>
        <v/>
      </c>
      <c r="Y618" s="86" t="str">
        <f t="shared" si="174"/>
        <v/>
      </c>
      <c r="Z618" s="31"/>
    </row>
    <row r="619" spans="2:26" outlineLevel="1">
      <c r="B619" s="14">
        <f t="shared" si="158"/>
        <v>616</v>
      </c>
      <c r="C619" s="37"/>
      <c r="D619" s="40"/>
      <c r="E619" s="39"/>
      <c r="F619" s="37"/>
      <c r="G619" s="39"/>
      <c r="H619" s="37"/>
      <c r="I619" s="37"/>
      <c r="J619" s="41" t="str">
        <f t="shared" si="159"/>
        <v/>
      </c>
      <c r="K619" s="12" t="str">
        <f t="shared" si="165"/>
        <v/>
      </c>
      <c r="L619" s="12" t="str">
        <f t="shared" si="166"/>
        <v/>
      </c>
      <c r="M619" s="12" t="str">
        <f t="shared" si="160"/>
        <v/>
      </c>
      <c r="N619" s="12" t="str">
        <f t="shared" si="161"/>
        <v/>
      </c>
      <c r="O619" s="12" t="str">
        <f t="shared" si="162"/>
        <v/>
      </c>
      <c r="P619" s="12" t="str">
        <f t="shared" si="163"/>
        <v/>
      </c>
      <c r="Q619" s="12" t="str">
        <f t="shared" si="167"/>
        <v/>
      </c>
      <c r="R619" s="26" t="str">
        <f t="shared" si="164"/>
        <v/>
      </c>
      <c r="S619" s="26" t="str">
        <f t="shared" si="173"/>
        <v/>
      </c>
      <c r="T619" s="26" t="str">
        <f t="shared" si="168"/>
        <v/>
      </c>
      <c r="U619" s="26" t="str">
        <f t="shared" si="169"/>
        <v/>
      </c>
      <c r="V619" s="26" t="str">
        <f t="shared" si="170"/>
        <v/>
      </c>
      <c r="W619" s="20" t="str">
        <f t="shared" si="171"/>
        <v/>
      </c>
      <c r="X619" s="20" t="str">
        <f t="shared" si="172"/>
        <v/>
      </c>
      <c r="Y619" s="86" t="str">
        <f t="shared" si="174"/>
        <v/>
      </c>
      <c r="Z619" s="31"/>
    </row>
    <row r="620" spans="2:26" outlineLevel="1">
      <c r="B620" s="14">
        <f t="shared" si="158"/>
        <v>617</v>
      </c>
      <c r="C620" s="37"/>
      <c r="D620" s="40"/>
      <c r="E620" s="39"/>
      <c r="F620" s="37"/>
      <c r="G620" s="39"/>
      <c r="H620" s="37"/>
      <c r="I620" s="37"/>
      <c r="J620" s="41" t="str">
        <f t="shared" si="159"/>
        <v/>
      </c>
      <c r="K620" s="12" t="str">
        <f t="shared" si="165"/>
        <v/>
      </c>
      <c r="L620" s="12" t="str">
        <f t="shared" si="166"/>
        <v/>
      </c>
      <c r="M620" s="12" t="str">
        <f t="shared" si="160"/>
        <v/>
      </c>
      <c r="N620" s="12" t="str">
        <f t="shared" si="161"/>
        <v/>
      </c>
      <c r="O620" s="12" t="str">
        <f t="shared" si="162"/>
        <v/>
      </c>
      <c r="P620" s="12" t="str">
        <f t="shared" si="163"/>
        <v/>
      </c>
      <c r="Q620" s="12" t="str">
        <f t="shared" si="167"/>
        <v/>
      </c>
      <c r="R620" s="26" t="str">
        <f t="shared" si="164"/>
        <v/>
      </c>
      <c r="S620" s="26" t="str">
        <f t="shared" si="173"/>
        <v/>
      </c>
      <c r="T620" s="26" t="str">
        <f t="shared" si="168"/>
        <v/>
      </c>
      <c r="U620" s="26" t="str">
        <f t="shared" si="169"/>
        <v/>
      </c>
      <c r="V620" s="26" t="str">
        <f t="shared" si="170"/>
        <v/>
      </c>
      <c r="W620" s="20" t="str">
        <f t="shared" si="171"/>
        <v/>
      </c>
      <c r="X620" s="20" t="str">
        <f t="shared" si="172"/>
        <v/>
      </c>
      <c r="Y620" s="86" t="str">
        <f t="shared" si="174"/>
        <v/>
      </c>
      <c r="Z620" s="31"/>
    </row>
    <row r="621" spans="2:26" outlineLevel="1">
      <c r="B621" s="14">
        <f t="shared" si="158"/>
        <v>618</v>
      </c>
      <c r="C621" s="37"/>
      <c r="D621" s="40"/>
      <c r="E621" s="39"/>
      <c r="F621" s="37"/>
      <c r="G621" s="39"/>
      <c r="H621" s="37"/>
      <c r="I621" s="37"/>
      <c r="J621" s="41" t="str">
        <f t="shared" si="159"/>
        <v/>
      </c>
      <c r="K621" s="12" t="str">
        <f t="shared" si="165"/>
        <v/>
      </c>
      <c r="L621" s="12" t="str">
        <f t="shared" si="166"/>
        <v/>
      </c>
      <c r="M621" s="12" t="str">
        <f t="shared" si="160"/>
        <v/>
      </c>
      <c r="N621" s="12" t="str">
        <f t="shared" si="161"/>
        <v/>
      </c>
      <c r="O621" s="12" t="str">
        <f t="shared" si="162"/>
        <v/>
      </c>
      <c r="P621" s="12" t="str">
        <f t="shared" si="163"/>
        <v/>
      </c>
      <c r="Q621" s="12" t="str">
        <f t="shared" si="167"/>
        <v/>
      </c>
      <c r="R621" s="26" t="str">
        <f t="shared" si="164"/>
        <v/>
      </c>
      <c r="S621" s="26" t="str">
        <f t="shared" si="173"/>
        <v/>
      </c>
      <c r="T621" s="26" t="str">
        <f t="shared" si="168"/>
        <v/>
      </c>
      <c r="U621" s="26" t="str">
        <f t="shared" si="169"/>
        <v/>
      </c>
      <c r="V621" s="26" t="str">
        <f t="shared" si="170"/>
        <v/>
      </c>
      <c r="W621" s="20" t="str">
        <f t="shared" si="171"/>
        <v/>
      </c>
      <c r="X621" s="20" t="str">
        <f t="shared" si="172"/>
        <v/>
      </c>
      <c r="Y621" s="86" t="str">
        <f t="shared" si="174"/>
        <v/>
      </c>
      <c r="Z621" s="31"/>
    </row>
    <row r="622" spans="2:26" outlineLevel="1">
      <c r="B622" s="14">
        <f t="shared" si="158"/>
        <v>619</v>
      </c>
      <c r="C622" s="37"/>
      <c r="D622" s="40"/>
      <c r="E622" s="39"/>
      <c r="F622" s="37"/>
      <c r="G622" s="39"/>
      <c r="H622" s="37"/>
      <c r="I622" s="37"/>
      <c r="J622" s="41" t="str">
        <f t="shared" si="159"/>
        <v/>
      </c>
      <c r="K622" s="12" t="str">
        <f t="shared" si="165"/>
        <v/>
      </c>
      <c r="L622" s="12" t="str">
        <f t="shared" si="166"/>
        <v/>
      </c>
      <c r="M622" s="12" t="str">
        <f t="shared" si="160"/>
        <v/>
      </c>
      <c r="N622" s="12" t="str">
        <f t="shared" si="161"/>
        <v/>
      </c>
      <c r="O622" s="12" t="str">
        <f t="shared" si="162"/>
        <v/>
      </c>
      <c r="P622" s="12" t="str">
        <f t="shared" si="163"/>
        <v/>
      </c>
      <c r="Q622" s="12" t="str">
        <f t="shared" si="167"/>
        <v/>
      </c>
      <c r="R622" s="26" t="str">
        <f t="shared" si="164"/>
        <v/>
      </c>
      <c r="S622" s="26" t="str">
        <f t="shared" si="173"/>
        <v/>
      </c>
      <c r="T622" s="26" t="str">
        <f t="shared" si="168"/>
        <v/>
      </c>
      <c r="U622" s="26" t="str">
        <f t="shared" si="169"/>
        <v/>
      </c>
      <c r="V622" s="26" t="str">
        <f t="shared" si="170"/>
        <v/>
      </c>
      <c r="W622" s="20" t="str">
        <f t="shared" si="171"/>
        <v/>
      </c>
      <c r="X622" s="20" t="str">
        <f t="shared" si="172"/>
        <v/>
      </c>
      <c r="Y622" s="86" t="str">
        <f t="shared" si="174"/>
        <v/>
      </c>
      <c r="Z622" s="31"/>
    </row>
    <row r="623" spans="2:26" outlineLevel="1">
      <c r="B623" s="14">
        <f t="shared" si="158"/>
        <v>620</v>
      </c>
      <c r="C623" s="37"/>
      <c r="D623" s="40"/>
      <c r="E623" s="39"/>
      <c r="F623" s="37"/>
      <c r="G623" s="39"/>
      <c r="H623" s="37"/>
      <c r="I623" s="37"/>
      <c r="J623" s="41" t="str">
        <f t="shared" si="159"/>
        <v/>
      </c>
      <c r="K623" s="12" t="str">
        <f t="shared" si="165"/>
        <v/>
      </c>
      <c r="L623" s="12" t="str">
        <f t="shared" si="166"/>
        <v/>
      </c>
      <c r="M623" s="12" t="str">
        <f t="shared" si="160"/>
        <v/>
      </c>
      <c r="N623" s="12" t="str">
        <f t="shared" si="161"/>
        <v/>
      </c>
      <c r="O623" s="12" t="str">
        <f t="shared" si="162"/>
        <v/>
      </c>
      <c r="P623" s="12" t="str">
        <f t="shared" si="163"/>
        <v/>
      </c>
      <c r="Q623" s="12" t="str">
        <f t="shared" si="167"/>
        <v/>
      </c>
      <c r="R623" s="26" t="str">
        <f t="shared" si="164"/>
        <v/>
      </c>
      <c r="S623" s="26" t="str">
        <f t="shared" si="173"/>
        <v/>
      </c>
      <c r="T623" s="26" t="str">
        <f t="shared" si="168"/>
        <v/>
      </c>
      <c r="U623" s="26" t="str">
        <f t="shared" si="169"/>
        <v/>
      </c>
      <c r="V623" s="26" t="str">
        <f t="shared" si="170"/>
        <v/>
      </c>
      <c r="W623" s="20" t="str">
        <f t="shared" si="171"/>
        <v/>
      </c>
      <c r="X623" s="20" t="str">
        <f t="shared" si="172"/>
        <v/>
      </c>
      <c r="Y623" s="86" t="str">
        <f t="shared" si="174"/>
        <v/>
      </c>
      <c r="Z623" s="31"/>
    </row>
    <row r="624" spans="2:26" outlineLevel="1">
      <c r="B624" s="14">
        <f t="shared" si="158"/>
        <v>621</v>
      </c>
      <c r="C624" s="37"/>
      <c r="D624" s="40"/>
      <c r="E624" s="39"/>
      <c r="F624" s="37"/>
      <c r="G624" s="39"/>
      <c r="H624" s="37"/>
      <c r="I624" s="37"/>
      <c r="J624" s="41" t="str">
        <f t="shared" si="159"/>
        <v/>
      </c>
      <c r="K624" s="12" t="str">
        <f t="shared" si="165"/>
        <v/>
      </c>
      <c r="L624" s="12" t="str">
        <f t="shared" si="166"/>
        <v/>
      </c>
      <c r="M624" s="12" t="str">
        <f t="shared" si="160"/>
        <v/>
      </c>
      <c r="N624" s="12" t="str">
        <f t="shared" si="161"/>
        <v/>
      </c>
      <c r="O624" s="12" t="str">
        <f t="shared" si="162"/>
        <v/>
      </c>
      <c r="P624" s="12" t="str">
        <f t="shared" si="163"/>
        <v/>
      </c>
      <c r="Q624" s="12" t="str">
        <f t="shared" si="167"/>
        <v/>
      </c>
      <c r="R624" s="26" t="str">
        <f t="shared" si="164"/>
        <v/>
      </c>
      <c r="S624" s="26" t="str">
        <f t="shared" si="173"/>
        <v/>
      </c>
      <c r="T624" s="26" t="str">
        <f t="shared" si="168"/>
        <v/>
      </c>
      <c r="U624" s="26" t="str">
        <f t="shared" si="169"/>
        <v/>
      </c>
      <c r="V624" s="26" t="str">
        <f t="shared" si="170"/>
        <v/>
      </c>
      <c r="W624" s="20" t="str">
        <f t="shared" si="171"/>
        <v/>
      </c>
      <c r="X624" s="20" t="str">
        <f t="shared" si="172"/>
        <v/>
      </c>
      <c r="Y624" s="86" t="str">
        <f t="shared" si="174"/>
        <v/>
      </c>
      <c r="Z624" s="31"/>
    </row>
    <row r="625" spans="2:26" outlineLevel="1">
      <c r="B625" s="14">
        <f t="shared" si="158"/>
        <v>622</v>
      </c>
      <c r="C625" s="37"/>
      <c r="D625" s="40"/>
      <c r="E625" s="39"/>
      <c r="F625" s="37"/>
      <c r="G625" s="39"/>
      <c r="H625" s="37"/>
      <c r="I625" s="37"/>
      <c r="J625" s="41" t="str">
        <f t="shared" si="159"/>
        <v/>
      </c>
      <c r="K625" s="12" t="str">
        <f t="shared" si="165"/>
        <v/>
      </c>
      <c r="L625" s="12" t="str">
        <f t="shared" si="166"/>
        <v/>
      </c>
      <c r="M625" s="12" t="str">
        <f t="shared" si="160"/>
        <v/>
      </c>
      <c r="N625" s="12" t="str">
        <f t="shared" si="161"/>
        <v/>
      </c>
      <c r="O625" s="12" t="str">
        <f t="shared" si="162"/>
        <v/>
      </c>
      <c r="P625" s="12" t="str">
        <f t="shared" si="163"/>
        <v/>
      </c>
      <c r="Q625" s="12" t="str">
        <f t="shared" si="167"/>
        <v/>
      </c>
      <c r="R625" s="26" t="str">
        <f t="shared" si="164"/>
        <v/>
      </c>
      <c r="S625" s="26" t="str">
        <f t="shared" si="173"/>
        <v/>
      </c>
      <c r="T625" s="26" t="str">
        <f t="shared" si="168"/>
        <v/>
      </c>
      <c r="U625" s="26" t="str">
        <f t="shared" si="169"/>
        <v/>
      </c>
      <c r="V625" s="26" t="str">
        <f t="shared" si="170"/>
        <v/>
      </c>
      <c r="W625" s="20" t="str">
        <f t="shared" si="171"/>
        <v/>
      </c>
      <c r="X625" s="20" t="str">
        <f t="shared" si="172"/>
        <v/>
      </c>
      <c r="Y625" s="86" t="str">
        <f t="shared" si="174"/>
        <v/>
      </c>
      <c r="Z625" s="31"/>
    </row>
    <row r="626" spans="2:26" outlineLevel="1">
      <c r="B626" s="14">
        <f t="shared" si="158"/>
        <v>623</v>
      </c>
      <c r="C626" s="37"/>
      <c r="D626" s="40"/>
      <c r="E626" s="39"/>
      <c r="F626" s="37"/>
      <c r="G626" s="39"/>
      <c r="H626" s="37"/>
      <c r="I626" s="37"/>
      <c r="J626" s="41" t="str">
        <f t="shared" si="159"/>
        <v/>
      </c>
      <c r="K626" s="12" t="str">
        <f t="shared" si="165"/>
        <v/>
      </c>
      <c r="L626" s="12" t="str">
        <f t="shared" si="166"/>
        <v/>
      </c>
      <c r="M626" s="12" t="str">
        <f t="shared" si="160"/>
        <v/>
      </c>
      <c r="N626" s="12" t="str">
        <f t="shared" si="161"/>
        <v/>
      </c>
      <c r="O626" s="12" t="str">
        <f t="shared" si="162"/>
        <v/>
      </c>
      <c r="P626" s="12" t="str">
        <f t="shared" si="163"/>
        <v/>
      </c>
      <c r="Q626" s="12" t="str">
        <f t="shared" si="167"/>
        <v/>
      </c>
      <c r="R626" s="26" t="str">
        <f t="shared" si="164"/>
        <v/>
      </c>
      <c r="S626" s="26" t="str">
        <f t="shared" si="173"/>
        <v/>
      </c>
      <c r="T626" s="26" t="str">
        <f t="shared" si="168"/>
        <v/>
      </c>
      <c r="U626" s="26" t="str">
        <f t="shared" si="169"/>
        <v/>
      </c>
      <c r="V626" s="26" t="str">
        <f t="shared" si="170"/>
        <v/>
      </c>
      <c r="W626" s="20" t="str">
        <f t="shared" si="171"/>
        <v/>
      </c>
      <c r="X626" s="20" t="str">
        <f t="shared" si="172"/>
        <v/>
      </c>
      <c r="Y626" s="86" t="str">
        <f t="shared" si="174"/>
        <v/>
      </c>
      <c r="Z626" s="31"/>
    </row>
    <row r="627" spans="2:26" outlineLevel="1">
      <c r="B627" s="14">
        <f t="shared" si="158"/>
        <v>624</v>
      </c>
      <c r="C627" s="37"/>
      <c r="D627" s="40"/>
      <c r="E627" s="39"/>
      <c r="F627" s="37"/>
      <c r="G627" s="39"/>
      <c r="H627" s="37"/>
      <c r="I627" s="37"/>
      <c r="J627" s="41" t="str">
        <f t="shared" si="159"/>
        <v/>
      </c>
      <c r="K627" s="12" t="str">
        <f t="shared" si="165"/>
        <v/>
      </c>
      <c r="L627" s="12" t="str">
        <f t="shared" si="166"/>
        <v/>
      </c>
      <c r="M627" s="12" t="str">
        <f t="shared" si="160"/>
        <v/>
      </c>
      <c r="N627" s="12" t="str">
        <f t="shared" si="161"/>
        <v/>
      </c>
      <c r="O627" s="12" t="str">
        <f t="shared" si="162"/>
        <v/>
      </c>
      <c r="P627" s="12" t="str">
        <f t="shared" si="163"/>
        <v/>
      </c>
      <c r="Q627" s="12" t="str">
        <f t="shared" si="167"/>
        <v/>
      </c>
      <c r="R627" s="26" t="str">
        <f t="shared" si="164"/>
        <v/>
      </c>
      <c r="S627" s="26" t="str">
        <f t="shared" si="173"/>
        <v/>
      </c>
      <c r="T627" s="26" t="str">
        <f t="shared" si="168"/>
        <v/>
      </c>
      <c r="U627" s="26" t="str">
        <f t="shared" si="169"/>
        <v/>
      </c>
      <c r="V627" s="26" t="str">
        <f t="shared" si="170"/>
        <v/>
      </c>
      <c r="W627" s="20" t="str">
        <f t="shared" si="171"/>
        <v/>
      </c>
      <c r="X627" s="20" t="str">
        <f t="shared" si="172"/>
        <v/>
      </c>
      <c r="Y627" s="86" t="str">
        <f t="shared" si="174"/>
        <v/>
      </c>
      <c r="Z627" s="31"/>
    </row>
    <row r="628" spans="2:26" outlineLevel="1">
      <c r="B628" s="14">
        <f t="shared" si="158"/>
        <v>625</v>
      </c>
      <c r="C628" s="37"/>
      <c r="D628" s="40"/>
      <c r="E628" s="39"/>
      <c r="F628" s="37"/>
      <c r="G628" s="39"/>
      <c r="H628" s="37"/>
      <c r="I628" s="37"/>
      <c r="J628" s="41" t="str">
        <f t="shared" si="159"/>
        <v/>
      </c>
      <c r="K628" s="12" t="str">
        <f t="shared" si="165"/>
        <v/>
      </c>
      <c r="L628" s="12" t="str">
        <f t="shared" si="166"/>
        <v/>
      </c>
      <c r="M628" s="12" t="str">
        <f t="shared" si="160"/>
        <v/>
      </c>
      <c r="N628" s="12" t="str">
        <f t="shared" si="161"/>
        <v/>
      </c>
      <c r="O628" s="12" t="str">
        <f t="shared" si="162"/>
        <v/>
      </c>
      <c r="P628" s="12" t="str">
        <f t="shared" si="163"/>
        <v/>
      </c>
      <c r="Q628" s="12" t="str">
        <f t="shared" si="167"/>
        <v/>
      </c>
      <c r="R628" s="26" t="str">
        <f t="shared" si="164"/>
        <v/>
      </c>
      <c r="S628" s="26" t="str">
        <f t="shared" si="173"/>
        <v/>
      </c>
      <c r="T628" s="26" t="str">
        <f t="shared" si="168"/>
        <v/>
      </c>
      <c r="U628" s="26" t="str">
        <f t="shared" si="169"/>
        <v/>
      </c>
      <c r="V628" s="26" t="str">
        <f t="shared" si="170"/>
        <v/>
      </c>
      <c r="W628" s="20" t="str">
        <f t="shared" si="171"/>
        <v/>
      </c>
      <c r="X628" s="20" t="str">
        <f t="shared" si="172"/>
        <v/>
      </c>
      <c r="Y628" s="86" t="str">
        <f t="shared" si="174"/>
        <v/>
      </c>
      <c r="Z628" s="31"/>
    </row>
    <row r="629" spans="2:26" outlineLevel="1">
      <c r="B629" s="14">
        <f t="shared" si="158"/>
        <v>626</v>
      </c>
      <c r="C629" s="37"/>
      <c r="D629" s="40"/>
      <c r="E629" s="39"/>
      <c r="F629" s="37"/>
      <c r="G629" s="39"/>
      <c r="H629" s="37"/>
      <c r="I629" s="37"/>
      <c r="J629" s="41" t="str">
        <f t="shared" si="159"/>
        <v/>
      </c>
      <c r="K629" s="12" t="str">
        <f t="shared" si="165"/>
        <v/>
      </c>
      <c r="L629" s="12" t="str">
        <f t="shared" si="166"/>
        <v/>
      </c>
      <c r="M629" s="12" t="str">
        <f t="shared" si="160"/>
        <v/>
      </c>
      <c r="N629" s="12" t="str">
        <f t="shared" si="161"/>
        <v/>
      </c>
      <c r="O629" s="12" t="str">
        <f t="shared" si="162"/>
        <v/>
      </c>
      <c r="P629" s="12" t="str">
        <f t="shared" si="163"/>
        <v/>
      </c>
      <c r="Q629" s="12" t="str">
        <f t="shared" si="167"/>
        <v/>
      </c>
      <c r="R629" s="26" t="str">
        <f t="shared" si="164"/>
        <v/>
      </c>
      <c r="S629" s="26" t="str">
        <f t="shared" si="173"/>
        <v/>
      </c>
      <c r="T629" s="26" t="str">
        <f t="shared" si="168"/>
        <v/>
      </c>
      <c r="U629" s="26" t="str">
        <f t="shared" si="169"/>
        <v/>
      </c>
      <c r="V629" s="26" t="str">
        <f t="shared" si="170"/>
        <v/>
      </c>
      <c r="W629" s="20" t="str">
        <f t="shared" si="171"/>
        <v/>
      </c>
      <c r="X629" s="20" t="str">
        <f t="shared" si="172"/>
        <v/>
      </c>
      <c r="Y629" s="86" t="str">
        <f t="shared" si="174"/>
        <v/>
      </c>
      <c r="Z629" s="31"/>
    </row>
    <row r="630" spans="2:26" outlineLevel="1">
      <c r="B630" s="14">
        <f t="shared" si="158"/>
        <v>627</v>
      </c>
      <c r="C630" s="37"/>
      <c r="D630" s="40"/>
      <c r="E630" s="39"/>
      <c r="F630" s="37"/>
      <c r="G630" s="39"/>
      <c r="H630" s="37"/>
      <c r="I630" s="37"/>
      <c r="J630" s="41" t="str">
        <f t="shared" si="159"/>
        <v/>
      </c>
      <c r="K630" s="12" t="str">
        <f t="shared" si="165"/>
        <v/>
      </c>
      <c r="L630" s="12" t="str">
        <f t="shared" si="166"/>
        <v/>
      </c>
      <c r="M630" s="12" t="str">
        <f t="shared" si="160"/>
        <v/>
      </c>
      <c r="N630" s="12" t="str">
        <f t="shared" si="161"/>
        <v/>
      </c>
      <c r="O630" s="12" t="str">
        <f t="shared" si="162"/>
        <v/>
      </c>
      <c r="P630" s="12" t="str">
        <f t="shared" si="163"/>
        <v/>
      </c>
      <c r="Q630" s="12" t="str">
        <f t="shared" si="167"/>
        <v/>
      </c>
      <c r="R630" s="26" t="str">
        <f t="shared" si="164"/>
        <v/>
      </c>
      <c r="S630" s="26" t="str">
        <f t="shared" si="173"/>
        <v/>
      </c>
      <c r="T630" s="26" t="str">
        <f t="shared" si="168"/>
        <v/>
      </c>
      <c r="U630" s="26" t="str">
        <f t="shared" si="169"/>
        <v/>
      </c>
      <c r="V630" s="26" t="str">
        <f t="shared" si="170"/>
        <v/>
      </c>
      <c r="W630" s="20" t="str">
        <f t="shared" si="171"/>
        <v/>
      </c>
      <c r="X630" s="20" t="str">
        <f t="shared" si="172"/>
        <v/>
      </c>
      <c r="Y630" s="86" t="str">
        <f t="shared" si="174"/>
        <v/>
      </c>
      <c r="Z630" s="31"/>
    </row>
    <row r="631" spans="2:26" outlineLevel="1">
      <c r="B631" s="14">
        <f t="shared" si="158"/>
        <v>628</v>
      </c>
      <c r="C631" s="37"/>
      <c r="D631" s="40"/>
      <c r="E631" s="39"/>
      <c r="F631" s="37"/>
      <c r="G631" s="39"/>
      <c r="H631" s="37"/>
      <c r="I631" s="37"/>
      <c r="J631" s="41" t="str">
        <f t="shared" si="159"/>
        <v/>
      </c>
      <c r="K631" s="12" t="str">
        <f t="shared" si="165"/>
        <v/>
      </c>
      <c r="L631" s="12" t="str">
        <f t="shared" si="166"/>
        <v/>
      </c>
      <c r="M631" s="12" t="str">
        <f t="shared" si="160"/>
        <v/>
      </c>
      <c r="N631" s="12" t="str">
        <f t="shared" si="161"/>
        <v/>
      </c>
      <c r="O631" s="12" t="str">
        <f t="shared" si="162"/>
        <v/>
      </c>
      <c r="P631" s="12" t="str">
        <f t="shared" si="163"/>
        <v/>
      </c>
      <c r="Q631" s="12" t="str">
        <f t="shared" si="167"/>
        <v/>
      </c>
      <c r="R631" s="26" t="str">
        <f t="shared" si="164"/>
        <v/>
      </c>
      <c r="S631" s="26" t="str">
        <f t="shared" si="173"/>
        <v/>
      </c>
      <c r="T631" s="26" t="str">
        <f t="shared" si="168"/>
        <v/>
      </c>
      <c r="U631" s="26" t="str">
        <f t="shared" si="169"/>
        <v/>
      </c>
      <c r="V631" s="26" t="str">
        <f t="shared" si="170"/>
        <v/>
      </c>
      <c r="W631" s="20" t="str">
        <f t="shared" si="171"/>
        <v/>
      </c>
      <c r="X631" s="20" t="str">
        <f t="shared" si="172"/>
        <v/>
      </c>
      <c r="Y631" s="86" t="str">
        <f t="shared" si="174"/>
        <v/>
      </c>
      <c r="Z631" s="31"/>
    </row>
    <row r="632" spans="2:26" outlineLevel="1">
      <c r="B632" s="14">
        <f t="shared" si="158"/>
        <v>629</v>
      </c>
      <c r="C632" s="37"/>
      <c r="D632" s="40"/>
      <c r="E632" s="39"/>
      <c r="F632" s="37"/>
      <c r="G632" s="39"/>
      <c r="H632" s="37"/>
      <c r="I632" s="37"/>
      <c r="J632" s="41" t="str">
        <f t="shared" si="159"/>
        <v/>
      </c>
      <c r="K632" s="12" t="str">
        <f t="shared" si="165"/>
        <v/>
      </c>
      <c r="L632" s="12" t="str">
        <f t="shared" si="166"/>
        <v/>
      </c>
      <c r="M632" s="12" t="str">
        <f t="shared" si="160"/>
        <v/>
      </c>
      <c r="N632" s="12" t="str">
        <f t="shared" si="161"/>
        <v/>
      </c>
      <c r="O632" s="12" t="str">
        <f t="shared" si="162"/>
        <v/>
      </c>
      <c r="P632" s="12" t="str">
        <f t="shared" si="163"/>
        <v/>
      </c>
      <c r="Q632" s="12" t="str">
        <f t="shared" si="167"/>
        <v/>
      </c>
      <c r="R632" s="26" t="str">
        <f t="shared" si="164"/>
        <v/>
      </c>
      <c r="S632" s="26" t="str">
        <f t="shared" si="173"/>
        <v/>
      </c>
      <c r="T632" s="26" t="str">
        <f t="shared" si="168"/>
        <v/>
      </c>
      <c r="U632" s="26" t="str">
        <f t="shared" si="169"/>
        <v/>
      </c>
      <c r="V632" s="26" t="str">
        <f t="shared" si="170"/>
        <v/>
      </c>
      <c r="W632" s="20" t="str">
        <f t="shared" si="171"/>
        <v/>
      </c>
      <c r="X632" s="20" t="str">
        <f t="shared" si="172"/>
        <v/>
      </c>
      <c r="Y632" s="86" t="str">
        <f t="shared" si="174"/>
        <v/>
      </c>
      <c r="Z632" s="31"/>
    </row>
    <row r="633" spans="2:26" outlineLevel="1">
      <c r="B633" s="14">
        <f t="shared" si="158"/>
        <v>630</v>
      </c>
      <c r="C633" s="37"/>
      <c r="D633" s="40"/>
      <c r="E633" s="39"/>
      <c r="F633" s="37"/>
      <c r="G633" s="39"/>
      <c r="H633" s="37"/>
      <c r="I633" s="37"/>
      <c r="J633" s="41" t="str">
        <f t="shared" si="159"/>
        <v/>
      </c>
      <c r="K633" s="12" t="str">
        <f t="shared" si="165"/>
        <v/>
      </c>
      <c r="L633" s="12" t="str">
        <f t="shared" si="166"/>
        <v/>
      </c>
      <c r="M633" s="12" t="str">
        <f t="shared" si="160"/>
        <v/>
      </c>
      <c r="N633" s="12" t="str">
        <f t="shared" si="161"/>
        <v/>
      </c>
      <c r="O633" s="12" t="str">
        <f t="shared" si="162"/>
        <v/>
      </c>
      <c r="P633" s="12" t="str">
        <f t="shared" si="163"/>
        <v/>
      </c>
      <c r="Q633" s="12" t="str">
        <f t="shared" si="167"/>
        <v/>
      </c>
      <c r="R633" s="26" t="str">
        <f t="shared" si="164"/>
        <v/>
      </c>
      <c r="S633" s="26" t="str">
        <f t="shared" si="173"/>
        <v/>
      </c>
      <c r="T633" s="26" t="str">
        <f t="shared" si="168"/>
        <v/>
      </c>
      <c r="U633" s="26" t="str">
        <f t="shared" si="169"/>
        <v/>
      </c>
      <c r="V633" s="26" t="str">
        <f t="shared" si="170"/>
        <v/>
      </c>
      <c r="W633" s="20" t="str">
        <f t="shared" si="171"/>
        <v/>
      </c>
      <c r="X633" s="20" t="str">
        <f t="shared" si="172"/>
        <v/>
      </c>
      <c r="Y633" s="86" t="str">
        <f t="shared" si="174"/>
        <v/>
      </c>
      <c r="Z633" s="31"/>
    </row>
    <row r="634" spans="2:26" outlineLevel="1">
      <c r="B634" s="14">
        <f t="shared" si="158"/>
        <v>631</v>
      </c>
      <c r="C634" s="37"/>
      <c r="D634" s="40"/>
      <c r="E634" s="39"/>
      <c r="F634" s="37"/>
      <c r="G634" s="39"/>
      <c r="H634" s="37"/>
      <c r="I634" s="37"/>
      <c r="J634" s="41" t="str">
        <f t="shared" si="159"/>
        <v/>
      </c>
      <c r="K634" s="12" t="str">
        <f t="shared" si="165"/>
        <v/>
      </c>
      <c r="L634" s="12" t="str">
        <f t="shared" si="166"/>
        <v/>
      </c>
      <c r="M634" s="12" t="str">
        <f t="shared" si="160"/>
        <v/>
      </c>
      <c r="N634" s="12" t="str">
        <f t="shared" si="161"/>
        <v/>
      </c>
      <c r="O634" s="12" t="str">
        <f t="shared" si="162"/>
        <v/>
      </c>
      <c r="P634" s="12" t="str">
        <f t="shared" si="163"/>
        <v/>
      </c>
      <c r="Q634" s="12" t="str">
        <f t="shared" si="167"/>
        <v/>
      </c>
      <c r="R634" s="26" t="str">
        <f t="shared" si="164"/>
        <v/>
      </c>
      <c r="S634" s="26" t="str">
        <f t="shared" si="173"/>
        <v/>
      </c>
      <c r="T634" s="26" t="str">
        <f t="shared" si="168"/>
        <v/>
      </c>
      <c r="U634" s="26" t="str">
        <f t="shared" si="169"/>
        <v/>
      </c>
      <c r="V634" s="26" t="str">
        <f t="shared" si="170"/>
        <v/>
      </c>
      <c r="W634" s="20" t="str">
        <f t="shared" si="171"/>
        <v/>
      </c>
      <c r="X634" s="20" t="str">
        <f t="shared" si="172"/>
        <v/>
      </c>
      <c r="Y634" s="86" t="str">
        <f t="shared" si="174"/>
        <v/>
      </c>
      <c r="Z634" s="31"/>
    </row>
    <row r="635" spans="2:26" outlineLevel="1">
      <c r="B635" s="14">
        <f t="shared" si="158"/>
        <v>632</v>
      </c>
      <c r="C635" s="37"/>
      <c r="D635" s="40"/>
      <c r="E635" s="39"/>
      <c r="F635" s="37"/>
      <c r="G635" s="39"/>
      <c r="H635" s="37"/>
      <c r="I635" s="37"/>
      <c r="J635" s="41" t="str">
        <f t="shared" si="159"/>
        <v/>
      </c>
      <c r="K635" s="12" t="str">
        <f t="shared" si="165"/>
        <v/>
      </c>
      <c r="L635" s="12" t="str">
        <f t="shared" si="166"/>
        <v/>
      </c>
      <c r="M635" s="12" t="str">
        <f t="shared" si="160"/>
        <v/>
      </c>
      <c r="N635" s="12" t="str">
        <f t="shared" si="161"/>
        <v/>
      </c>
      <c r="O635" s="12" t="str">
        <f t="shared" si="162"/>
        <v/>
      </c>
      <c r="P635" s="12" t="str">
        <f t="shared" si="163"/>
        <v/>
      </c>
      <c r="Q635" s="12" t="str">
        <f t="shared" si="167"/>
        <v/>
      </c>
      <c r="R635" s="26" t="str">
        <f t="shared" si="164"/>
        <v/>
      </c>
      <c r="S635" s="26" t="str">
        <f t="shared" si="173"/>
        <v/>
      </c>
      <c r="T635" s="26" t="str">
        <f t="shared" si="168"/>
        <v/>
      </c>
      <c r="U635" s="26" t="str">
        <f t="shared" si="169"/>
        <v/>
      </c>
      <c r="V635" s="26" t="str">
        <f t="shared" si="170"/>
        <v/>
      </c>
      <c r="W635" s="20" t="str">
        <f t="shared" si="171"/>
        <v/>
      </c>
      <c r="X635" s="20" t="str">
        <f t="shared" si="172"/>
        <v/>
      </c>
      <c r="Y635" s="86" t="str">
        <f t="shared" si="174"/>
        <v/>
      </c>
      <c r="Z635" s="31"/>
    </row>
    <row r="636" spans="2:26" outlineLevel="1">
      <c r="B636" s="14">
        <f t="shared" si="158"/>
        <v>633</v>
      </c>
      <c r="C636" s="37"/>
      <c r="D636" s="40"/>
      <c r="E636" s="39"/>
      <c r="F636" s="37"/>
      <c r="G636" s="39"/>
      <c r="H636" s="37"/>
      <c r="I636" s="37"/>
      <c r="J636" s="41" t="str">
        <f t="shared" si="159"/>
        <v/>
      </c>
      <c r="K636" s="12" t="str">
        <f t="shared" si="165"/>
        <v/>
      </c>
      <c r="L636" s="12" t="str">
        <f t="shared" si="166"/>
        <v/>
      </c>
      <c r="M636" s="12" t="str">
        <f t="shared" si="160"/>
        <v/>
      </c>
      <c r="N636" s="12" t="str">
        <f t="shared" si="161"/>
        <v/>
      </c>
      <c r="O636" s="12" t="str">
        <f t="shared" si="162"/>
        <v/>
      </c>
      <c r="P636" s="12" t="str">
        <f t="shared" si="163"/>
        <v/>
      </c>
      <c r="Q636" s="12" t="str">
        <f t="shared" si="167"/>
        <v/>
      </c>
      <c r="R636" s="26" t="str">
        <f t="shared" si="164"/>
        <v/>
      </c>
      <c r="S636" s="26" t="str">
        <f t="shared" si="173"/>
        <v/>
      </c>
      <c r="T636" s="26" t="str">
        <f t="shared" si="168"/>
        <v/>
      </c>
      <c r="U636" s="26" t="str">
        <f t="shared" si="169"/>
        <v/>
      </c>
      <c r="V636" s="26" t="str">
        <f t="shared" si="170"/>
        <v/>
      </c>
      <c r="W636" s="20" t="str">
        <f t="shared" si="171"/>
        <v/>
      </c>
      <c r="X636" s="20" t="str">
        <f t="shared" si="172"/>
        <v/>
      </c>
      <c r="Y636" s="86" t="str">
        <f t="shared" si="174"/>
        <v/>
      </c>
      <c r="Z636" s="31"/>
    </row>
    <row r="637" spans="2:26" outlineLevel="1">
      <c r="B637" s="14">
        <f t="shared" si="158"/>
        <v>634</v>
      </c>
      <c r="C637" s="37"/>
      <c r="D637" s="40"/>
      <c r="E637" s="39"/>
      <c r="F637" s="37"/>
      <c r="G637" s="39"/>
      <c r="H637" s="37"/>
      <c r="I637" s="37"/>
      <c r="J637" s="41" t="str">
        <f t="shared" si="159"/>
        <v/>
      </c>
      <c r="K637" s="12" t="str">
        <f t="shared" si="165"/>
        <v/>
      </c>
      <c r="L637" s="12" t="str">
        <f t="shared" si="166"/>
        <v/>
      </c>
      <c r="M637" s="12" t="str">
        <f t="shared" si="160"/>
        <v/>
      </c>
      <c r="N637" s="12" t="str">
        <f t="shared" si="161"/>
        <v/>
      </c>
      <c r="O637" s="12" t="str">
        <f t="shared" si="162"/>
        <v/>
      </c>
      <c r="P637" s="12" t="str">
        <f t="shared" si="163"/>
        <v/>
      </c>
      <c r="Q637" s="12" t="str">
        <f t="shared" si="167"/>
        <v/>
      </c>
      <c r="R637" s="26" t="str">
        <f t="shared" si="164"/>
        <v/>
      </c>
      <c r="S637" s="26" t="str">
        <f t="shared" si="173"/>
        <v/>
      </c>
      <c r="T637" s="26" t="str">
        <f t="shared" si="168"/>
        <v/>
      </c>
      <c r="U637" s="26" t="str">
        <f t="shared" si="169"/>
        <v/>
      </c>
      <c r="V637" s="26" t="str">
        <f t="shared" si="170"/>
        <v/>
      </c>
      <c r="W637" s="20" t="str">
        <f t="shared" si="171"/>
        <v/>
      </c>
      <c r="X637" s="20" t="str">
        <f t="shared" si="172"/>
        <v/>
      </c>
      <c r="Y637" s="86" t="str">
        <f t="shared" si="174"/>
        <v/>
      </c>
      <c r="Z637" s="31"/>
    </row>
    <row r="638" spans="2:26" outlineLevel="1">
      <c r="B638" s="14">
        <f t="shared" si="158"/>
        <v>635</v>
      </c>
      <c r="C638" s="37"/>
      <c r="D638" s="40"/>
      <c r="E638" s="39"/>
      <c r="F638" s="37"/>
      <c r="G638" s="39"/>
      <c r="H638" s="37"/>
      <c r="I638" s="37"/>
      <c r="J638" s="41" t="str">
        <f t="shared" si="159"/>
        <v/>
      </c>
      <c r="K638" s="12" t="str">
        <f t="shared" si="165"/>
        <v/>
      </c>
      <c r="L638" s="12" t="str">
        <f t="shared" si="166"/>
        <v/>
      </c>
      <c r="M638" s="12" t="str">
        <f t="shared" si="160"/>
        <v/>
      </c>
      <c r="N638" s="12" t="str">
        <f t="shared" si="161"/>
        <v/>
      </c>
      <c r="O638" s="12" t="str">
        <f t="shared" si="162"/>
        <v/>
      </c>
      <c r="P638" s="12" t="str">
        <f t="shared" si="163"/>
        <v/>
      </c>
      <c r="Q638" s="12" t="str">
        <f t="shared" si="167"/>
        <v/>
      </c>
      <c r="R638" s="26" t="str">
        <f t="shared" si="164"/>
        <v/>
      </c>
      <c r="S638" s="26" t="str">
        <f t="shared" si="173"/>
        <v/>
      </c>
      <c r="T638" s="26" t="str">
        <f t="shared" si="168"/>
        <v/>
      </c>
      <c r="U638" s="26" t="str">
        <f t="shared" si="169"/>
        <v/>
      </c>
      <c r="V638" s="26" t="str">
        <f t="shared" si="170"/>
        <v/>
      </c>
      <c r="W638" s="20" t="str">
        <f t="shared" si="171"/>
        <v/>
      </c>
      <c r="X638" s="20" t="str">
        <f t="shared" si="172"/>
        <v/>
      </c>
      <c r="Y638" s="86" t="str">
        <f t="shared" si="174"/>
        <v/>
      </c>
      <c r="Z638" s="31"/>
    </row>
    <row r="639" spans="2:26" outlineLevel="1">
      <c r="B639" s="14">
        <f t="shared" si="158"/>
        <v>636</v>
      </c>
      <c r="C639" s="37"/>
      <c r="D639" s="40"/>
      <c r="E639" s="39"/>
      <c r="F639" s="37"/>
      <c r="G639" s="39"/>
      <c r="H639" s="37"/>
      <c r="I639" s="37"/>
      <c r="J639" s="41" t="str">
        <f t="shared" si="159"/>
        <v/>
      </c>
      <c r="K639" s="12" t="str">
        <f t="shared" si="165"/>
        <v/>
      </c>
      <c r="L639" s="12" t="str">
        <f t="shared" si="166"/>
        <v/>
      </c>
      <c r="M639" s="12" t="str">
        <f t="shared" si="160"/>
        <v/>
      </c>
      <c r="N639" s="12" t="str">
        <f t="shared" si="161"/>
        <v/>
      </c>
      <c r="O639" s="12" t="str">
        <f t="shared" si="162"/>
        <v/>
      </c>
      <c r="P639" s="12" t="str">
        <f t="shared" si="163"/>
        <v/>
      </c>
      <c r="Q639" s="12" t="str">
        <f t="shared" si="167"/>
        <v/>
      </c>
      <c r="R639" s="26" t="str">
        <f t="shared" si="164"/>
        <v/>
      </c>
      <c r="S639" s="26" t="str">
        <f t="shared" si="173"/>
        <v/>
      </c>
      <c r="T639" s="26" t="str">
        <f t="shared" si="168"/>
        <v/>
      </c>
      <c r="U639" s="26" t="str">
        <f t="shared" si="169"/>
        <v/>
      </c>
      <c r="V639" s="26" t="str">
        <f t="shared" si="170"/>
        <v/>
      </c>
      <c r="W639" s="20" t="str">
        <f t="shared" si="171"/>
        <v/>
      </c>
      <c r="X639" s="20" t="str">
        <f t="shared" si="172"/>
        <v/>
      </c>
      <c r="Y639" s="86" t="str">
        <f t="shared" si="174"/>
        <v/>
      </c>
      <c r="Z639" s="31"/>
    </row>
    <row r="640" spans="2:26" outlineLevel="1">
      <c r="B640" s="14">
        <f t="shared" si="158"/>
        <v>637</v>
      </c>
      <c r="C640" s="37"/>
      <c r="D640" s="40"/>
      <c r="E640" s="39"/>
      <c r="F640" s="37"/>
      <c r="G640" s="39"/>
      <c r="H640" s="37"/>
      <c r="I640" s="37"/>
      <c r="J640" s="41" t="str">
        <f t="shared" si="159"/>
        <v/>
      </c>
      <c r="K640" s="12" t="str">
        <f t="shared" si="165"/>
        <v/>
      </c>
      <c r="L640" s="12" t="str">
        <f t="shared" si="166"/>
        <v/>
      </c>
      <c r="M640" s="12" t="str">
        <f t="shared" si="160"/>
        <v/>
      </c>
      <c r="N640" s="12" t="str">
        <f t="shared" si="161"/>
        <v/>
      </c>
      <c r="O640" s="12" t="str">
        <f t="shared" si="162"/>
        <v/>
      </c>
      <c r="P640" s="12" t="str">
        <f t="shared" si="163"/>
        <v/>
      </c>
      <c r="Q640" s="12" t="str">
        <f t="shared" si="167"/>
        <v/>
      </c>
      <c r="R640" s="26" t="str">
        <f t="shared" si="164"/>
        <v/>
      </c>
      <c r="S640" s="26" t="str">
        <f t="shared" si="173"/>
        <v/>
      </c>
      <c r="T640" s="26" t="str">
        <f t="shared" si="168"/>
        <v/>
      </c>
      <c r="U640" s="26" t="str">
        <f t="shared" si="169"/>
        <v/>
      </c>
      <c r="V640" s="26" t="str">
        <f t="shared" si="170"/>
        <v/>
      </c>
      <c r="W640" s="20" t="str">
        <f t="shared" si="171"/>
        <v/>
      </c>
      <c r="X640" s="20" t="str">
        <f t="shared" si="172"/>
        <v/>
      </c>
      <c r="Y640" s="86" t="str">
        <f t="shared" si="174"/>
        <v/>
      </c>
      <c r="Z640" s="31"/>
    </row>
    <row r="641" spans="2:26" outlineLevel="1">
      <c r="B641" s="14">
        <f t="shared" si="158"/>
        <v>638</v>
      </c>
      <c r="C641" s="37"/>
      <c r="D641" s="40"/>
      <c r="E641" s="39"/>
      <c r="F641" s="37"/>
      <c r="G641" s="39"/>
      <c r="H641" s="37"/>
      <c r="I641" s="37"/>
      <c r="J641" s="41" t="str">
        <f t="shared" si="159"/>
        <v/>
      </c>
      <c r="K641" s="12" t="str">
        <f t="shared" si="165"/>
        <v/>
      </c>
      <c r="L641" s="12" t="str">
        <f t="shared" si="166"/>
        <v/>
      </c>
      <c r="M641" s="12" t="str">
        <f t="shared" si="160"/>
        <v/>
      </c>
      <c r="N641" s="12" t="str">
        <f t="shared" si="161"/>
        <v/>
      </c>
      <c r="O641" s="12" t="str">
        <f t="shared" si="162"/>
        <v/>
      </c>
      <c r="P641" s="12" t="str">
        <f t="shared" si="163"/>
        <v/>
      </c>
      <c r="Q641" s="12" t="str">
        <f t="shared" si="167"/>
        <v/>
      </c>
      <c r="R641" s="26" t="str">
        <f t="shared" si="164"/>
        <v/>
      </c>
      <c r="S641" s="26" t="str">
        <f t="shared" si="173"/>
        <v/>
      </c>
      <c r="T641" s="26" t="str">
        <f t="shared" si="168"/>
        <v/>
      </c>
      <c r="U641" s="26" t="str">
        <f t="shared" si="169"/>
        <v/>
      </c>
      <c r="V641" s="26" t="str">
        <f t="shared" si="170"/>
        <v/>
      </c>
      <c r="W641" s="20" t="str">
        <f t="shared" si="171"/>
        <v/>
      </c>
      <c r="X641" s="20" t="str">
        <f t="shared" si="172"/>
        <v/>
      </c>
      <c r="Y641" s="86" t="str">
        <f t="shared" si="174"/>
        <v/>
      </c>
      <c r="Z641" s="31"/>
    </row>
    <row r="642" spans="2:26" outlineLevel="1">
      <c r="B642" s="14">
        <f t="shared" ref="B642:B705" si="175">1+B641</f>
        <v>639</v>
      </c>
      <c r="C642" s="37"/>
      <c r="D642" s="40"/>
      <c r="E642" s="39"/>
      <c r="F642" s="37"/>
      <c r="G642" s="39"/>
      <c r="H642" s="37"/>
      <c r="I642" s="37"/>
      <c r="J642" s="41" t="str">
        <f t="shared" si="159"/>
        <v/>
      </c>
      <c r="K642" s="12" t="str">
        <f t="shared" si="165"/>
        <v/>
      </c>
      <c r="L642" s="12" t="str">
        <f t="shared" si="166"/>
        <v/>
      </c>
      <c r="M642" s="12" t="str">
        <f t="shared" si="160"/>
        <v/>
      </c>
      <c r="N642" s="12" t="str">
        <f t="shared" si="161"/>
        <v/>
      </c>
      <c r="O642" s="12" t="str">
        <f t="shared" si="162"/>
        <v/>
      </c>
      <c r="P642" s="12" t="str">
        <f t="shared" si="163"/>
        <v/>
      </c>
      <c r="Q642" s="12" t="str">
        <f t="shared" si="167"/>
        <v/>
      </c>
      <c r="R642" s="26" t="str">
        <f t="shared" si="164"/>
        <v/>
      </c>
      <c r="S642" s="26" t="str">
        <f t="shared" si="173"/>
        <v/>
      </c>
      <c r="T642" s="26" t="str">
        <f t="shared" si="168"/>
        <v/>
      </c>
      <c r="U642" s="26" t="str">
        <f t="shared" si="169"/>
        <v/>
      </c>
      <c r="V642" s="26" t="str">
        <f t="shared" si="170"/>
        <v/>
      </c>
      <c r="W642" s="20" t="str">
        <f t="shared" si="171"/>
        <v/>
      </c>
      <c r="X642" s="20" t="str">
        <f t="shared" si="172"/>
        <v/>
      </c>
      <c r="Y642" s="86" t="str">
        <f t="shared" si="174"/>
        <v/>
      </c>
      <c r="Z642" s="31"/>
    </row>
    <row r="643" spans="2:26" outlineLevel="1">
      <c r="B643" s="14">
        <f t="shared" si="175"/>
        <v>640</v>
      </c>
      <c r="C643" s="37"/>
      <c r="D643" s="40"/>
      <c r="E643" s="39"/>
      <c r="F643" s="37"/>
      <c r="G643" s="39"/>
      <c r="H643" s="37"/>
      <c r="I643" s="37"/>
      <c r="J643" s="41" t="str">
        <f t="shared" si="159"/>
        <v/>
      </c>
      <c r="K643" s="12" t="str">
        <f t="shared" si="165"/>
        <v/>
      </c>
      <c r="L643" s="12" t="str">
        <f t="shared" si="166"/>
        <v/>
      </c>
      <c r="M643" s="12" t="str">
        <f t="shared" si="160"/>
        <v/>
      </c>
      <c r="N643" s="12" t="str">
        <f t="shared" si="161"/>
        <v/>
      </c>
      <c r="O643" s="12" t="str">
        <f t="shared" si="162"/>
        <v/>
      </c>
      <c r="P643" s="12" t="str">
        <f t="shared" si="163"/>
        <v/>
      </c>
      <c r="Q643" s="12" t="str">
        <f t="shared" si="167"/>
        <v/>
      </c>
      <c r="R643" s="26" t="str">
        <f t="shared" si="164"/>
        <v/>
      </c>
      <c r="S643" s="26" t="str">
        <f t="shared" si="173"/>
        <v/>
      </c>
      <c r="T643" s="26" t="str">
        <f t="shared" si="168"/>
        <v/>
      </c>
      <c r="U643" s="26" t="str">
        <f t="shared" si="169"/>
        <v/>
      </c>
      <c r="V643" s="26" t="str">
        <f t="shared" si="170"/>
        <v/>
      </c>
      <c r="W643" s="20" t="str">
        <f t="shared" si="171"/>
        <v/>
      </c>
      <c r="X643" s="20" t="str">
        <f t="shared" si="172"/>
        <v/>
      </c>
      <c r="Y643" s="86" t="str">
        <f t="shared" si="174"/>
        <v/>
      </c>
      <c r="Z643" s="31"/>
    </row>
    <row r="644" spans="2:26" outlineLevel="1">
      <c r="B644" s="14">
        <f t="shared" si="175"/>
        <v>641</v>
      </c>
      <c r="C644" s="37"/>
      <c r="D644" s="40"/>
      <c r="E644" s="39"/>
      <c r="F644" s="37"/>
      <c r="G644" s="39"/>
      <c r="H644" s="37"/>
      <c r="I644" s="37"/>
      <c r="J644" s="41" t="str">
        <f t="shared" ref="J644:J707" si="176">IF(D644="","",+$E$2*D644)</f>
        <v/>
      </c>
      <c r="K644" s="12" t="str">
        <f t="shared" si="165"/>
        <v/>
      </c>
      <c r="L644" s="12" t="str">
        <f t="shared" si="166"/>
        <v/>
      </c>
      <c r="M644" s="12" t="str">
        <f t="shared" ref="M644:M707" si="177">IF(E644="","",IF($L644="x",E644/12*3.14,(LEFT($E644,FIND("*",$E644)-1)+0)*12/144*2+(RIGHT($E644,LEN($E644)-FIND("*",$E644)))*12/144*2))</f>
        <v/>
      </c>
      <c r="N644" s="12" t="str">
        <f t="shared" ref="N644:N707" si="178">IF(E644="","",M644*IF(I644="y",MAX(0,J644-$AC$13),J644))</f>
        <v/>
      </c>
      <c r="O644" s="12" t="str">
        <f t="shared" ref="O644:O707" si="179">IF(E644="","",$AC$5*N644)</f>
        <v/>
      </c>
      <c r="P644" s="12" t="str">
        <f t="shared" ref="P644:P707" si="180">IF(D644="","",IFERROR(IF(ISERROR(FIND("*",$E644)),0,ROUND((O644*$AC$6),-1)),""))</f>
        <v/>
      </c>
      <c r="Q644" s="12" t="str">
        <f t="shared" si="167"/>
        <v/>
      </c>
      <c r="R644" s="26" t="str">
        <f t="shared" ref="R644:R707" si="181">IF(E644="","",IF(F644="x",N644*$AC$7,0))</f>
        <v/>
      </c>
      <c r="S644" s="26" t="str">
        <f t="shared" si="173"/>
        <v/>
      </c>
      <c r="T644" s="26" t="str">
        <f t="shared" si="168"/>
        <v/>
      </c>
      <c r="U644" s="26" t="str">
        <f t="shared" si="169"/>
        <v/>
      </c>
      <c r="V644" s="26" t="str">
        <f t="shared" si="170"/>
        <v/>
      </c>
      <c r="W644" s="20" t="str">
        <f t="shared" si="171"/>
        <v/>
      </c>
      <c r="X644" s="20" t="str">
        <f t="shared" si="172"/>
        <v/>
      </c>
      <c r="Y644" s="86" t="str">
        <f t="shared" si="174"/>
        <v/>
      </c>
      <c r="Z644" s="31"/>
    </row>
    <row r="645" spans="2:26" outlineLevel="1">
      <c r="B645" s="14">
        <f t="shared" si="175"/>
        <v>642</v>
      </c>
      <c r="C645" s="37"/>
      <c r="D645" s="40"/>
      <c r="E645" s="39"/>
      <c r="F645" s="37"/>
      <c r="G645" s="39"/>
      <c r="H645" s="37"/>
      <c r="I645" s="37"/>
      <c r="J645" s="41" t="str">
        <f t="shared" si="176"/>
        <v/>
      </c>
      <c r="K645" s="12" t="str">
        <f t="shared" ref="K645:K708" si="182">IF($D645="","",IF(ISERROR(FIND("*",$E645)),"","x"))</f>
        <v/>
      </c>
      <c r="L645" s="12" t="str">
        <f t="shared" ref="L645:L708" si="183">IF($D645="","",IF(ISERROR(FIND("*",$E645)),"x",""))</f>
        <v/>
      </c>
      <c r="M645" s="12" t="str">
        <f t="shared" si="177"/>
        <v/>
      </c>
      <c r="N645" s="12" t="str">
        <f t="shared" si="178"/>
        <v/>
      </c>
      <c r="O645" s="12" t="str">
        <f t="shared" si="179"/>
        <v/>
      </c>
      <c r="P645" s="12" t="str">
        <f t="shared" si="180"/>
        <v/>
      </c>
      <c r="Q645" s="12" t="str">
        <f t="shared" ref="Q645:Q708" si="184">IF(D645="","",IFERROR(IF(ISERROR(FIND("*",$E645)),INDEX($AP$5:$AP$16,MATCH($E645,$AL$5:$AL$16,0),1)*$J645,0),""))</f>
        <v/>
      </c>
      <c r="R645" s="26" t="str">
        <f t="shared" si="181"/>
        <v/>
      </c>
      <c r="S645" s="26" t="str">
        <f t="shared" si="173"/>
        <v/>
      </c>
      <c r="T645" s="26" t="str">
        <f t="shared" ref="T645:T708" si="185">IF(E645="","",IF(H645="x",IF(G645="x",0,25),0))</f>
        <v/>
      </c>
      <c r="U645" s="26" t="str">
        <f t="shared" ref="U645:U708" si="186">IF(D645="","",SUM(P645,R645,S645,T645)*$U$2)</f>
        <v/>
      </c>
      <c r="V645" s="26" t="str">
        <f t="shared" ref="V645:V708" si="187">IF(D645="","",SUM($Q645)*$V$2)</f>
        <v/>
      </c>
      <c r="W645" s="20" t="str">
        <f t="shared" ref="W645:W708" si="188">IF($D645="","",SUM(P645:U645))</f>
        <v/>
      </c>
      <c r="X645" s="20" t="str">
        <f t="shared" ref="X645:X708" si="189">IF(J645="","",ROUNDUP(J645*$AC$9+IF(R645=0,0,$AC$8*J645)+IF(G645="x",$AC$12,0)+IF(H645="x",0.5*25,0),-1))</f>
        <v/>
      </c>
      <c r="Y645" s="86" t="str">
        <f t="shared" si="174"/>
        <v/>
      </c>
      <c r="Z645" s="31"/>
    </row>
    <row r="646" spans="2:26" outlineLevel="1">
      <c r="B646" s="14">
        <f t="shared" si="175"/>
        <v>643</v>
      </c>
      <c r="C646" s="37"/>
      <c r="D646" s="40"/>
      <c r="E646" s="39"/>
      <c r="F646" s="37"/>
      <c r="G646" s="39"/>
      <c r="H646" s="37"/>
      <c r="I646" s="37"/>
      <c r="J646" s="41" t="str">
        <f t="shared" si="176"/>
        <v/>
      </c>
      <c r="K646" s="12" t="str">
        <f t="shared" si="182"/>
        <v/>
      </c>
      <c r="L646" s="12" t="str">
        <f t="shared" si="183"/>
        <v/>
      </c>
      <c r="M646" s="12" t="str">
        <f t="shared" si="177"/>
        <v/>
      </c>
      <c r="N646" s="12" t="str">
        <f t="shared" si="178"/>
        <v/>
      </c>
      <c r="O646" s="12" t="str">
        <f t="shared" si="179"/>
        <v/>
      </c>
      <c r="P646" s="12" t="str">
        <f t="shared" si="180"/>
        <v/>
      </c>
      <c r="Q646" s="12" t="str">
        <f t="shared" si="184"/>
        <v/>
      </c>
      <c r="R646" s="26" t="str">
        <f t="shared" si="181"/>
        <v/>
      </c>
      <c r="S646" s="26" t="str">
        <f t="shared" ref="S646:S709" si="190">IF(E646="","",IF(I646="x",$AC$13*INDEX($AN$19:$AN$30,MATCH($E646,$AL$19:$AL$30,0),1)*1.25,0))</f>
        <v/>
      </c>
      <c r="T646" s="26" t="str">
        <f t="shared" si="185"/>
        <v/>
      </c>
      <c r="U646" s="26" t="str">
        <f t="shared" si="186"/>
        <v/>
      </c>
      <c r="V646" s="26" t="str">
        <f t="shared" si="187"/>
        <v/>
      </c>
      <c r="W646" s="20" t="str">
        <f t="shared" si="188"/>
        <v/>
      </c>
      <c r="X646" s="20" t="str">
        <f t="shared" si="189"/>
        <v/>
      </c>
      <c r="Y646" s="86" t="str">
        <f t="shared" si="174"/>
        <v/>
      </c>
      <c r="Z646" s="31"/>
    </row>
    <row r="647" spans="2:26" outlineLevel="1">
      <c r="B647" s="14">
        <f t="shared" si="175"/>
        <v>644</v>
      </c>
      <c r="C647" s="37"/>
      <c r="D647" s="40"/>
      <c r="E647" s="39"/>
      <c r="F647" s="37"/>
      <c r="G647" s="39"/>
      <c r="H647" s="37"/>
      <c r="I647" s="37"/>
      <c r="J647" s="41" t="str">
        <f t="shared" si="176"/>
        <v/>
      </c>
      <c r="K647" s="12" t="str">
        <f t="shared" si="182"/>
        <v/>
      </c>
      <c r="L647" s="12" t="str">
        <f t="shared" si="183"/>
        <v/>
      </c>
      <c r="M647" s="12" t="str">
        <f t="shared" si="177"/>
        <v/>
      </c>
      <c r="N647" s="12" t="str">
        <f t="shared" si="178"/>
        <v/>
      </c>
      <c r="O647" s="12" t="str">
        <f t="shared" si="179"/>
        <v/>
      </c>
      <c r="P647" s="12" t="str">
        <f t="shared" si="180"/>
        <v/>
      </c>
      <c r="Q647" s="12" t="str">
        <f t="shared" si="184"/>
        <v/>
      </c>
      <c r="R647" s="26" t="str">
        <f t="shared" si="181"/>
        <v/>
      </c>
      <c r="S647" s="26" t="str">
        <f t="shared" si="190"/>
        <v/>
      </c>
      <c r="T647" s="26" t="str">
        <f t="shared" si="185"/>
        <v/>
      </c>
      <c r="U647" s="26" t="str">
        <f t="shared" si="186"/>
        <v/>
      </c>
      <c r="V647" s="26" t="str">
        <f t="shared" si="187"/>
        <v/>
      </c>
      <c r="W647" s="20" t="str">
        <f t="shared" si="188"/>
        <v/>
      </c>
      <c r="X647" s="20" t="str">
        <f t="shared" si="189"/>
        <v/>
      </c>
      <c r="Y647" s="86" t="str">
        <f t="shared" si="174"/>
        <v/>
      </c>
      <c r="Z647" s="31"/>
    </row>
    <row r="648" spans="2:26" outlineLevel="1">
      <c r="B648" s="14">
        <f t="shared" si="175"/>
        <v>645</v>
      </c>
      <c r="C648" s="37"/>
      <c r="D648" s="40"/>
      <c r="E648" s="39"/>
      <c r="F648" s="37"/>
      <c r="G648" s="39"/>
      <c r="H648" s="37"/>
      <c r="I648" s="37"/>
      <c r="J648" s="41" t="str">
        <f t="shared" si="176"/>
        <v/>
      </c>
      <c r="K648" s="12" t="str">
        <f t="shared" si="182"/>
        <v/>
      </c>
      <c r="L648" s="12" t="str">
        <f t="shared" si="183"/>
        <v/>
      </c>
      <c r="M648" s="12" t="str">
        <f t="shared" si="177"/>
        <v/>
      </c>
      <c r="N648" s="12" t="str">
        <f t="shared" si="178"/>
        <v/>
      </c>
      <c r="O648" s="12" t="str">
        <f t="shared" si="179"/>
        <v/>
      </c>
      <c r="P648" s="12" t="str">
        <f t="shared" si="180"/>
        <v/>
      </c>
      <c r="Q648" s="12" t="str">
        <f t="shared" si="184"/>
        <v/>
      </c>
      <c r="R648" s="26" t="str">
        <f t="shared" si="181"/>
        <v/>
      </c>
      <c r="S648" s="26" t="str">
        <f t="shared" si="190"/>
        <v/>
      </c>
      <c r="T648" s="26" t="str">
        <f t="shared" si="185"/>
        <v/>
      </c>
      <c r="U648" s="26" t="str">
        <f t="shared" si="186"/>
        <v/>
      </c>
      <c r="V648" s="26" t="str">
        <f t="shared" si="187"/>
        <v/>
      </c>
      <c r="W648" s="20" t="str">
        <f t="shared" si="188"/>
        <v/>
      </c>
      <c r="X648" s="20" t="str">
        <f t="shared" si="189"/>
        <v/>
      </c>
      <c r="Y648" s="86" t="str">
        <f t="shared" si="174"/>
        <v/>
      </c>
      <c r="Z648" s="31"/>
    </row>
    <row r="649" spans="2:26" outlineLevel="1">
      <c r="B649" s="14">
        <f t="shared" si="175"/>
        <v>646</v>
      </c>
      <c r="C649" s="37"/>
      <c r="D649" s="40"/>
      <c r="E649" s="39"/>
      <c r="F649" s="37"/>
      <c r="G649" s="39"/>
      <c r="H649" s="37"/>
      <c r="I649" s="37"/>
      <c r="J649" s="41" t="str">
        <f t="shared" si="176"/>
        <v/>
      </c>
      <c r="K649" s="12" t="str">
        <f t="shared" si="182"/>
        <v/>
      </c>
      <c r="L649" s="12" t="str">
        <f t="shared" si="183"/>
        <v/>
      </c>
      <c r="M649" s="12" t="str">
        <f t="shared" si="177"/>
        <v/>
      </c>
      <c r="N649" s="12" t="str">
        <f t="shared" si="178"/>
        <v/>
      </c>
      <c r="O649" s="12" t="str">
        <f t="shared" si="179"/>
        <v/>
      </c>
      <c r="P649" s="12" t="str">
        <f t="shared" si="180"/>
        <v/>
      </c>
      <c r="Q649" s="12" t="str">
        <f t="shared" si="184"/>
        <v/>
      </c>
      <c r="R649" s="26" t="str">
        <f t="shared" si="181"/>
        <v/>
      </c>
      <c r="S649" s="26" t="str">
        <f t="shared" si="190"/>
        <v/>
      </c>
      <c r="T649" s="26" t="str">
        <f t="shared" si="185"/>
        <v/>
      </c>
      <c r="U649" s="26" t="str">
        <f t="shared" si="186"/>
        <v/>
      </c>
      <c r="V649" s="26" t="str">
        <f t="shared" si="187"/>
        <v/>
      </c>
      <c r="W649" s="20" t="str">
        <f t="shared" si="188"/>
        <v/>
      </c>
      <c r="X649" s="20" t="str">
        <f t="shared" si="189"/>
        <v/>
      </c>
      <c r="Y649" s="86" t="str">
        <f t="shared" si="174"/>
        <v/>
      </c>
      <c r="Z649" s="31"/>
    </row>
    <row r="650" spans="2:26" outlineLevel="1">
      <c r="B650" s="14">
        <f t="shared" si="175"/>
        <v>647</v>
      </c>
      <c r="C650" s="37"/>
      <c r="D650" s="40"/>
      <c r="E650" s="39"/>
      <c r="F650" s="37"/>
      <c r="G650" s="39"/>
      <c r="H650" s="37"/>
      <c r="I650" s="37"/>
      <c r="J650" s="41" t="str">
        <f t="shared" si="176"/>
        <v/>
      </c>
      <c r="K650" s="12" t="str">
        <f t="shared" si="182"/>
        <v/>
      </c>
      <c r="L650" s="12" t="str">
        <f t="shared" si="183"/>
        <v/>
      </c>
      <c r="M650" s="12" t="str">
        <f t="shared" si="177"/>
        <v/>
      </c>
      <c r="N650" s="12" t="str">
        <f t="shared" si="178"/>
        <v/>
      </c>
      <c r="O650" s="12" t="str">
        <f t="shared" si="179"/>
        <v/>
      </c>
      <c r="P650" s="12" t="str">
        <f t="shared" si="180"/>
        <v/>
      </c>
      <c r="Q650" s="12" t="str">
        <f t="shared" si="184"/>
        <v/>
      </c>
      <c r="R650" s="26" t="str">
        <f t="shared" si="181"/>
        <v/>
      </c>
      <c r="S650" s="26" t="str">
        <f t="shared" si="190"/>
        <v/>
      </c>
      <c r="T650" s="26" t="str">
        <f t="shared" si="185"/>
        <v/>
      </c>
      <c r="U650" s="26" t="str">
        <f t="shared" si="186"/>
        <v/>
      </c>
      <c r="V650" s="26" t="str">
        <f t="shared" si="187"/>
        <v/>
      </c>
      <c r="W650" s="20" t="str">
        <f t="shared" si="188"/>
        <v/>
      </c>
      <c r="X650" s="20" t="str">
        <f t="shared" si="189"/>
        <v/>
      </c>
      <c r="Y650" s="86" t="str">
        <f t="shared" si="174"/>
        <v/>
      </c>
      <c r="Z650" s="31"/>
    </row>
    <row r="651" spans="2:26" outlineLevel="1">
      <c r="B651" s="14">
        <f t="shared" si="175"/>
        <v>648</v>
      </c>
      <c r="C651" s="37"/>
      <c r="D651" s="40"/>
      <c r="E651" s="39"/>
      <c r="F651" s="37"/>
      <c r="G651" s="39"/>
      <c r="H651" s="37"/>
      <c r="I651" s="37"/>
      <c r="J651" s="41" t="str">
        <f t="shared" si="176"/>
        <v/>
      </c>
      <c r="K651" s="12" t="str">
        <f t="shared" si="182"/>
        <v/>
      </c>
      <c r="L651" s="12" t="str">
        <f t="shared" si="183"/>
        <v/>
      </c>
      <c r="M651" s="12" t="str">
        <f t="shared" si="177"/>
        <v/>
      </c>
      <c r="N651" s="12" t="str">
        <f t="shared" si="178"/>
        <v/>
      </c>
      <c r="O651" s="12" t="str">
        <f t="shared" si="179"/>
        <v/>
      </c>
      <c r="P651" s="12" t="str">
        <f t="shared" si="180"/>
        <v/>
      </c>
      <c r="Q651" s="12" t="str">
        <f t="shared" si="184"/>
        <v/>
      </c>
      <c r="R651" s="26" t="str">
        <f t="shared" si="181"/>
        <v/>
      </c>
      <c r="S651" s="26" t="str">
        <f t="shared" si="190"/>
        <v/>
      </c>
      <c r="T651" s="26" t="str">
        <f t="shared" si="185"/>
        <v/>
      </c>
      <c r="U651" s="26" t="str">
        <f t="shared" si="186"/>
        <v/>
      </c>
      <c r="V651" s="26" t="str">
        <f t="shared" si="187"/>
        <v/>
      </c>
      <c r="W651" s="20" t="str">
        <f t="shared" si="188"/>
        <v/>
      </c>
      <c r="X651" s="20" t="str">
        <f t="shared" si="189"/>
        <v/>
      </c>
      <c r="Y651" s="86" t="str">
        <f t="shared" si="174"/>
        <v/>
      </c>
      <c r="Z651" s="31"/>
    </row>
    <row r="652" spans="2:26" outlineLevel="1">
      <c r="B652" s="14">
        <f t="shared" si="175"/>
        <v>649</v>
      </c>
      <c r="C652" s="37"/>
      <c r="D652" s="40"/>
      <c r="E652" s="39"/>
      <c r="F652" s="37"/>
      <c r="G652" s="39"/>
      <c r="H652" s="37"/>
      <c r="I652" s="37"/>
      <c r="J652" s="41" t="str">
        <f t="shared" si="176"/>
        <v/>
      </c>
      <c r="K652" s="12" t="str">
        <f t="shared" si="182"/>
        <v/>
      </c>
      <c r="L652" s="12" t="str">
        <f t="shared" si="183"/>
        <v/>
      </c>
      <c r="M652" s="12" t="str">
        <f t="shared" si="177"/>
        <v/>
      </c>
      <c r="N652" s="12" t="str">
        <f t="shared" si="178"/>
        <v/>
      </c>
      <c r="O652" s="12" t="str">
        <f t="shared" si="179"/>
        <v/>
      </c>
      <c r="P652" s="12" t="str">
        <f t="shared" si="180"/>
        <v/>
      </c>
      <c r="Q652" s="12" t="str">
        <f t="shared" si="184"/>
        <v/>
      </c>
      <c r="R652" s="26" t="str">
        <f t="shared" si="181"/>
        <v/>
      </c>
      <c r="S652" s="26" t="str">
        <f t="shared" si="190"/>
        <v/>
      </c>
      <c r="T652" s="26" t="str">
        <f t="shared" si="185"/>
        <v/>
      </c>
      <c r="U652" s="26" t="str">
        <f t="shared" si="186"/>
        <v/>
      </c>
      <c r="V652" s="26" t="str">
        <f t="shared" si="187"/>
        <v/>
      </c>
      <c r="W652" s="20" t="str">
        <f t="shared" si="188"/>
        <v/>
      </c>
      <c r="X652" s="20" t="str">
        <f t="shared" si="189"/>
        <v/>
      </c>
      <c r="Y652" s="86" t="str">
        <f t="shared" si="174"/>
        <v/>
      </c>
      <c r="Z652" s="31"/>
    </row>
    <row r="653" spans="2:26" outlineLevel="1">
      <c r="B653" s="14">
        <f t="shared" si="175"/>
        <v>650</v>
      </c>
      <c r="C653" s="37"/>
      <c r="D653" s="40"/>
      <c r="E653" s="39"/>
      <c r="F653" s="37"/>
      <c r="G653" s="39"/>
      <c r="H653" s="37"/>
      <c r="I653" s="37"/>
      <c r="J653" s="41" t="str">
        <f t="shared" si="176"/>
        <v/>
      </c>
      <c r="K653" s="12" t="str">
        <f t="shared" si="182"/>
        <v/>
      </c>
      <c r="L653" s="12" t="str">
        <f t="shared" si="183"/>
        <v/>
      </c>
      <c r="M653" s="12" t="str">
        <f t="shared" si="177"/>
        <v/>
      </c>
      <c r="N653" s="12" t="str">
        <f t="shared" si="178"/>
        <v/>
      </c>
      <c r="O653" s="12" t="str">
        <f t="shared" si="179"/>
        <v/>
      </c>
      <c r="P653" s="12" t="str">
        <f t="shared" si="180"/>
        <v/>
      </c>
      <c r="Q653" s="12" t="str">
        <f t="shared" si="184"/>
        <v/>
      </c>
      <c r="R653" s="26" t="str">
        <f t="shared" si="181"/>
        <v/>
      </c>
      <c r="S653" s="26" t="str">
        <f t="shared" si="190"/>
        <v/>
      </c>
      <c r="T653" s="26" t="str">
        <f t="shared" si="185"/>
        <v/>
      </c>
      <c r="U653" s="26" t="str">
        <f t="shared" si="186"/>
        <v/>
      </c>
      <c r="V653" s="26" t="str">
        <f t="shared" si="187"/>
        <v/>
      </c>
      <c r="W653" s="20" t="str">
        <f t="shared" si="188"/>
        <v/>
      </c>
      <c r="X653" s="20" t="str">
        <f t="shared" si="189"/>
        <v/>
      </c>
      <c r="Y653" s="86" t="str">
        <f t="shared" si="174"/>
        <v/>
      </c>
      <c r="Z653" s="31"/>
    </row>
    <row r="654" spans="2:26" outlineLevel="1">
      <c r="B654" s="14">
        <f t="shared" si="175"/>
        <v>651</v>
      </c>
      <c r="C654" s="37"/>
      <c r="D654" s="40"/>
      <c r="E654" s="39"/>
      <c r="F654" s="37"/>
      <c r="G654" s="39"/>
      <c r="H654" s="37"/>
      <c r="I654" s="37"/>
      <c r="J654" s="41" t="str">
        <f t="shared" si="176"/>
        <v/>
      </c>
      <c r="K654" s="12" t="str">
        <f t="shared" si="182"/>
        <v/>
      </c>
      <c r="L654" s="12" t="str">
        <f t="shared" si="183"/>
        <v/>
      </c>
      <c r="M654" s="12" t="str">
        <f t="shared" si="177"/>
        <v/>
      </c>
      <c r="N654" s="12" t="str">
        <f t="shared" si="178"/>
        <v/>
      </c>
      <c r="O654" s="12" t="str">
        <f t="shared" si="179"/>
        <v/>
      </c>
      <c r="P654" s="12" t="str">
        <f t="shared" si="180"/>
        <v/>
      </c>
      <c r="Q654" s="12" t="str">
        <f t="shared" si="184"/>
        <v/>
      </c>
      <c r="R654" s="26" t="str">
        <f t="shared" si="181"/>
        <v/>
      </c>
      <c r="S654" s="26" t="str">
        <f t="shared" si="190"/>
        <v/>
      </c>
      <c r="T654" s="26" t="str">
        <f t="shared" si="185"/>
        <v/>
      </c>
      <c r="U654" s="26" t="str">
        <f t="shared" si="186"/>
        <v/>
      </c>
      <c r="V654" s="26" t="str">
        <f t="shared" si="187"/>
        <v/>
      </c>
      <c r="W654" s="20" t="str">
        <f t="shared" si="188"/>
        <v/>
      </c>
      <c r="X654" s="20" t="str">
        <f t="shared" si="189"/>
        <v/>
      </c>
      <c r="Y654" s="86" t="str">
        <f t="shared" si="174"/>
        <v/>
      </c>
      <c r="Z654" s="31"/>
    </row>
    <row r="655" spans="2:26" outlineLevel="1">
      <c r="B655" s="14">
        <f t="shared" si="175"/>
        <v>652</v>
      </c>
      <c r="C655" s="37"/>
      <c r="D655" s="40"/>
      <c r="E655" s="39"/>
      <c r="F655" s="37"/>
      <c r="G655" s="39"/>
      <c r="H655" s="37"/>
      <c r="I655" s="37"/>
      <c r="J655" s="41" t="str">
        <f t="shared" si="176"/>
        <v/>
      </c>
      <c r="K655" s="12" t="str">
        <f t="shared" si="182"/>
        <v/>
      </c>
      <c r="L655" s="12" t="str">
        <f t="shared" si="183"/>
        <v/>
      </c>
      <c r="M655" s="12" t="str">
        <f t="shared" si="177"/>
        <v/>
      </c>
      <c r="N655" s="12" t="str">
        <f t="shared" si="178"/>
        <v/>
      </c>
      <c r="O655" s="12" t="str">
        <f t="shared" si="179"/>
        <v/>
      </c>
      <c r="P655" s="12" t="str">
        <f t="shared" si="180"/>
        <v/>
      </c>
      <c r="Q655" s="12" t="str">
        <f t="shared" si="184"/>
        <v/>
      </c>
      <c r="R655" s="26" t="str">
        <f t="shared" si="181"/>
        <v/>
      </c>
      <c r="S655" s="26" t="str">
        <f t="shared" si="190"/>
        <v/>
      </c>
      <c r="T655" s="26" t="str">
        <f t="shared" si="185"/>
        <v/>
      </c>
      <c r="U655" s="26" t="str">
        <f t="shared" si="186"/>
        <v/>
      </c>
      <c r="V655" s="26" t="str">
        <f t="shared" si="187"/>
        <v/>
      </c>
      <c r="W655" s="20" t="str">
        <f t="shared" si="188"/>
        <v/>
      </c>
      <c r="X655" s="20" t="str">
        <f t="shared" si="189"/>
        <v/>
      </c>
      <c r="Y655" s="86" t="str">
        <f t="shared" si="174"/>
        <v/>
      </c>
      <c r="Z655" s="31"/>
    </row>
    <row r="656" spans="2:26" outlineLevel="1">
      <c r="B656" s="14">
        <f t="shared" si="175"/>
        <v>653</v>
      </c>
      <c r="C656" s="37"/>
      <c r="D656" s="40"/>
      <c r="E656" s="39"/>
      <c r="F656" s="37"/>
      <c r="G656" s="39"/>
      <c r="H656" s="37"/>
      <c r="I656" s="37"/>
      <c r="J656" s="41" t="str">
        <f t="shared" si="176"/>
        <v/>
      </c>
      <c r="K656" s="12" t="str">
        <f t="shared" si="182"/>
        <v/>
      </c>
      <c r="L656" s="12" t="str">
        <f t="shared" si="183"/>
        <v/>
      </c>
      <c r="M656" s="12" t="str">
        <f t="shared" si="177"/>
        <v/>
      </c>
      <c r="N656" s="12" t="str">
        <f t="shared" si="178"/>
        <v/>
      </c>
      <c r="O656" s="12" t="str">
        <f t="shared" si="179"/>
        <v/>
      </c>
      <c r="P656" s="12" t="str">
        <f t="shared" si="180"/>
        <v/>
      </c>
      <c r="Q656" s="12" t="str">
        <f t="shared" si="184"/>
        <v/>
      </c>
      <c r="R656" s="26" t="str">
        <f t="shared" si="181"/>
        <v/>
      </c>
      <c r="S656" s="26" t="str">
        <f t="shared" si="190"/>
        <v/>
      </c>
      <c r="T656" s="26" t="str">
        <f t="shared" si="185"/>
        <v/>
      </c>
      <c r="U656" s="26" t="str">
        <f t="shared" si="186"/>
        <v/>
      </c>
      <c r="V656" s="26" t="str">
        <f t="shared" si="187"/>
        <v/>
      </c>
      <c r="W656" s="20" t="str">
        <f t="shared" si="188"/>
        <v/>
      </c>
      <c r="X656" s="20" t="str">
        <f t="shared" si="189"/>
        <v/>
      </c>
      <c r="Y656" s="86" t="str">
        <f t="shared" ref="Y656:Y719" si="191">IFERROR(+W656+X656,"")</f>
        <v/>
      </c>
      <c r="Z656" s="31"/>
    </row>
    <row r="657" spans="2:26" outlineLevel="1">
      <c r="B657" s="14">
        <f t="shared" si="175"/>
        <v>654</v>
      </c>
      <c r="C657" s="37"/>
      <c r="D657" s="40"/>
      <c r="E657" s="39"/>
      <c r="F657" s="37"/>
      <c r="G657" s="39"/>
      <c r="H657" s="37"/>
      <c r="I657" s="37"/>
      <c r="J657" s="41" t="str">
        <f t="shared" si="176"/>
        <v/>
      </c>
      <c r="K657" s="12" t="str">
        <f t="shared" si="182"/>
        <v/>
      </c>
      <c r="L657" s="12" t="str">
        <f t="shared" si="183"/>
        <v/>
      </c>
      <c r="M657" s="12" t="str">
        <f t="shared" si="177"/>
        <v/>
      </c>
      <c r="N657" s="12" t="str">
        <f t="shared" si="178"/>
        <v/>
      </c>
      <c r="O657" s="12" t="str">
        <f t="shared" si="179"/>
        <v/>
      </c>
      <c r="P657" s="12" t="str">
        <f t="shared" si="180"/>
        <v/>
      </c>
      <c r="Q657" s="12" t="str">
        <f t="shared" si="184"/>
        <v/>
      </c>
      <c r="R657" s="26" t="str">
        <f t="shared" si="181"/>
        <v/>
      </c>
      <c r="S657" s="26" t="str">
        <f t="shared" si="190"/>
        <v/>
      </c>
      <c r="T657" s="26" t="str">
        <f t="shared" si="185"/>
        <v/>
      </c>
      <c r="U657" s="26" t="str">
        <f t="shared" si="186"/>
        <v/>
      </c>
      <c r="V657" s="26" t="str">
        <f t="shared" si="187"/>
        <v/>
      </c>
      <c r="W657" s="20" t="str">
        <f t="shared" si="188"/>
        <v/>
      </c>
      <c r="X657" s="20" t="str">
        <f t="shared" si="189"/>
        <v/>
      </c>
      <c r="Y657" s="86" t="str">
        <f t="shared" si="191"/>
        <v/>
      </c>
      <c r="Z657" s="31"/>
    </row>
    <row r="658" spans="2:26" outlineLevel="1">
      <c r="B658" s="14">
        <f t="shared" si="175"/>
        <v>655</v>
      </c>
      <c r="C658" s="37"/>
      <c r="D658" s="40"/>
      <c r="E658" s="39"/>
      <c r="F658" s="37"/>
      <c r="G658" s="39"/>
      <c r="H658" s="37"/>
      <c r="I658" s="37"/>
      <c r="J658" s="41" t="str">
        <f t="shared" si="176"/>
        <v/>
      </c>
      <c r="K658" s="12" t="str">
        <f t="shared" si="182"/>
        <v/>
      </c>
      <c r="L658" s="12" t="str">
        <f t="shared" si="183"/>
        <v/>
      </c>
      <c r="M658" s="12" t="str">
        <f t="shared" si="177"/>
        <v/>
      </c>
      <c r="N658" s="12" t="str">
        <f t="shared" si="178"/>
        <v/>
      </c>
      <c r="O658" s="12" t="str">
        <f t="shared" si="179"/>
        <v/>
      </c>
      <c r="P658" s="12" t="str">
        <f t="shared" si="180"/>
        <v/>
      </c>
      <c r="Q658" s="12" t="str">
        <f t="shared" si="184"/>
        <v/>
      </c>
      <c r="R658" s="26" t="str">
        <f t="shared" si="181"/>
        <v/>
      </c>
      <c r="S658" s="26" t="str">
        <f t="shared" si="190"/>
        <v/>
      </c>
      <c r="T658" s="26" t="str">
        <f t="shared" si="185"/>
        <v/>
      </c>
      <c r="U658" s="26" t="str">
        <f t="shared" si="186"/>
        <v/>
      </c>
      <c r="V658" s="26" t="str">
        <f t="shared" si="187"/>
        <v/>
      </c>
      <c r="W658" s="20" t="str">
        <f t="shared" si="188"/>
        <v/>
      </c>
      <c r="X658" s="20" t="str">
        <f t="shared" si="189"/>
        <v/>
      </c>
      <c r="Y658" s="86" t="str">
        <f t="shared" si="191"/>
        <v/>
      </c>
      <c r="Z658" s="31"/>
    </row>
    <row r="659" spans="2:26" outlineLevel="1">
      <c r="B659" s="14">
        <f t="shared" si="175"/>
        <v>656</v>
      </c>
      <c r="C659" s="37"/>
      <c r="D659" s="40"/>
      <c r="E659" s="39"/>
      <c r="F659" s="37"/>
      <c r="G659" s="39"/>
      <c r="H659" s="37"/>
      <c r="I659" s="37"/>
      <c r="J659" s="41" t="str">
        <f t="shared" si="176"/>
        <v/>
      </c>
      <c r="K659" s="12" t="str">
        <f t="shared" si="182"/>
        <v/>
      </c>
      <c r="L659" s="12" t="str">
        <f t="shared" si="183"/>
        <v/>
      </c>
      <c r="M659" s="12" t="str">
        <f t="shared" si="177"/>
        <v/>
      </c>
      <c r="N659" s="12" t="str">
        <f t="shared" si="178"/>
        <v/>
      </c>
      <c r="O659" s="12" t="str">
        <f t="shared" si="179"/>
        <v/>
      </c>
      <c r="P659" s="12" t="str">
        <f t="shared" si="180"/>
        <v/>
      </c>
      <c r="Q659" s="12" t="str">
        <f t="shared" si="184"/>
        <v/>
      </c>
      <c r="R659" s="26" t="str">
        <f t="shared" si="181"/>
        <v/>
      </c>
      <c r="S659" s="26" t="str">
        <f t="shared" si="190"/>
        <v/>
      </c>
      <c r="T659" s="26" t="str">
        <f t="shared" si="185"/>
        <v/>
      </c>
      <c r="U659" s="26" t="str">
        <f t="shared" si="186"/>
        <v/>
      </c>
      <c r="V659" s="26" t="str">
        <f t="shared" si="187"/>
        <v/>
      </c>
      <c r="W659" s="20" t="str">
        <f t="shared" si="188"/>
        <v/>
      </c>
      <c r="X659" s="20" t="str">
        <f t="shared" si="189"/>
        <v/>
      </c>
      <c r="Y659" s="86" t="str">
        <f t="shared" si="191"/>
        <v/>
      </c>
      <c r="Z659" s="31"/>
    </row>
    <row r="660" spans="2:26" outlineLevel="1">
      <c r="B660" s="14">
        <f t="shared" si="175"/>
        <v>657</v>
      </c>
      <c r="C660" s="37"/>
      <c r="D660" s="40"/>
      <c r="E660" s="39"/>
      <c r="F660" s="37"/>
      <c r="G660" s="39"/>
      <c r="H660" s="37"/>
      <c r="I660" s="37"/>
      <c r="J660" s="41" t="str">
        <f t="shared" si="176"/>
        <v/>
      </c>
      <c r="K660" s="12" t="str">
        <f t="shared" si="182"/>
        <v/>
      </c>
      <c r="L660" s="12" t="str">
        <f t="shared" si="183"/>
        <v/>
      </c>
      <c r="M660" s="12" t="str">
        <f t="shared" si="177"/>
        <v/>
      </c>
      <c r="N660" s="12" t="str">
        <f t="shared" si="178"/>
        <v/>
      </c>
      <c r="O660" s="12" t="str">
        <f t="shared" si="179"/>
        <v/>
      </c>
      <c r="P660" s="12" t="str">
        <f t="shared" si="180"/>
        <v/>
      </c>
      <c r="Q660" s="12" t="str">
        <f t="shared" si="184"/>
        <v/>
      </c>
      <c r="R660" s="26" t="str">
        <f t="shared" si="181"/>
        <v/>
      </c>
      <c r="S660" s="26" t="str">
        <f t="shared" si="190"/>
        <v/>
      </c>
      <c r="T660" s="26" t="str">
        <f t="shared" si="185"/>
        <v/>
      </c>
      <c r="U660" s="26" t="str">
        <f t="shared" si="186"/>
        <v/>
      </c>
      <c r="V660" s="26" t="str">
        <f t="shared" si="187"/>
        <v/>
      </c>
      <c r="W660" s="20" t="str">
        <f t="shared" si="188"/>
        <v/>
      </c>
      <c r="X660" s="20" t="str">
        <f t="shared" si="189"/>
        <v/>
      </c>
      <c r="Y660" s="86" t="str">
        <f t="shared" si="191"/>
        <v/>
      </c>
      <c r="Z660" s="31"/>
    </row>
    <row r="661" spans="2:26" outlineLevel="1">
      <c r="B661" s="14">
        <f t="shared" si="175"/>
        <v>658</v>
      </c>
      <c r="C661" s="37"/>
      <c r="D661" s="40"/>
      <c r="E661" s="39"/>
      <c r="F661" s="37"/>
      <c r="G661" s="39"/>
      <c r="H661" s="37"/>
      <c r="I661" s="37"/>
      <c r="J661" s="41" t="str">
        <f t="shared" si="176"/>
        <v/>
      </c>
      <c r="K661" s="12" t="str">
        <f t="shared" si="182"/>
        <v/>
      </c>
      <c r="L661" s="12" t="str">
        <f t="shared" si="183"/>
        <v/>
      </c>
      <c r="M661" s="12" t="str">
        <f t="shared" si="177"/>
        <v/>
      </c>
      <c r="N661" s="12" t="str">
        <f t="shared" si="178"/>
        <v/>
      </c>
      <c r="O661" s="12" t="str">
        <f t="shared" si="179"/>
        <v/>
      </c>
      <c r="P661" s="12" t="str">
        <f t="shared" si="180"/>
        <v/>
      </c>
      <c r="Q661" s="12" t="str">
        <f t="shared" si="184"/>
        <v/>
      </c>
      <c r="R661" s="26" t="str">
        <f t="shared" si="181"/>
        <v/>
      </c>
      <c r="S661" s="26" t="str">
        <f t="shared" si="190"/>
        <v/>
      </c>
      <c r="T661" s="26" t="str">
        <f t="shared" si="185"/>
        <v/>
      </c>
      <c r="U661" s="26" t="str">
        <f t="shared" si="186"/>
        <v/>
      </c>
      <c r="V661" s="26" t="str">
        <f t="shared" si="187"/>
        <v/>
      </c>
      <c r="W661" s="20" t="str">
        <f t="shared" si="188"/>
        <v/>
      </c>
      <c r="X661" s="20" t="str">
        <f t="shared" si="189"/>
        <v/>
      </c>
      <c r="Y661" s="86" t="str">
        <f t="shared" si="191"/>
        <v/>
      </c>
      <c r="Z661" s="31"/>
    </row>
    <row r="662" spans="2:26" outlineLevel="1">
      <c r="B662" s="14">
        <f t="shared" si="175"/>
        <v>659</v>
      </c>
      <c r="C662" s="37"/>
      <c r="D662" s="40"/>
      <c r="E662" s="39"/>
      <c r="F662" s="37"/>
      <c r="G662" s="39"/>
      <c r="H662" s="37"/>
      <c r="I662" s="37"/>
      <c r="J662" s="41" t="str">
        <f t="shared" si="176"/>
        <v/>
      </c>
      <c r="K662" s="12" t="str">
        <f t="shared" si="182"/>
        <v/>
      </c>
      <c r="L662" s="12" t="str">
        <f t="shared" si="183"/>
        <v/>
      </c>
      <c r="M662" s="12" t="str">
        <f t="shared" si="177"/>
        <v/>
      </c>
      <c r="N662" s="12" t="str">
        <f t="shared" si="178"/>
        <v/>
      </c>
      <c r="O662" s="12" t="str">
        <f t="shared" si="179"/>
        <v/>
      </c>
      <c r="P662" s="12" t="str">
        <f t="shared" si="180"/>
        <v/>
      </c>
      <c r="Q662" s="12" t="str">
        <f t="shared" si="184"/>
        <v/>
      </c>
      <c r="R662" s="26" t="str">
        <f t="shared" si="181"/>
        <v/>
      </c>
      <c r="S662" s="26" t="str">
        <f t="shared" si="190"/>
        <v/>
      </c>
      <c r="T662" s="26" t="str">
        <f t="shared" si="185"/>
        <v/>
      </c>
      <c r="U662" s="26" t="str">
        <f t="shared" si="186"/>
        <v/>
      </c>
      <c r="V662" s="26" t="str">
        <f t="shared" si="187"/>
        <v/>
      </c>
      <c r="W662" s="20" t="str">
        <f t="shared" si="188"/>
        <v/>
      </c>
      <c r="X662" s="20" t="str">
        <f t="shared" si="189"/>
        <v/>
      </c>
      <c r="Y662" s="86" t="str">
        <f t="shared" si="191"/>
        <v/>
      </c>
      <c r="Z662" s="31"/>
    </row>
    <row r="663" spans="2:26" outlineLevel="1">
      <c r="B663" s="14">
        <f t="shared" si="175"/>
        <v>660</v>
      </c>
      <c r="C663" s="37"/>
      <c r="D663" s="40"/>
      <c r="E663" s="39"/>
      <c r="F663" s="37"/>
      <c r="G663" s="39"/>
      <c r="H663" s="37"/>
      <c r="I663" s="37"/>
      <c r="J663" s="41" t="str">
        <f t="shared" si="176"/>
        <v/>
      </c>
      <c r="K663" s="12" t="str">
        <f t="shared" si="182"/>
        <v/>
      </c>
      <c r="L663" s="12" t="str">
        <f t="shared" si="183"/>
        <v/>
      </c>
      <c r="M663" s="12" t="str">
        <f t="shared" si="177"/>
        <v/>
      </c>
      <c r="N663" s="12" t="str">
        <f t="shared" si="178"/>
        <v/>
      </c>
      <c r="O663" s="12" t="str">
        <f t="shared" si="179"/>
        <v/>
      </c>
      <c r="P663" s="12" t="str">
        <f t="shared" si="180"/>
        <v/>
      </c>
      <c r="Q663" s="12" t="str">
        <f t="shared" si="184"/>
        <v/>
      </c>
      <c r="R663" s="26" t="str">
        <f t="shared" si="181"/>
        <v/>
      </c>
      <c r="S663" s="26" t="str">
        <f t="shared" si="190"/>
        <v/>
      </c>
      <c r="T663" s="26" t="str">
        <f t="shared" si="185"/>
        <v/>
      </c>
      <c r="U663" s="26" t="str">
        <f t="shared" si="186"/>
        <v/>
      </c>
      <c r="V663" s="26" t="str">
        <f t="shared" si="187"/>
        <v/>
      </c>
      <c r="W663" s="20" t="str">
        <f t="shared" si="188"/>
        <v/>
      </c>
      <c r="X663" s="20" t="str">
        <f t="shared" si="189"/>
        <v/>
      </c>
      <c r="Y663" s="86" t="str">
        <f t="shared" si="191"/>
        <v/>
      </c>
      <c r="Z663" s="31"/>
    </row>
    <row r="664" spans="2:26" outlineLevel="1">
      <c r="B664" s="14">
        <f t="shared" si="175"/>
        <v>661</v>
      </c>
      <c r="C664" s="37"/>
      <c r="D664" s="40"/>
      <c r="E664" s="39"/>
      <c r="F664" s="37"/>
      <c r="G664" s="39"/>
      <c r="H664" s="37"/>
      <c r="I664" s="37"/>
      <c r="J664" s="41" t="str">
        <f t="shared" si="176"/>
        <v/>
      </c>
      <c r="K664" s="12" t="str">
        <f t="shared" si="182"/>
        <v/>
      </c>
      <c r="L664" s="12" t="str">
        <f t="shared" si="183"/>
        <v/>
      </c>
      <c r="M664" s="12" t="str">
        <f t="shared" si="177"/>
        <v/>
      </c>
      <c r="N664" s="12" t="str">
        <f t="shared" si="178"/>
        <v/>
      </c>
      <c r="O664" s="12" t="str">
        <f t="shared" si="179"/>
        <v/>
      </c>
      <c r="P664" s="12" t="str">
        <f t="shared" si="180"/>
        <v/>
      </c>
      <c r="Q664" s="12" t="str">
        <f t="shared" si="184"/>
        <v/>
      </c>
      <c r="R664" s="26" t="str">
        <f t="shared" si="181"/>
        <v/>
      </c>
      <c r="S664" s="26" t="str">
        <f t="shared" si="190"/>
        <v/>
      </c>
      <c r="T664" s="26" t="str">
        <f t="shared" si="185"/>
        <v/>
      </c>
      <c r="U664" s="26" t="str">
        <f t="shared" si="186"/>
        <v/>
      </c>
      <c r="V664" s="26" t="str">
        <f t="shared" si="187"/>
        <v/>
      </c>
      <c r="W664" s="20" t="str">
        <f t="shared" si="188"/>
        <v/>
      </c>
      <c r="X664" s="20" t="str">
        <f t="shared" si="189"/>
        <v/>
      </c>
      <c r="Y664" s="86" t="str">
        <f t="shared" si="191"/>
        <v/>
      </c>
      <c r="Z664" s="31"/>
    </row>
    <row r="665" spans="2:26" outlineLevel="1">
      <c r="B665" s="14">
        <f t="shared" si="175"/>
        <v>662</v>
      </c>
      <c r="C665" s="37"/>
      <c r="D665" s="40"/>
      <c r="E665" s="39"/>
      <c r="F665" s="37"/>
      <c r="G665" s="39"/>
      <c r="H665" s="37"/>
      <c r="I665" s="37"/>
      <c r="J665" s="41" t="str">
        <f t="shared" si="176"/>
        <v/>
      </c>
      <c r="K665" s="12" t="str">
        <f t="shared" si="182"/>
        <v/>
      </c>
      <c r="L665" s="12" t="str">
        <f t="shared" si="183"/>
        <v/>
      </c>
      <c r="M665" s="12" t="str">
        <f t="shared" si="177"/>
        <v/>
      </c>
      <c r="N665" s="12" t="str">
        <f t="shared" si="178"/>
        <v/>
      </c>
      <c r="O665" s="12" t="str">
        <f t="shared" si="179"/>
        <v/>
      </c>
      <c r="P665" s="12" t="str">
        <f t="shared" si="180"/>
        <v/>
      </c>
      <c r="Q665" s="12" t="str">
        <f t="shared" si="184"/>
        <v/>
      </c>
      <c r="R665" s="26" t="str">
        <f t="shared" si="181"/>
        <v/>
      </c>
      <c r="S665" s="26" t="str">
        <f t="shared" si="190"/>
        <v/>
      </c>
      <c r="T665" s="26" t="str">
        <f t="shared" si="185"/>
        <v/>
      </c>
      <c r="U665" s="26" t="str">
        <f t="shared" si="186"/>
        <v/>
      </c>
      <c r="V665" s="26" t="str">
        <f t="shared" si="187"/>
        <v/>
      </c>
      <c r="W665" s="20" t="str">
        <f t="shared" si="188"/>
        <v/>
      </c>
      <c r="X665" s="20" t="str">
        <f t="shared" si="189"/>
        <v/>
      </c>
      <c r="Y665" s="86" t="str">
        <f t="shared" si="191"/>
        <v/>
      </c>
      <c r="Z665" s="31"/>
    </row>
    <row r="666" spans="2:26" outlineLevel="1">
      <c r="B666" s="14">
        <f t="shared" si="175"/>
        <v>663</v>
      </c>
      <c r="C666" s="37"/>
      <c r="D666" s="40"/>
      <c r="E666" s="39"/>
      <c r="F666" s="37"/>
      <c r="G666" s="39"/>
      <c r="H666" s="37"/>
      <c r="I666" s="37"/>
      <c r="J666" s="41" t="str">
        <f t="shared" si="176"/>
        <v/>
      </c>
      <c r="K666" s="12" t="str">
        <f t="shared" si="182"/>
        <v/>
      </c>
      <c r="L666" s="12" t="str">
        <f t="shared" si="183"/>
        <v/>
      </c>
      <c r="M666" s="12" t="str">
        <f t="shared" si="177"/>
        <v/>
      </c>
      <c r="N666" s="12" t="str">
        <f t="shared" si="178"/>
        <v/>
      </c>
      <c r="O666" s="12" t="str">
        <f t="shared" si="179"/>
        <v/>
      </c>
      <c r="P666" s="12" t="str">
        <f t="shared" si="180"/>
        <v/>
      </c>
      <c r="Q666" s="12" t="str">
        <f t="shared" si="184"/>
        <v/>
      </c>
      <c r="R666" s="26" t="str">
        <f t="shared" si="181"/>
        <v/>
      </c>
      <c r="S666" s="26" t="str">
        <f t="shared" si="190"/>
        <v/>
      </c>
      <c r="T666" s="26" t="str">
        <f t="shared" si="185"/>
        <v/>
      </c>
      <c r="U666" s="26" t="str">
        <f t="shared" si="186"/>
        <v/>
      </c>
      <c r="V666" s="26" t="str">
        <f t="shared" si="187"/>
        <v/>
      </c>
      <c r="W666" s="20" t="str">
        <f t="shared" si="188"/>
        <v/>
      </c>
      <c r="X666" s="20" t="str">
        <f t="shared" si="189"/>
        <v/>
      </c>
      <c r="Y666" s="86" t="str">
        <f t="shared" si="191"/>
        <v/>
      </c>
      <c r="Z666" s="31"/>
    </row>
    <row r="667" spans="2:26" outlineLevel="1">
      <c r="B667" s="14">
        <f t="shared" si="175"/>
        <v>664</v>
      </c>
      <c r="C667" s="37"/>
      <c r="D667" s="40"/>
      <c r="E667" s="39"/>
      <c r="F667" s="37"/>
      <c r="G667" s="39"/>
      <c r="H667" s="37"/>
      <c r="I667" s="37"/>
      <c r="J667" s="41" t="str">
        <f t="shared" si="176"/>
        <v/>
      </c>
      <c r="K667" s="12" t="str">
        <f t="shared" si="182"/>
        <v/>
      </c>
      <c r="L667" s="12" t="str">
        <f t="shared" si="183"/>
        <v/>
      </c>
      <c r="M667" s="12" t="str">
        <f t="shared" si="177"/>
        <v/>
      </c>
      <c r="N667" s="12" t="str">
        <f t="shared" si="178"/>
        <v/>
      </c>
      <c r="O667" s="12" t="str">
        <f t="shared" si="179"/>
        <v/>
      </c>
      <c r="P667" s="12" t="str">
        <f t="shared" si="180"/>
        <v/>
      </c>
      <c r="Q667" s="12" t="str">
        <f t="shared" si="184"/>
        <v/>
      </c>
      <c r="R667" s="26" t="str">
        <f t="shared" si="181"/>
        <v/>
      </c>
      <c r="S667" s="26" t="str">
        <f t="shared" si="190"/>
        <v/>
      </c>
      <c r="T667" s="26" t="str">
        <f t="shared" si="185"/>
        <v/>
      </c>
      <c r="U667" s="26" t="str">
        <f t="shared" si="186"/>
        <v/>
      </c>
      <c r="V667" s="26" t="str">
        <f t="shared" si="187"/>
        <v/>
      </c>
      <c r="W667" s="20" t="str">
        <f t="shared" si="188"/>
        <v/>
      </c>
      <c r="X667" s="20" t="str">
        <f t="shared" si="189"/>
        <v/>
      </c>
      <c r="Y667" s="86" t="str">
        <f t="shared" si="191"/>
        <v/>
      </c>
      <c r="Z667" s="31"/>
    </row>
    <row r="668" spans="2:26" outlineLevel="1">
      <c r="B668" s="14">
        <f t="shared" si="175"/>
        <v>665</v>
      </c>
      <c r="C668" s="37"/>
      <c r="D668" s="40"/>
      <c r="E668" s="39"/>
      <c r="F668" s="37"/>
      <c r="G668" s="39"/>
      <c r="H668" s="37"/>
      <c r="I668" s="37"/>
      <c r="J668" s="41" t="str">
        <f t="shared" si="176"/>
        <v/>
      </c>
      <c r="K668" s="12" t="str">
        <f t="shared" si="182"/>
        <v/>
      </c>
      <c r="L668" s="12" t="str">
        <f t="shared" si="183"/>
        <v/>
      </c>
      <c r="M668" s="12" t="str">
        <f t="shared" si="177"/>
        <v/>
      </c>
      <c r="N668" s="12" t="str">
        <f t="shared" si="178"/>
        <v/>
      </c>
      <c r="O668" s="12" t="str">
        <f t="shared" si="179"/>
        <v/>
      </c>
      <c r="P668" s="12" t="str">
        <f t="shared" si="180"/>
        <v/>
      </c>
      <c r="Q668" s="12" t="str">
        <f t="shared" si="184"/>
        <v/>
      </c>
      <c r="R668" s="26" t="str">
        <f t="shared" si="181"/>
        <v/>
      </c>
      <c r="S668" s="26" t="str">
        <f t="shared" si="190"/>
        <v/>
      </c>
      <c r="T668" s="26" t="str">
        <f t="shared" si="185"/>
        <v/>
      </c>
      <c r="U668" s="26" t="str">
        <f t="shared" si="186"/>
        <v/>
      </c>
      <c r="V668" s="26" t="str">
        <f t="shared" si="187"/>
        <v/>
      </c>
      <c r="W668" s="20" t="str">
        <f t="shared" si="188"/>
        <v/>
      </c>
      <c r="X668" s="20" t="str">
        <f t="shared" si="189"/>
        <v/>
      </c>
      <c r="Y668" s="86" t="str">
        <f t="shared" si="191"/>
        <v/>
      </c>
      <c r="Z668" s="31"/>
    </row>
    <row r="669" spans="2:26" outlineLevel="1">
      <c r="B669" s="14">
        <f t="shared" si="175"/>
        <v>666</v>
      </c>
      <c r="C669" s="37"/>
      <c r="D669" s="40"/>
      <c r="E669" s="39"/>
      <c r="F669" s="37"/>
      <c r="G669" s="39"/>
      <c r="H669" s="37"/>
      <c r="I669" s="37"/>
      <c r="J669" s="41" t="str">
        <f t="shared" si="176"/>
        <v/>
      </c>
      <c r="K669" s="12" t="str">
        <f t="shared" si="182"/>
        <v/>
      </c>
      <c r="L669" s="12" t="str">
        <f t="shared" si="183"/>
        <v/>
      </c>
      <c r="M669" s="12" t="str">
        <f t="shared" si="177"/>
        <v/>
      </c>
      <c r="N669" s="12" t="str">
        <f t="shared" si="178"/>
        <v/>
      </c>
      <c r="O669" s="12" t="str">
        <f t="shared" si="179"/>
        <v/>
      </c>
      <c r="P669" s="12" t="str">
        <f t="shared" si="180"/>
        <v/>
      </c>
      <c r="Q669" s="12" t="str">
        <f t="shared" si="184"/>
        <v/>
      </c>
      <c r="R669" s="26" t="str">
        <f t="shared" si="181"/>
        <v/>
      </c>
      <c r="S669" s="26" t="str">
        <f t="shared" si="190"/>
        <v/>
      </c>
      <c r="T669" s="26" t="str">
        <f t="shared" si="185"/>
        <v/>
      </c>
      <c r="U669" s="26" t="str">
        <f t="shared" si="186"/>
        <v/>
      </c>
      <c r="V669" s="26" t="str">
        <f t="shared" si="187"/>
        <v/>
      </c>
      <c r="W669" s="20" t="str">
        <f t="shared" si="188"/>
        <v/>
      </c>
      <c r="X669" s="20" t="str">
        <f t="shared" si="189"/>
        <v/>
      </c>
      <c r="Y669" s="86" t="str">
        <f t="shared" si="191"/>
        <v/>
      </c>
      <c r="Z669" s="31"/>
    </row>
    <row r="670" spans="2:26" outlineLevel="1">
      <c r="B670" s="14">
        <f t="shared" si="175"/>
        <v>667</v>
      </c>
      <c r="C670" s="37"/>
      <c r="D670" s="40"/>
      <c r="E670" s="39"/>
      <c r="F670" s="37"/>
      <c r="G670" s="39"/>
      <c r="H670" s="37"/>
      <c r="I670" s="37"/>
      <c r="J670" s="41" t="str">
        <f t="shared" si="176"/>
        <v/>
      </c>
      <c r="K670" s="12" t="str">
        <f t="shared" si="182"/>
        <v/>
      </c>
      <c r="L670" s="12" t="str">
        <f t="shared" si="183"/>
        <v/>
      </c>
      <c r="M670" s="12" t="str">
        <f t="shared" si="177"/>
        <v/>
      </c>
      <c r="N670" s="12" t="str">
        <f t="shared" si="178"/>
        <v/>
      </c>
      <c r="O670" s="12" t="str">
        <f t="shared" si="179"/>
        <v/>
      </c>
      <c r="P670" s="12" t="str">
        <f t="shared" si="180"/>
        <v/>
      </c>
      <c r="Q670" s="12" t="str">
        <f t="shared" si="184"/>
        <v/>
      </c>
      <c r="R670" s="26" t="str">
        <f t="shared" si="181"/>
        <v/>
      </c>
      <c r="S670" s="26" t="str">
        <f t="shared" si="190"/>
        <v/>
      </c>
      <c r="T670" s="26" t="str">
        <f t="shared" si="185"/>
        <v/>
      </c>
      <c r="U670" s="26" t="str">
        <f t="shared" si="186"/>
        <v/>
      </c>
      <c r="V670" s="26" t="str">
        <f t="shared" si="187"/>
        <v/>
      </c>
      <c r="W670" s="20" t="str">
        <f t="shared" si="188"/>
        <v/>
      </c>
      <c r="X670" s="20" t="str">
        <f t="shared" si="189"/>
        <v/>
      </c>
      <c r="Y670" s="86" t="str">
        <f t="shared" si="191"/>
        <v/>
      </c>
      <c r="Z670" s="31"/>
    </row>
    <row r="671" spans="2:26" outlineLevel="1">
      <c r="B671" s="14">
        <f t="shared" si="175"/>
        <v>668</v>
      </c>
      <c r="C671" s="37"/>
      <c r="D671" s="40"/>
      <c r="E671" s="39"/>
      <c r="F671" s="37"/>
      <c r="G671" s="39"/>
      <c r="H671" s="37"/>
      <c r="I671" s="37"/>
      <c r="J671" s="41" t="str">
        <f t="shared" si="176"/>
        <v/>
      </c>
      <c r="K671" s="12" t="str">
        <f t="shared" si="182"/>
        <v/>
      </c>
      <c r="L671" s="12" t="str">
        <f t="shared" si="183"/>
        <v/>
      </c>
      <c r="M671" s="12" t="str">
        <f t="shared" si="177"/>
        <v/>
      </c>
      <c r="N671" s="12" t="str">
        <f t="shared" si="178"/>
        <v/>
      </c>
      <c r="O671" s="12" t="str">
        <f t="shared" si="179"/>
        <v/>
      </c>
      <c r="P671" s="12" t="str">
        <f t="shared" si="180"/>
        <v/>
      </c>
      <c r="Q671" s="12" t="str">
        <f t="shared" si="184"/>
        <v/>
      </c>
      <c r="R671" s="26" t="str">
        <f t="shared" si="181"/>
        <v/>
      </c>
      <c r="S671" s="26" t="str">
        <f t="shared" si="190"/>
        <v/>
      </c>
      <c r="T671" s="26" t="str">
        <f t="shared" si="185"/>
        <v/>
      </c>
      <c r="U671" s="26" t="str">
        <f t="shared" si="186"/>
        <v/>
      </c>
      <c r="V671" s="26" t="str">
        <f t="shared" si="187"/>
        <v/>
      </c>
      <c r="W671" s="20" t="str">
        <f t="shared" si="188"/>
        <v/>
      </c>
      <c r="X671" s="20" t="str">
        <f t="shared" si="189"/>
        <v/>
      </c>
      <c r="Y671" s="86" t="str">
        <f t="shared" si="191"/>
        <v/>
      </c>
      <c r="Z671" s="31"/>
    </row>
    <row r="672" spans="2:26" outlineLevel="1">
      <c r="B672" s="14">
        <f t="shared" si="175"/>
        <v>669</v>
      </c>
      <c r="C672" s="37"/>
      <c r="D672" s="40"/>
      <c r="E672" s="39"/>
      <c r="F672" s="37"/>
      <c r="G672" s="39"/>
      <c r="H672" s="37"/>
      <c r="I672" s="37"/>
      <c r="J672" s="41" t="str">
        <f t="shared" si="176"/>
        <v/>
      </c>
      <c r="K672" s="12" t="str">
        <f t="shared" si="182"/>
        <v/>
      </c>
      <c r="L672" s="12" t="str">
        <f t="shared" si="183"/>
        <v/>
      </c>
      <c r="M672" s="12" t="str">
        <f t="shared" si="177"/>
        <v/>
      </c>
      <c r="N672" s="12" t="str">
        <f t="shared" si="178"/>
        <v/>
      </c>
      <c r="O672" s="12" t="str">
        <f t="shared" si="179"/>
        <v/>
      </c>
      <c r="P672" s="12" t="str">
        <f t="shared" si="180"/>
        <v/>
      </c>
      <c r="Q672" s="12" t="str">
        <f t="shared" si="184"/>
        <v/>
      </c>
      <c r="R672" s="26" t="str">
        <f t="shared" si="181"/>
        <v/>
      </c>
      <c r="S672" s="26" t="str">
        <f t="shared" si="190"/>
        <v/>
      </c>
      <c r="T672" s="26" t="str">
        <f t="shared" si="185"/>
        <v/>
      </c>
      <c r="U672" s="26" t="str">
        <f t="shared" si="186"/>
        <v/>
      </c>
      <c r="V672" s="26" t="str">
        <f t="shared" si="187"/>
        <v/>
      </c>
      <c r="W672" s="20" t="str">
        <f t="shared" si="188"/>
        <v/>
      </c>
      <c r="X672" s="20" t="str">
        <f t="shared" si="189"/>
        <v/>
      </c>
      <c r="Y672" s="86" t="str">
        <f t="shared" si="191"/>
        <v/>
      </c>
      <c r="Z672" s="31"/>
    </row>
    <row r="673" spans="2:26" outlineLevel="1">
      <c r="B673" s="14">
        <f t="shared" si="175"/>
        <v>670</v>
      </c>
      <c r="C673" s="37"/>
      <c r="D673" s="40"/>
      <c r="E673" s="39"/>
      <c r="F673" s="37"/>
      <c r="G673" s="39"/>
      <c r="H673" s="37"/>
      <c r="I673" s="37"/>
      <c r="J673" s="41" t="str">
        <f t="shared" si="176"/>
        <v/>
      </c>
      <c r="K673" s="12" t="str">
        <f t="shared" si="182"/>
        <v/>
      </c>
      <c r="L673" s="12" t="str">
        <f t="shared" si="183"/>
        <v/>
      </c>
      <c r="M673" s="12" t="str">
        <f t="shared" si="177"/>
        <v/>
      </c>
      <c r="N673" s="12" t="str">
        <f t="shared" si="178"/>
        <v/>
      </c>
      <c r="O673" s="12" t="str">
        <f t="shared" si="179"/>
        <v/>
      </c>
      <c r="P673" s="12" t="str">
        <f t="shared" si="180"/>
        <v/>
      </c>
      <c r="Q673" s="12" t="str">
        <f t="shared" si="184"/>
        <v/>
      </c>
      <c r="R673" s="26" t="str">
        <f t="shared" si="181"/>
        <v/>
      </c>
      <c r="S673" s="26" t="str">
        <f t="shared" si="190"/>
        <v/>
      </c>
      <c r="T673" s="26" t="str">
        <f t="shared" si="185"/>
        <v/>
      </c>
      <c r="U673" s="26" t="str">
        <f t="shared" si="186"/>
        <v/>
      </c>
      <c r="V673" s="26" t="str">
        <f t="shared" si="187"/>
        <v/>
      </c>
      <c r="W673" s="20" t="str">
        <f t="shared" si="188"/>
        <v/>
      </c>
      <c r="X673" s="20" t="str">
        <f t="shared" si="189"/>
        <v/>
      </c>
      <c r="Y673" s="86" t="str">
        <f t="shared" si="191"/>
        <v/>
      </c>
      <c r="Z673" s="31"/>
    </row>
    <row r="674" spans="2:26" outlineLevel="1">
      <c r="B674" s="14">
        <f t="shared" si="175"/>
        <v>671</v>
      </c>
      <c r="C674" s="37"/>
      <c r="D674" s="40"/>
      <c r="E674" s="39"/>
      <c r="F674" s="37"/>
      <c r="G674" s="39"/>
      <c r="H674" s="37"/>
      <c r="I674" s="37"/>
      <c r="J674" s="41" t="str">
        <f t="shared" si="176"/>
        <v/>
      </c>
      <c r="K674" s="12" t="str">
        <f t="shared" si="182"/>
        <v/>
      </c>
      <c r="L674" s="12" t="str">
        <f t="shared" si="183"/>
        <v/>
      </c>
      <c r="M674" s="12" t="str">
        <f t="shared" si="177"/>
        <v/>
      </c>
      <c r="N674" s="12" t="str">
        <f t="shared" si="178"/>
        <v/>
      </c>
      <c r="O674" s="12" t="str">
        <f t="shared" si="179"/>
        <v/>
      </c>
      <c r="P674" s="12" t="str">
        <f t="shared" si="180"/>
        <v/>
      </c>
      <c r="Q674" s="12" t="str">
        <f t="shared" si="184"/>
        <v/>
      </c>
      <c r="R674" s="26" t="str">
        <f t="shared" si="181"/>
        <v/>
      </c>
      <c r="S674" s="26" t="str">
        <f t="shared" si="190"/>
        <v/>
      </c>
      <c r="T674" s="26" t="str">
        <f t="shared" si="185"/>
        <v/>
      </c>
      <c r="U674" s="26" t="str">
        <f t="shared" si="186"/>
        <v/>
      </c>
      <c r="V674" s="26" t="str">
        <f t="shared" si="187"/>
        <v/>
      </c>
      <c r="W674" s="20" t="str">
        <f t="shared" si="188"/>
        <v/>
      </c>
      <c r="X674" s="20" t="str">
        <f t="shared" si="189"/>
        <v/>
      </c>
      <c r="Y674" s="86" t="str">
        <f t="shared" si="191"/>
        <v/>
      </c>
      <c r="Z674" s="31"/>
    </row>
    <row r="675" spans="2:26" outlineLevel="1">
      <c r="B675" s="14">
        <f t="shared" si="175"/>
        <v>672</v>
      </c>
      <c r="C675" s="37"/>
      <c r="D675" s="40"/>
      <c r="E675" s="39"/>
      <c r="F675" s="37"/>
      <c r="G675" s="39"/>
      <c r="H675" s="37"/>
      <c r="I675" s="37"/>
      <c r="J675" s="41" t="str">
        <f t="shared" si="176"/>
        <v/>
      </c>
      <c r="K675" s="12" t="str">
        <f t="shared" si="182"/>
        <v/>
      </c>
      <c r="L675" s="12" t="str">
        <f t="shared" si="183"/>
        <v/>
      </c>
      <c r="M675" s="12" t="str">
        <f t="shared" si="177"/>
        <v/>
      </c>
      <c r="N675" s="12" t="str">
        <f t="shared" si="178"/>
        <v/>
      </c>
      <c r="O675" s="12" t="str">
        <f t="shared" si="179"/>
        <v/>
      </c>
      <c r="P675" s="12" t="str">
        <f t="shared" si="180"/>
        <v/>
      </c>
      <c r="Q675" s="12" t="str">
        <f t="shared" si="184"/>
        <v/>
      </c>
      <c r="R675" s="26" t="str">
        <f t="shared" si="181"/>
        <v/>
      </c>
      <c r="S675" s="26" t="str">
        <f t="shared" si="190"/>
        <v/>
      </c>
      <c r="T675" s="26" t="str">
        <f t="shared" si="185"/>
        <v/>
      </c>
      <c r="U675" s="26" t="str">
        <f t="shared" si="186"/>
        <v/>
      </c>
      <c r="V675" s="26" t="str">
        <f t="shared" si="187"/>
        <v/>
      </c>
      <c r="W675" s="20" t="str">
        <f t="shared" si="188"/>
        <v/>
      </c>
      <c r="X675" s="20" t="str">
        <f t="shared" si="189"/>
        <v/>
      </c>
      <c r="Y675" s="86" t="str">
        <f t="shared" si="191"/>
        <v/>
      </c>
      <c r="Z675" s="31"/>
    </row>
    <row r="676" spans="2:26" outlineLevel="1">
      <c r="B676" s="14">
        <f t="shared" si="175"/>
        <v>673</v>
      </c>
      <c r="C676" s="37"/>
      <c r="D676" s="40"/>
      <c r="E676" s="39"/>
      <c r="F676" s="37"/>
      <c r="G676" s="39"/>
      <c r="H676" s="37"/>
      <c r="I676" s="37"/>
      <c r="J676" s="41" t="str">
        <f t="shared" si="176"/>
        <v/>
      </c>
      <c r="K676" s="12" t="str">
        <f t="shared" si="182"/>
        <v/>
      </c>
      <c r="L676" s="12" t="str">
        <f t="shared" si="183"/>
        <v/>
      </c>
      <c r="M676" s="12" t="str">
        <f t="shared" si="177"/>
        <v/>
      </c>
      <c r="N676" s="12" t="str">
        <f t="shared" si="178"/>
        <v/>
      </c>
      <c r="O676" s="12" t="str">
        <f t="shared" si="179"/>
        <v/>
      </c>
      <c r="P676" s="12" t="str">
        <f t="shared" si="180"/>
        <v/>
      </c>
      <c r="Q676" s="12" t="str">
        <f t="shared" si="184"/>
        <v/>
      </c>
      <c r="R676" s="26" t="str">
        <f t="shared" si="181"/>
        <v/>
      </c>
      <c r="S676" s="26" t="str">
        <f t="shared" si="190"/>
        <v/>
      </c>
      <c r="T676" s="26" t="str">
        <f t="shared" si="185"/>
        <v/>
      </c>
      <c r="U676" s="26" t="str">
        <f t="shared" si="186"/>
        <v/>
      </c>
      <c r="V676" s="26" t="str">
        <f t="shared" si="187"/>
        <v/>
      </c>
      <c r="W676" s="20" t="str">
        <f t="shared" si="188"/>
        <v/>
      </c>
      <c r="X676" s="20" t="str">
        <f t="shared" si="189"/>
        <v/>
      </c>
      <c r="Y676" s="86" t="str">
        <f t="shared" si="191"/>
        <v/>
      </c>
      <c r="Z676" s="31"/>
    </row>
    <row r="677" spans="2:26" outlineLevel="1">
      <c r="B677" s="14">
        <f t="shared" si="175"/>
        <v>674</v>
      </c>
      <c r="C677" s="37"/>
      <c r="D677" s="40"/>
      <c r="E677" s="39"/>
      <c r="F677" s="37"/>
      <c r="G677" s="39"/>
      <c r="H677" s="37"/>
      <c r="I677" s="37"/>
      <c r="J677" s="41" t="str">
        <f t="shared" si="176"/>
        <v/>
      </c>
      <c r="K677" s="12" t="str">
        <f t="shared" si="182"/>
        <v/>
      </c>
      <c r="L677" s="12" t="str">
        <f t="shared" si="183"/>
        <v/>
      </c>
      <c r="M677" s="12" t="str">
        <f t="shared" si="177"/>
        <v/>
      </c>
      <c r="N677" s="12" t="str">
        <f t="shared" si="178"/>
        <v/>
      </c>
      <c r="O677" s="12" t="str">
        <f t="shared" si="179"/>
        <v/>
      </c>
      <c r="P677" s="12" t="str">
        <f t="shared" si="180"/>
        <v/>
      </c>
      <c r="Q677" s="12" t="str">
        <f t="shared" si="184"/>
        <v/>
      </c>
      <c r="R677" s="26" t="str">
        <f t="shared" si="181"/>
        <v/>
      </c>
      <c r="S677" s="26" t="str">
        <f t="shared" si="190"/>
        <v/>
      </c>
      <c r="T677" s="26" t="str">
        <f t="shared" si="185"/>
        <v/>
      </c>
      <c r="U677" s="26" t="str">
        <f t="shared" si="186"/>
        <v/>
      </c>
      <c r="V677" s="26" t="str">
        <f t="shared" si="187"/>
        <v/>
      </c>
      <c r="W677" s="20" t="str">
        <f t="shared" si="188"/>
        <v/>
      </c>
      <c r="X677" s="20" t="str">
        <f t="shared" si="189"/>
        <v/>
      </c>
      <c r="Y677" s="86" t="str">
        <f t="shared" si="191"/>
        <v/>
      </c>
      <c r="Z677" s="31"/>
    </row>
    <row r="678" spans="2:26" outlineLevel="1">
      <c r="B678" s="14">
        <f t="shared" si="175"/>
        <v>675</v>
      </c>
      <c r="C678" s="37"/>
      <c r="D678" s="40"/>
      <c r="E678" s="39"/>
      <c r="F678" s="37"/>
      <c r="G678" s="39"/>
      <c r="H678" s="37"/>
      <c r="I678" s="37"/>
      <c r="J678" s="41" t="str">
        <f t="shared" si="176"/>
        <v/>
      </c>
      <c r="K678" s="12" t="str">
        <f t="shared" si="182"/>
        <v/>
      </c>
      <c r="L678" s="12" t="str">
        <f t="shared" si="183"/>
        <v/>
      </c>
      <c r="M678" s="12" t="str">
        <f t="shared" si="177"/>
        <v/>
      </c>
      <c r="N678" s="12" t="str">
        <f t="shared" si="178"/>
        <v/>
      </c>
      <c r="O678" s="12" t="str">
        <f t="shared" si="179"/>
        <v/>
      </c>
      <c r="P678" s="12" t="str">
        <f t="shared" si="180"/>
        <v/>
      </c>
      <c r="Q678" s="12" t="str">
        <f t="shared" si="184"/>
        <v/>
      </c>
      <c r="R678" s="26" t="str">
        <f t="shared" si="181"/>
        <v/>
      </c>
      <c r="S678" s="26" t="str">
        <f t="shared" si="190"/>
        <v/>
      </c>
      <c r="T678" s="26" t="str">
        <f t="shared" si="185"/>
        <v/>
      </c>
      <c r="U678" s="26" t="str">
        <f t="shared" si="186"/>
        <v/>
      </c>
      <c r="V678" s="26" t="str">
        <f t="shared" si="187"/>
        <v/>
      </c>
      <c r="W678" s="20" t="str">
        <f t="shared" si="188"/>
        <v/>
      </c>
      <c r="X678" s="20" t="str">
        <f t="shared" si="189"/>
        <v/>
      </c>
      <c r="Y678" s="86" t="str">
        <f t="shared" si="191"/>
        <v/>
      </c>
      <c r="Z678" s="31"/>
    </row>
    <row r="679" spans="2:26" outlineLevel="1">
      <c r="B679" s="14">
        <f t="shared" si="175"/>
        <v>676</v>
      </c>
      <c r="C679" s="37"/>
      <c r="D679" s="40"/>
      <c r="E679" s="39"/>
      <c r="F679" s="37"/>
      <c r="G679" s="39"/>
      <c r="H679" s="37"/>
      <c r="I679" s="37"/>
      <c r="J679" s="41" t="str">
        <f t="shared" si="176"/>
        <v/>
      </c>
      <c r="K679" s="12" t="str">
        <f t="shared" si="182"/>
        <v/>
      </c>
      <c r="L679" s="12" t="str">
        <f t="shared" si="183"/>
        <v/>
      </c>
      <c r="M679" s="12" t="str">
        <f t="shared" si="177"/>
        <v/>
      </c>
      <c r="N679" s="12" t="str">
        <f t="shared" si="178"/>
        <v/>
      </c>
      <c r="O679" s="12" t="str">
        <f t="shared" si="179"/>
        <v/>
      </c>
      <c r="P679" s="12" t="str">
        <f t="shared" si="180"/>
        <v/>
      </c>
      <c r="Q679" s="12" t="str">
        <f t="shared" si="184"/>
        <v/>
      </c>
      <c r="R679" s="26" t="str">
        <f t="shared" si="181"/>
        <v/>
      </c>
      <c r="S679" s="26" t="str">
        <f t="shared" si="190"/>
        <v/>
      </c>
      <c r="T679" s="26" t="str">
        <f t="shared" si="185"/>
        <v/>
      </c>
      <c r="U679" s="26" t="str">
        <f t="shared" si="186"/>
        <v/>
      </c>
      <c r="V679" s="26" t="str">
        <f t="shared" si="187"/>
        <v/>
      </c>
      <c r="W679" s="20" t="str">
        <f t="shared" si="188"/>
        <v/>
      </c>
      <c r="X679" s="20" t="str">
        <f t="shared" si="189"/>
        <v/>
      </c>
      <c r="Y679" s="86" t="str">
        <f t="shared" si="191"/>
        <v/>
      </c>
      <c r="Z679" s="31"/>
    </row>
    <row r="680" spans="2:26" outlineLevel="1">
      <c r="B680" s="14">
        <f t="shared" si="175"/>
        <v>677</v>
      </c>
      <c r="C680" s="37"/>
      <c r="D680" s="40"/>
      <c r="E680" s="39"/>
      <c r="F680" s="37"/>
      <c r="G680" s="39"/>
      <c r="H680" s="37"/>
      <c r="I680" s="37"/>
      <c r="J680" s="41" t="str">
        <f t="shared" si="176"/>
        <v/>
      </c>
      <c r="K680" s="12" t="str">
        <f t="shared" si="182"/>
        <v/>
      </c>
      <c r="L680" s="12" t="str">
        <f t="shared" si="183"/>
        <v/>
      </c>
      <c r="M680" s="12" t="str">
        <f t="shared" si="177"/>
        <v/>
      </c>
      <c r="N680" s="12" t="str">
        <f t="shared" si="178"/>
        <v/>
      </c>
      <c r="O680" s="12" t="str">
        <f t="shared" si="179"/>
        <v/>
      </c>
      <c r="P680" s="12" t="str">
        <f t="shared" si="180"/>
        <v/>
      </c>
      <c r="Q680" s="12" t="str">
        <f t="shared" si="184"/>
        <v/>
      </c>
      <c r="R680" s="26" t="str">
        <f t="shared" si="181"/>
        <v/>
      </c>
      <c r="S680" s="26" t="str">
        <f t="shared" si="190"/>
        <v/>
      </c>
      <c r="T680" s="26" t="str">
        <f t="shared" si="185"/>
        <v/>
      </c>
      <c r="U680" s="26" t="str">
        <f t="shared" si="186"/>
        <v/>
      </c>
      <c r="V680" s="26" t="str">
        <f t="shared" si="187"/>
        <v/>
      </c>
      <c r="W680" s="20" t="str">
        <f t="shared" si="188"/>
        <v/>
      </c>
      <c r="X680" s="20" t="str">
        <f t="shared" si="189"/>
        <v/>
      </c>
      <c r="Y680" s="86" t="str">
        <f t="shared" si="191"/>
        <v/>
      </c>
      <c r="Z680" s="31"/>
    </row>
    <row r="681" spans="2:26" outlineLevel="1">
      <c r="B681" s="14">
        <f t="shared" si="175"/>
        <v>678</v>
      </c>
      <c r="C681" s="37"/>
      <c r="D681" s="40"/>
      <c r="E681" s="39"/>
      <c r="F681" s="37"/>
      <c r="G681" s="39"/>
      <c r="H681" s="37"/>
      <c r="I681" s="37"/>
      <c r="J681" s="41" t="str">
        <f t="shared" si="176"/>
        <v/>
      </c>
      <c r="K681" s="12" t="str">
        <f t="shared" si="182"/>
        <v/>
      </c>
      <c r="L681" s="12" t="str">
        <f t="shared" si="183"/>
        <v/>
      </c>
      <c r="M681" s="12" t="str">
        <f t="shared" si="177"/>
        <v/>
      </c>
      <c r="N681" s="12" t="str">
        <f t="shared" si="178"/>
        <v/>
      </c>
      <c r="O681" s="12" t="str">
        <f t="shared" si="179"/>
        <v/>
      </c>
      <c r="P681" s="12" t="str">
        <f t="shared" si="180"/>
        <v/>
      </c>
      <c r="Q681" s="12" t="str">
        <f t="shared" si="184"/>
        <v/>
      </c>
      <c r="R681" s="26" t="str">
        <f t="shared" si="181"/>
        <v/>
      </c>
      <c r="S681" s="26" t="str">
        <f t="shared" si="190"/>
        <v/>
      </c>
      <c r="T681" s="26" t="str">
        <f t="shared" si="185"/>
        <v/>
      </c>
      <c r="U681" s="26" t="str">
        <f t="shared" si="186"/>
        <v/>
      </c>
      <c r="V681" s="26" t="str">
        <f t="shared" si="187"/>
        <v/>
      </c>
      <c r="W681" s="20" t="str">
        <f t="shared" si="188"/>
        <v/>
      </c>
      <c r="X681" s="20" t="str">
        <f t="shared" si="189"/>
        <v/>
      </c>
      <c r="Y681" s="86" t="str">
        <f t="shared" si="191"/>
        <v/>
      </c>
      <c r="Z681" s="31"/>
    </row>
    <row r="682" spans="2:26" outlineLevel="1">
      <c r="B682" s="14">
        <f t="shared" si="175"/>
        <v>679</v>
      </c>
      <c r="C682" s="37"/>
      <c r="D682" s="40"/>
      <c r="E682" s="39"/>
      <c r="F682" s="37"/>
      <c r="G682" s="39"/>
      <c r="H682" s="37"/>
      <c r="I682" s="37"/>
      <c r="J682" s="41" t="str">
        <f t="shared" si="176"/>
        <v/>
      </c>
      <c r="K682" s="12" t="str">
        <f t="shared" si="182"/>
        <v/>
      </c>
      <c r="L682" s="12" t="str">
        <f t="shared" si="183"/>
        <v/>
      </c>
      <c r="M682" s="12" t="str">
        <f t="shared" si="177"/>
        <v/>
      </c>
      <c r="N682" s="12" t="str">
        <f t="shared" si="178"/>
        <v/>
      </c>
      <c r="O682" s="12" t="str">
        <f t="shared" si="179"/>
        <v/>
      </c>
      <c r="P682" s="12" t="str">
        <f t="shared" si="180"/>
        <v/>
      </c>
      <c r="Q682" s="12" t="str">
        <f t="shared" si="184"/>
        <v/>
      </c>
      <c r="R682" s="26" t="str">
        <f t="shared" si="181"/>
        <v/>
      </c>
      <c r="S682" s="26" t="str">
        <f t="shared" si="190"/>
        <v/>
      </c>
      <c r="T682" s="26" t="str">
        <f t="shared" si="185"/>
        <v/>
      </c>
      <c r="U682" s="26" t="str">
        <f t="shared" si="186"/>
        <v/>
      </c>
      <c r="V682" s="26" t="str">
        <f t="shared" si="187"/>
        <v/>
      </c>
      <c r="W682" s="20" t="str">
        <f t="shared" si="188"/>
        <v/>
      </c>
      <c r="X682" s="20" t="str">
        <f t="shared" si="189"/>
        <v/>
      </c>
      <c r="Y682" s="86" t="str">
        <f t="shared" si="191"/>
        <v/>
      </c>
      <c r="Z682" s="31"/>
    </row>
    <row r="683" spans="2:26" outlineLevel="1">
      <c r="B683" s="14">
        <f t="shared" si="175"/>
        <v>680</v>
      </c>
      <c r="C683" s="37"/>
      <c r="D683" s="40"/>
      <c r="E683" s="39"/>
      <c r="F683" s="37"/>
      <c r="G683" s="39"/>
      <c r="H683" s="37"/>
      <c r="I683" s="37"/>
      <c r="J683" s="41" t="str">
        <f t="shared" si="176"/>
        <v/>
      </c>
      <c r="K683" s="12" t="str">
        <f t="shared" si="182"/>
        <v/>
      </c>
      <c r="L683" s="12" t="str">
        <f t="shared" si="183"/>
        <v/>
      </c>
      <c r="M683" s="12" t="str">
        <f t="shared" si="177"/>
        <v/>
      </c>
      <c r="N683" s="12" t="str">
        <f t="shared" si="178"/>
        <v/>
      </c>
      <c r="O683" s="12" t="str">
        <f t="shared" si="179"/>
        <v/>
      </c>
      <c r="P683" s="12" t="str">
        <f t="shared" si="180"/>
        <v/>
      </c>
      <c r="Q683" s="12" t="str">
        <f t="shared" si="184"/>
        <v/>
      </c>
      <c r="R683" s="26" t="str">
        <f t="shared" si="181"/>
        <v/>
      </c>
      <c r="S683" s="26" t="str">
        <f t="shared" si="190"/>
        <v/>
      </c>
      <c r="T683" s="26" t="str">
        <f t="shared" si="185"/>
        <v/>
      </c>
      <c r="U683" s="26" t="str">
        <f t="shared" si="186"/>
        <v/>
      </c>
      <c r="V683" s="26" t="str">
        <f t="shared" si="187"/>
        <v/>
      </c>
      <c r="W683" s="20" t="str">
        <f t="shared" si="188"/>
        <v/>
      </c>
      <c r="X683" s="20" t="str">
        <f t="shared" si="189"/>
        <v/>
      </c>
      <c r="Y683" s="86" t="str">
        <f t="shared" si="191"/>
        <v/>
      </c>
      <c r="Z683" s="31"/>
    </row>
    <row r="684" spans="2:26" outlineLevel="1">
      <c r="B684" s="14">
        <f t="shared" si="175"/>
        <v>681</v>
      </c>
      <c r="C684" s="37"/>
      <c r="D684" s="40"/>
      <c r="E684" s="39"/>
      <c r="F684" s="37"/>
      <c r="G684" s="39"/>
      <c r="H684" s="37"/>
      <c r="I684" s="37"/>
      <c r="J684" s="41" t="str">
        <f t="shared" si="176"/>
        <v/>
      </c>
      <c r="K684" s="12" t="str">
        <f t="shared" si="182"/>
        <v/>
      </c>
      <c r="L684" s="12" t="str">
        <f t="shared" si="183"/>
        <v/>
      </c>
      <c r="M684" s="12" t="str">
        <f t="shared" si="177"/>
        <v/>
      </c>
      <c r="N684" s="12" t="str">
        <f t="shared" si="178"/>
        <v/>
      </c>
      <c r="O684" s="12" t="str">
        <f t="shared" si="179"/>
        <v/>
      </c>
      <c r="P684" s="12" t="str">
        <f t="shared" si="180"/>
        <v/>
      </c>
      <c r="Q684" s="12" t="str">
        <f t="shared" si="184"/>
        <v/>
      </c>
      <c r="R684" s="26" t="str">
        <f t="shared" si="181"/>
        <v/>
      </c>
      <c r="S684" s="26" t="str">
        <f t="shared" si="190"/>
        <v/>
      </c>
      <c r="T684" s="26" t="str">
        <f t="shared" si="185"/>
        <v/>
      </c>
      <c r="U684" s="26" t="str">
        <f t="shared" si="186"/>
        <v/>
      </c>
      <c r="V684" s="26" t="str">
        <f t="shared" si="187"/>
        <v/>
      </c>
      <c r="W684" s="20" t="str">
        <f t="shared" si="188"/>
        <v/>
      </c>
      <c r="X684" s="20" t="str">
        <f t="shared" si="189"/>
        <v/>
      </c>
      <c r="Y684" s="86" t="str">
        <f t="shared" si="191"/>
        <v/>
      </c>
      <c r="Z684" s="31"/>
    </row>
    <row r="685" spans="2:26" outlineLevel="1">
      <c r="B685" s="14">
        <f t="shared" si="175"/>
        <v>682</v>
      </c>
      <c r="C685" s="37"/>
      <c r="D685" s="40"/>
      <c r="E685" s="39"/>
      <c r="F685" s="37"/>
      <c r="G685" s="39"/>
      <c r="H685" s="37"/>
      <c r="I685" s="37"/>
      <c r="J685" s="41" t="str">
        <f t="shared" si="176"/>
        <v/>
      </c>
      <c r="K685" s="12" t="str">
        <f t="shared" si="182"/>
        <v/>
      </c>
      <c r="L685" s="12" t="str">
        <f t="shared" si="183"/>
        <v/>
      </c>
      <c r="M685" s="12" t="str">
        <f t="shared" si="177"/>
        <v/>
      </c>
      <c r="N685" s="12" t="str">
        <f t="shared" si="178"/>
        <v/>
      </c>
      <c r="O685" s="12" t="str">
        <f t="shared" si="179"/>
        <v/>
      </c>
      <c r="P685" s="12" t="str">
        <f t="shared" si="180"/>
        <v/>
      </c>
      <c r="Q685" s="12" t="str">
        <f t="shared" si="184"/>
        <v/>
      </c>
      <c r="R685" s="26" t="str">
        <f t="shared" si="181"/>
        <v/>
      </c>
      <c r="S685" s="26" t="str">
        <f t="shared" si="190"/>
        <v/>
      </c>
      <c r="T685" s="26" t="str">
        <f t="shared" si="185"/>
        <v/>
      </c>
      <c r="U685" s="26" t="str">
        <f t="shared" si="186"/>
        <v/>
      </c>
      <c r="V685" s="26" t="str">
        <f t="shared" si="187"/>
        <v/>
      </c>
      <c r="W685" s="20" t="str">
        <f t="shared" si="188"/>
        <v/>
      </c>
      <c r="X685" s="20" t="str">
        <f t="shared" si="189"/>
        <v/>
      </c>
      <c r="Y685" s="86" t="str">
        <f t="shared" si="191"/>
        <v/>
      </c>
      <c r="Z685" s="31"/>
    </row>
    <row r="686" spans="2:26" outlineLevel="1">
      <c r="B686" s="14">
        <f t="shared" si="175"/>
        <v>683</v>
      </c>
      <c r="C686" s="37"/>
      <c r="D686" s="40"/>
      <c r="E686" s="39"/>
      <c r="F686" s="37"/>
      <c r="G686" s="39"/>
      <c r="H686" s="37"/>
      <c r="I686" s="37"/>
      <c r="J686" s="41" t="str">
        <f t="shared" si="176"/>
        <v/>
      </c>
      <c r="K686" s="12" t="str">
        <f t="shared" si="182"/>
        <v/>
      </c>
      <c r="L686" s="12" t="str">
        <f t="shared" si="183"/>
        <v/>
      </c>
      <c r="M686" s="12" t="str">
        <f t="shared" si="177"/>
        <v/>
      </c>
      <c r="N686" s="12" t="str">
        <f t="shared" si="178"/>
        <v/>
      </c>
      <c r="O686" s="12" t="str">
        <f t="shared" si="179"/>
        <v/>
      </c>
      <c r="P686" s="12" t="str">
        <f t="shared" si="180"/>
        <v/>
      </c>
      <c r="Q686" s="12" t="str">
        <f t="shared" si="184"/>
        <v/>
      </c>
      <c r="R686" s="26" t="str">
        <f t="shared" si="181"/>
        <v/>
      </c>
      <c r="S686" s="26" t="str">
        <f t="shared" si="190"/>
        <v/>
      </c>
      <c r="T686" s="26" t="str">
        <f t="shared" si="185"/>
        <v/>
      </c>
      <c r="U686" s="26" t="str">
        <f t="shared" si="186"/>
        <v/>
      </c>
      <c r="V686" s="26" t="str">
        <f t="shared" si="187"/>
        <v/>
      </c>
      <c r="W686" s="20" t="str">
        <f t="shared" si="188"/>
        <v/>
      </c>
      <c r="X686" s="20" t="str">
        <f t="shared" si="189"/>
        <v/>
      </c>
      <c r="Y686" s="86" t="str">
        <f t="shared" si="191"/>
        <v/>
      </c>
      <c r="Z686" s="31"/>
    </row>
    <row r="687" spans="2:26" outlineLevel="1">
      <c r="B687" s="14">
        <f t="shared" si="175"/>
        <v>684</v>
      </c>
      <c r="C687" s="37"/>
      <c r="D687" s="40"/>
      <c r="E687" s="39"/>
      <c r="F687" s="37"/>
      <c r="G687" s="39"/>
      <c r="H687" s="37"/>
      <c r="I687" s="37"/>
      <c r="J687" s="41" t="str">
        <f t="shared" si="176"/>
        <v/>
      </c>
      <c r="K687" s="12" t="str">
        <f t="shared" si="182"/>
        <v/>
      </c>
      <c r="L687" s="12" t="str">
        <f t="shared" si="183"/>
        <v/>
      </c>
      <c r="M687" s="12" t="str">
        <f t="shared" si="177"/>
        <v/>
      </c>
      <c r="N687" s="12" t="str">
        <f t="shared" si="178"/>
        <v/>
      </c>
      <c r="O687" s="12" t="str">
        <f t="shared" si="179"/>
        <v/>
      </c>
      <c r="P687" s="12" t="str">
        <f t="shared" si="180"/>
        <v/>
      </c>
      <c r="Q687" s="12" t="str">
        <f t="shared" si="184"/>
        <v/>
      </c>
      <c r="R687" s="26" t="str">
        <f t="shared" si="181"/>
        <v/>
      </c>
      <c r="S687" s="26" t="str">
        <f t="shared" si="190"/>
        <v/>
      </c>
      <c r="T687" s="26" t="str">
        <f t="shared" si="185"/>
        <v/>
      </c>
      <c r="U687" s="26" t="str">
        <f t="shared" si="186"/>
        <v/>
      </c>
      <c r="V687" s="26" t="str">
        <f t="shared" si="187"/>
        <v/>
      </c>
      <c r="W687" s="20" t="str">
        <f t="shared" si="188"/>
        <v/>
      </c>
      <c r="X687" s="20" t="str">
        <f t="shared" si="189"/>
        <v/>
      </c>
      <c r="Y687" s="86" t="str">
        <f t="shared" si="191"/>
        <v/>
      </c>
      <c r="Z687" s="31"/>
    </row>
    <row r="688" spans="2:26" outlineLevel="1">
      <c r="B688" s="14">
        <f t="shared" si="175"/>
        <v>685</v>
      </c>
      <c r="C688" s="37"/>
      <c r="D688" s="40"/>
      <c r="E688" s="39"/>
      <c r="F688" s="37"/>
      <c r="G688" s="39"/>
      <c r="H688" s="37"/>
      <c r="I688" s="37"/>
      <c r="J688" s="41" t="str">
        <f t="shared" si="176"/>
        <v/>
      </c>
      <c r="K688" s="12" t="str">
        <f t="shared" si="182"/>
        <v/>
      </c>
      <c r="L688" s="12" t="str">
        <f t="shared" si="183"/>
        <v/>
      </c>
      <c r="M688" s="12" t="str">
        <f t="shared" si="177"/>
        <v/>
      </c>
      <c r="N688" s="12" t="str">
        <f t="shared" si="178"/>
        <v/>
      </c>
      <c r="O688" s="12" t="str">
        <f t="shared" si="179"/>
        <v/>
      </c>
      <c r="P688" s="12" t="str">
        <f t="shared" si="180"/>
        <v/>
      </c>
      <c r="Q688" s="12" t="str">
        <f t="shared" si="184"/>
        <v/>
      </c>
      <c r="R688" s="26" t="str">
        <f t="shared" si="181"/>
        <v/>
      </c>
      <c r="S688" s="26" t="str">
        <f t="shared" si="190"/>
        <v/>
      </c>
      <c r="T688" s="26" t="str">
        <f t="shared" si="185"/>
        <v/>
      </c>
      <c r="U688" s="26" t="str">
        <f t="shared" si="186"/>
        <v/>
      </c>
      <c r="V688" s="26" t="str">
        <f t="shared" si="187"/>
        <v/>
      </c>
      <c r="W688" s="20" t="str">
        <f t="shared" si="188"/>
        <v/>
      </c>
      <c r="X688" s="20" t="str">
        <f t="shared" si="189"/>
        <v/>
      </c>
      <c r="Y688" s="86" t="str">
        <f t="shared" si="191"/>
        <v/>
      </c>
      <c r="Z688" s="31"/>
    </row>
    <row r="689" spans="2:26" outlineLevel="1">
      <c r="B689" s="14">
        <f t="shared" si="175"/>
        <v>686</v>
      </c>
      <c r="C689" s="37"/>
      <c r="D689" s="40"/>
      <c r="E689" s="39"/>
      <c r="F689" s="37"/>
      <c r="G689" s="39"/>
      <c r="H689" s="37"/>
      <c r="I689" s="37"/>
      <c r="J689" s="41" t="str">
        <f t="shared" si="176"/>
        <v/>
      </c>
      <c r="K689" s="12" t="str">
        <f t="shared" si="182"/>
        <v/>
      </c>
      <c r="L689" s="12" t="str">
        <f t="shared" si="183"/>
        <v/>
      </c>
      <c r="M689" s="12" t="str">
        <f t="shared" si="177"/>
        <v/>
      </c>
      <c r="N689" s="12" t="str">
        <f t="shared" si="178"/>
        <v/>
      </c>
      <c r="O689" s="12" t="str">
        <f t="shared" si="179"/>
        <v/>
      </c>
      <c r="P689" s="12" t="str">
        <f t="shared" si="180"/>
        <v/>
      </c>
      <c r="Q689" s="12" t="str">
        <f t="shared" si="184"/>
        <v/>
      </c>
      <c r="R689" s="26" t="str">
        <f t="shared" si="181"/>
        <v/>
      </c>
      <c r="S689" s="26" t="str">
        <f t="shared" si="190"/>
        <v/>
      </c>
      <c r="T689" s="26" t="str">
        <f t="shared" si="185"/>
        <v/>
      </c>
      <c r="U689" s="26" t="str">
        <f t="shared" si="186"/>
        <v/>
      </c>
      <c r="V689" s="26" t="str">
        <f t="shared" si="187"/>
        <v/>
      </c>
      <c r="W689" s="20" t="str">
        <f t="shared" si="188"/>
        <v/>
      </c>
      <c r="X689" s="20" t="str">
        <f t="shared" si="189"/>
        <v/>
      </c>
      <c r="Y689" s="86" t="str">
        <f t="shared" si="191"/>
        <v/>
      </c>
      <c r="Z689" s="31"/>
    </row>
    <row r="690" spans="2:26" outlineLevel="1">
      <c r="B690" s="14">
        <f t="shared" si="175"/>
        <v>687</v>
      </c>
      <c r="C690" s="37"/>
      <c r="D690" s="40"/>
      <c r="E690" s="39"/>
      <c r="F690" s="37"/>
      <c r="G690" s="39"/>
      <c r="H690" s="37"/>
      <c r="I690" s="37"/>
      <c r="J690" s="41" t="str">
        <f t="shared" si="176"/>
        <v/>
      </c>
      <c r="K690" s="12" t="str">
        <f t="shared" si="182"/>
        <v/>
      </c>
      <c r="L690" s="12" t="str">
        <f t="shared" si="183"/>
        <v/>
      </c>
      <c r="M690" s="12" t="str">
        <f t="shared" si="177"/>
        <v/>
      </c>
      <c r="N690" s="12" t="str">
        <f t="shared" si="178"/>
        <v/>
      </c>
      <c r="O690" s="12" t="str">
        <f t="shared" si="179"/>
        <v/>
      </c>
      <c r="P690" s="12" t="str">
        <f t="shared" si="180"/>
        <v/>
      </c>
      <c r="Q690" s="12" t="str">
        <f t="shared" si="184"/>
        <v/>
      </c>
      <c r="R690" s="26" t="str">
        <f t="shared" si="181"/>
        <v/>
      </c>
      <c r="S690" s="26" t="str">
        <f t="shared" si="190"/>
        <v/>
      </c>
      <c r="T690" s="26" t="str">
        <f t="shared" si="185"/>
        <v/>
      </c>
      <c r="U690" s="26" t="str">
        <f t="shared" si="186"/>
        <v/>
      </c>
      <c r="V690" s="26" t="str">
        <f t="shared" si="187"/>
        <v/>
      </c>
      <c r="W690" s="20" t="str">
        <f t="shared" si="188"/>
        <v/>
      </c>
      <c r="X690" s="20" t="str">
        <f t="shared" si="189"/>
        <v/>
      </c>
      <c r="Y690" s="86" t="str">
        <f t="shared" si="191"/>
        <v/>
      </c>
      <c r="Z690" s="31"/>
    </row>
    <row r="691" spans="2:26" outlineLevel="1">
      <c r="B691" s="14">
        <f t="shared" si="175"/>
        <v>688</v>
      </c>
      <c r="C691" s="37"/>
      <c r="D691" s="40"/>
      <c r="E691" s="39"/>
      <c r="F691" s="37"/>
      <c r="G691" s="39"/>
      <c r="H691" s="37"/>
      <c r="I691" s="37"/>
      <c r="J691" s="41" t="str">
        <f t="shared" si="176"/>
        <v/>
      </c>
      <c r="K691" s="12" t="str">
        <f t="shared" si="182"/>
        <v/>
      </c>
      <c r="L691" s="12" t="str">
        <f t="shared" si="183"/>
        <v/>
      </c>
      <c r="M691" s="12" t="str">
        <f t="shared" si="177"/>
        <v/>
      </c>
      <c r="N691" s="12" t="str">
        <f t="shared" si="178"/>
        <v/>
      </c>
      <c r="O691" s="12" t="str">
        <f t="shared" si="179"/>
        <v/>
      </c>
      <c r="P691" s="12" t="str">
        <f t="shared" si="180"/>
        <v/>
      </c>
      <c r="Q691" s="12" t="str">
        <f t="shared" si="184"/>
        <v/>
      </c>
      <c r="R691" s="26" t="str">
        <f t="shared" si="181"/>
        <v/>
      </c>
      <c r="S691" s="26" t="str">
        <f t="shared" si="190"/>
        <v/>
      </c>
      <c r="T691" s="26" t="str">
        <f t="shared" si="185"/>
        <v/>
      </c>
      <c r="U691" s="26" t="str">
        <f t="shared" si="186"/>
        <v/>
      </c>
      <c r="V691" s="26" t="str">
        <f t="shared" si="187"/>
        <v/>
      </c>
      <c r="W691" s="20" t="str">
        <f t="shared" si="188"/>
        <v/>
      </c>
      <c r="X691" s="20" t="str">
        <f t="shared" si="189"/>
        <v/>
      </c>
      <c r="Y691" s="86" t="str">
        <f t="shared" si="191"/>
        <v/>
      </c>
      <c r="Z691" s="31"/>
    </row>
    <row r="692" spans="2:26" outlineLevel="1">
      <c r="B692" s="14">
        <f t="shared" si="175"/>
        <v>689</v>
      </c>
      <c r="C692" s="37"/>
      <c r="D692" s="40"/>
      <c r="E692" s="39"/>
      <c r="F692" s="37"/>
      <c r="G692" s="39"/>
      <c r="H692" s="37"/>
      <c r="I692" s="37"/>
      <c r="J692" s="41" t="str">
        <f t="shared" si="176"/>
        <v/>
      </c>
      <c r="K692" s="12" t="str">
        <f t="shared" si="182"/>
        <v/>
      </c>
      <c r="L692" s="12" t="str">
        <f t="shared" si="183"/>
        <v/>
      </c>
      <c r="M692" s="12" t="str">
        <f t="shared" si="177"/>
        <v/>
      </c>
      <c r="N692" s="12" t="str">
        <f t="shared" si="178"/>
        <v/>
      </c>
      <c r="O692" s="12" t="str">
        <f t="shared" si="179"/>
        <v/>
      </c>
      <c r="P692" s="12" t="str">
        <f t="shared" si="180"/>
        <v/>
      </c>
      <c r="Q692" s="12" t="str">
        <f t="shared" si="184"/>
        <v/>
      </c>
      <c r="R692" s="26" t="str">
        <f t="shared" si="181"/>
        <v/>
      </c>
      <c r="S692" s="26" t="str">
        <f t="shared" si="190"/>
        <v/>
      </c>
      <c r="T692" s="26" t="str">
        <f t="shared" si="185"/>
        <v/>
      </c>
      <c r="U692" s="26" t="str">
        <f t="shared" si="186"/>
        <v/>
      </c>
      <c r="V692" s="26" t="str">
        <f t="shared" si="187"/>
        <v/>
      </c>
      <c r="W692" s="20" t="str">
        <f t="shared" si="188"/>
        <v/>
      </c>
      <c r="X692" s="20" t="str">
        <f t="shared" si="189"/>
        <v/>
      </c>
      <c r="Y692" s="86" t="str">
        <f t="shared" si="191"/>
        <v/>
      </c>
      <c r="Z692" s="31"/>
    </row>
    <row r="693" spans="2:26" outlineLevel="1">
      <c r="B693" s="14">
        <f t="shared" si="175"/>
        <v>690</v>
      </c>
      <c r="C693" s="37"/>
      <c r="D693" s="40"/>
      <c r="E693" s="39"/>
      <c r="F693" s="37"/>
      <c r="G693" s="39"/>
      <c r="H693" s="37"/>
      <c r="I693" s="37"/>
      <c r="J693" s="41" t="str">
        <f t="shared" si="176"/>
        <v/>
      </c>
      <c r="K693" s="12" t="str">
        <f t="shared" si="182"/>
        <v/>
      </c>
      <c r="L693" s="12" t="str">
        <f t="shared" si="183"/>
        <v/>
      </c>
      <c r="M693" s="12" t="str">
        <f t="shared" si="177"/>
        <v/>
      </c>
      <c r="N693" s="12" t="str">
        <f t="shared" si="178"/>
        <v/>
      </c>
      <c r="O693" s="12" t="str">
        <f t="shared" si="179"/>
        <v/>
      </c>
      <c r="P693" s="12" t="str">
        <f t="shared" si="180"/>
        <v/>
      </c>
      <c r="Q693" s="12" t="str">
        <f t="shared" si="184"/>
        <v/>
      </c>
      <c r="R693" s="26" t="str">
        <f t="shared" si="181"/>
        <v/>
      </c>
      <c r="S693" s="26" t="str">
        <f t="shared" si="190"/>
        <v/>
      </c>
      <c r="T693" s="26" t="str">
        <f t="shared" si="185"/>
        <v/>
      </c>
      <c r="U693" s="26" t="str">
        <f t="shared" si="186"/>
        <v/>
      </c>
      <c r="V693" s="26" t="str">
        <f t="shared" si="187"/>
        <v/>
      </c>
      <c r="W693" s="20" t="str">
        <f t="shared" si="188"/>
        <v/>
      </c>
      <c r="X693" s="20" t="str">
        <f t="shared" si="189"/>
        <v/>
      </c>
      <c r="Y693" s="86" t="str">
        <f t="shared" si="191"/>
        <v/>
      </c>
      <c r="Z693" s="31"/>
    </row>
    <row r="694" spans="2:26" outlineLevel="1">
      <c r="B694" s="14">
        <f t="shared" si="175"/>
        <v>691</v>
      </c>
      <c r="C694" s="37"/>
      <c r="D694" s="40"/>
      <c r="E694" s="39"/>
      <c r="F694" s="37"/>
      <c r="G694" s="39"/>
      <c r="H694" s="37"/>
      <c r="I694" s="37"/>
      <c r="J694" s="41" t="str">
        <f t="shared" si="176"/>
        <v/>
      </c>
      <c r="K694" s="12" t="str">
        <f t="shared" si="182"/>
        <v/>
      </c>
      <c r="L694" s="12" t="str">
        <f t="shared" si="183"/>
        <v/>
      </c>
      <c r="M694" s="12" t="str">
        <f t="shared" si="177"/>
        <v/>
      </c>
      <c r="N694" s="12" t="str">
        <f t="shared" si="178"/>
        <v/>
      </c>
      <c r="O694" s="12" t="str">
        <f t="shared" si="179"/>
        <v/>
      </c>
      <c r="P694" s="12" t="str">
        <f t="shared" si="180"/>
        <v/>
      </c>
      <c r="Q694" s="12" t="str">
        <f t="shared" si="184"/>
        <v/>
      </c>
      <c r="R694" s="26" t="str">
        <f t="shared" si="181"/>
        <v/>
      </c>
      <c r="S694" s="26" t="str">
        <f t="shared" si="190"/>
        <v/>
      </c>
      <c r="T694" s="26" t="str">
        <f t="shared" si="185"/>
        <v/>
      </c>
      <c r="U694" s="26" t="str">
        <f t="shared" si="186"/>
        <v/>
      </c>
      <c r="V694" s="26" t="str">
        <f t="shared" si="187"/>
        <v/>
      </c>
      <c r="W694" s="20" t="str">
        <f t="shared" si="188"/>
        <v/>
      </c>
      <c r="X694" s="20" t="str">
        <f t="shared" si="189"/>
        <v/>
      </c>
      <c r="Y694" s="86" t="str">
        <f t="shared" si="191"/>
        <v/>
      </c>
      <c r="Z694" s="31"/>
    </row>
    <row r="695" spans="2:26" outlineLevel="1">
      <c r="B695" s="14">
        <f t="shared" si="175"/>
        <v>692</v>
      </c>
      <c r="C695" s="37"/>
      <c r="D695" s="40"/>
      <c r="E695" s="39"/>
      <c r="F695" s="37"/>
      <c r="G695" s="39"/>
      <c r="H695" s="37"/>
      <c r="I695" s="37"/>
      <c r="J695" s="41" t="str">
        <f t="shared" si="176"/>
        <v/>
      </c>
      <c r="K695" s="12" t="str">
        <f t="shared" si="182"/>
        <v/>
      </c>
      <c r="L695" s="12" t="str">
        <f t="shared" si="183"/>
        <v/>
      </c>
      <c r="M695" s="12" t="str">
        <f t="shared" si="177"/>
        <v/>
      </c>
      <c r="N695" s="12" t="str">
        <f t="shared" si="178"/>
        <v/>
      </c>
      <c r="O695" s="12" t="str">
        <f t="shared" si="179"/>
        <v/>
      </c>
      <c r="P695" s="12" t="str">
        <f t="shared" si="180"/>
        <v/>
      </c>
      <c r="Q695" s="12" t="str">
        <f t="shared" si="184"/>
        <v/>
      </c>
      <c r="R695" s="26" t="str">
        <f t="shared" si="181"/>
        <v/>
      </c>
      <c r="S695" s="26" t="str">
        <f t="shared" si="190"/>
        <v/>
      </c>
      <c r="T695" s="26" t="str">
        <f t="shared" si="185"/>
        <v/>
      </c>
      <c r="U695" s="26" t="str">
        <f t="shared" si="186"/>
        <v/>
      </c>
      <c r="V695" s="26" t="str">
        <f t="shared" si="187"/>
        <v/>
      </c>
      <c r="W695" s="20" t="str">
        <f t="shared" si="188"/>
        <v/>
      </c>
      <c r="X695" s="20" t="str">
        <f t="shared" si="189"/>
        <v/>
      </c>
      <c r="Y695" s="86" t="str">
        <f t="shared" si="191"/>
        <v/>
      </c>
      <c r="Z695" s="31"/>
    </row>
    <row r="696" spans="2:26" outlineLevel="1">
      <c r="B696" s="14">
        <f t="shared" si="175"/>
        <v>693</v>
      </c>
      <c r="C696" s="37"/>
      <c r="D696" s="40"/>
      <c r="E696" s="39"/>
      <c r="F696" s="37"/>
      <c r="G696" s="39"/>
      <c r="H696" s="37"/>
      <c r="I696" s="37"/>
      <c r="J696" s="41" t="str">
        <f t="shared" si="176"/>
        <v/>
      </c>
      <c r="K696" s="12" t="str">
        <f t="shared" si="182"/>
        <v/>
      </c>
      <c r="L696" s="12" t="str">
        <f t="shared" si="183"/>
        <v/>
      </c>
      <c r="M696" s="12" t="str">
        <f t="shared" si="177"/>
        <v/>
      </c>
      <c r="N696" s="12" t="str">
        <f t="shared" si="178"/>
        <v/>
      </c>
      <c r="O696" s="12" t="str">
        <f t="shared" si="179"/>
        <v/>
      </c>
      <c r="P696" s="12" t="str">
        <f t="shared" si="180"/>
        <v/>
      </c>
      <c r="Q696" s="12" t="str">
        <f t="shared" si="184"/>
        <v/>
      </c>
      <c r="R696" s="26" t="str">
        <f t="shared" si="181"/>
        <v/>
      </c>
      <c r="S696" s="26" t="str">
        <f t="shared" si="190"/>
        <v/>
      </c>
      <c r="T696" s="26" t="str">
        <f t="shared" si="185"/>
        <v/>
      </c>
      <c r="U696" s="26" t="str">
        <f t="shared" si="186"/>
        <v/>
      </c>
      <c r="V696" s="26" t="str">
        <f t="shared" si="187"/>
        <v/>
      </c>
      <c r="W696" s="20" t="str">
        <f t="shared" si="188"/>
        <v/>
      </c>
      <c r="X696" s="20" t="str">
        <f t="shared" si="189"/>
        <v/>
      </c>
      <c r="Y696" s="86" t="str">
        <f t="shared" si="191"/>
        <v/>
      </c>
      <c r="Z696" s="31"/>
    </row>
    <row r="697" spans="2:26" outlineLevel="1">
      <c r="B697" s="14">
        <f t="shared" si="175"/>
        <v>694</v>
      </c>
      <c r="C697" s="37"/>
      <c r="D697" s="40"/>
      <c r="E697" s="39"/>
      <c r="F697" s="37"/>
      <c r="G697" s="39"/>
      <c r="H697" s="37"/>
      <c r="I697" s="37"/>
      <c r="J697" s="41" t="str">
        <f t="shared" si="176"/>
        <v/>
      </c>
      <c r="K697" s="12" t="str">
        <f t="shared" si="182"/>
        <v/>
      </c>
      <c r="L697" s="12" t="str">
        <f t="shared" si="183"/>
        <v/>
      </c>
      <c r="M697" s="12" t="str">
        <f t="shared" si="177"/>
        <v/>
      </c>
      <c r="N697" s="12" t="str">
        <f t="shared" si="178"/>
        <v/>
      </c>
      <c r="O697" s="12" t="str">
        <f t="shared" si="179"/>
        <v/>
      </c>
      <c r="P697" s="12" t="str">
        <f t="shared" si="180"/>
        <v/>
      </c>
      <c r="Q697" s="12" t="str">
        <f t="shared" si="184"/>
        <v/>
      </c>
      <c r="R697" s="26" t="str">
        <f t="shared" si="181"/>
        <v/>
      </c>
      <c r="S697" s="26" t="str">
        <f t="shared" si="190"/>
        <v/>
      </c>
      <c r="T697" s="26" t="str">
        <f t="shared" si="185"/>
        <v/>
      </c>
      <c r="U697" s="26" t="str">
        <f t="shared" si="186"/>
        <v/>
      </c>
      <c r="V697" s="26" t="str">
        <f t="shared" si="187"/>
        <v/>
      </c>
      <c r="W697" s="20" t="str">
        <f t="shared" si="188"/>
        <v/>
      </c>
      <c r="X697" s="20" t="str">
        <f t="shared" si="189"/>
        <v/>
      </c>
      <c r="Y697" s="86" t="str">
        <f t="shared" si="191"/>
        <v/>
      </c>
      <c r="Z697" s="31"/>
    </row>
    <row r="698" spans="2:26" outlineLevel="1">
      <c r="B698" s="14">
        <f t="shared" si="175"/>
        <v>695</v>
      </c>
      <c r="C698" s="37"/>
      <c r="D698" s="40"/>
      <c r="E698" s="39"/>
      <c r="F698" s="37"/>
      <c r="G698" s="39"/>
      <c r="H698" s="37"/>
      <c r="I698" s="37"/>
      <c r="J698" s="41" t="str">
        <f t="shared" si="176"/>
        <v/>
      </c>
      <c r="K698" s="12" t="str">
        <f t="shared" si="182"/>
        <v/>
      </c>
      <c r="L698" s="12" t="str">
        <f t="shared" si="183"/>
        <v/>
      </c>
      <c r="M698" s="12" t="str">
        <f t="shared" si="177"/>
        <v/>
      </c>
      <c r="N698" s="12" t="str">
        <f t="shared" si="178"/>
        <v/>
      </c>
      <c r="O698" s="12" t="str">
        <f t="shared" si="179"/>
        <v/>
      </c>
      <c r="P698" s="12" t="str">
        <f t="shared" si="180"/>
        <v/>
      </c>
      <c r="Q698" s="12" t="str">
        <f t="shared" si="184"/>
        <v/>
      </c>
      <c r="R698" s="26" t="str">
        <f t="shared" si="181"/>
        <v/>
      </c>
      <c r="S698" s="26" t="str">
        <f t="shared" si="190"/>
        <v/>
      </c>
      <c r="T698" s="26" t="str">
        <f t="shared" si="185"/>
        <v/>
      </c>
      <c r="U698" s="26" t="str">
        <f t="shared" si="186"/>
        <v/>
      </c>
      <c r="V698" s="26" t="str">
        <f t="shared" si="187"/>
        <v/>
      </c>
      <c r="W698" s="20" t="str">
        <f t="shared" si="188"/>
        <v/>
      </c>
      <c r="X698" s="20" t="str">
        <f t="shared" si="189"/>
        <v/>
      </c>
      <c r="Y698" s="86" t="str">
        <f t="shared" si="191"/>
        <v/>
      </c>
      <c r="Z698" s="31"/>
    </row>
    <row r="699" spans="2:26" outlineLevel="1">
      <c r="B699" s="14">
        <f t="shared" si="175"/>
        <v>696</v>
      </c>
      <c r="C699" s="37"/>
      <c r="D699" s="40"/>
      <c r="E699" s="39"/>
      <c r="F699" s="37"/>
      <c r="G699" s="39"/>
      <c r="H699" s="37"/>
      <c r="I699" s="37"/>
      <c r="J699" s="41" t="str">
        <f t="shared" si="176"/>
        <v/>
      </c>
      <c r="K699" s="12" t="str">
        <f t="shared" si="182"/>
        <v/>
      </c>
      <c r="L699" s="12" t="str">
        <f t="shared" si="183"/>
        <v/>
      </c>
      <c r="M699" s="12" t="str">
        <f t="shared" si="177"/>
        <v/>
      </c>
      <c r="N699" s="12" t="str">
        <f t="shared" si="178"/>
        <v/>
      </c>
      <c r="O699" s="12" t="str">
        <f t="shared" si="179"/>
        <v/>
      </c>
      <c r="P699" s="12" t="str">
        <f t="shared" si="180"/>
        <v/>
      </c>
      <c r="Q699" s="12" t="str">
        <f t="shared" si="184"/>
        <v/>
      </c>
      <c r="R699" s="26" t="str">
        <f t="shared" si="181"/>
        <v/>
      </c>
      <c r="S699" s="26" t="str">
        <f t="shared" si="190"/>
        <v/>
      </c>
      <c r="T699" s="26" t="str">
        <f t="shared" si="185"/>
        <v/>
      </c>
      <c r="U699" s="26" t="str">
        <f t="shared" si="186"/>
        <v/>
      </c>
      <c r="V699" s="26" t="str">
        <f t="shared" si="187"/>
        <v/>
      </c>
      <c r="W699" s="20" t="str">
        <f t="shared" si="188"/>
        <v/>
      </c>
      <c r="X699" s="20" t="str">
        <f t="shared" si="189"/>
        <v/>
      </c>
      <c r="Y699" s="86" t="str">
        <f t="shared" si="191"/>
        <v/>
      </c>
      <c r="Z699" s="31"/>
    </row>
    <row r="700" spans="2:26" outlineLevel="1">
      <c r="B700" s="14">
        <f t="shared" si="175"/>
        <v>697</v>
      </c>
      <c r="C700" s="37"/>
      <c r="D700" s="40"/>
      <c r="E700" s="39"/>
      <c r="F700" s="37"/>
      <c r="G700" s="39"/>
      <c r="H700" s="37"/>
      <c r="I700" s="37"/>
      <c r="J700" s="41" t="str">
        <f t="shared" si="176"/>
        <v/>
      </c>
      <c r="K700" s="12" t="str">
        <f t="shared" si="182"/>
        <v/>
      </c>
      <c r="L700" s="12" t="str">
        <f t="shared" si="183"/>
        <v/>
      </c>
      <c r="M700" s="12" t="str">
        <f t="shared" si="177"/>
        <v/>
      </c>
      <c r="N700" s="12" t="str">
        <f t="shared" si="178"/>
        <v/>
      </c>
      <c r="O700" s="12" t="str">
        <f t="shared" si="179"/>
        <v/>
      </c>
      <c r="P700" s="12" t="str">
        <f t="shared" si="180"/>
        <v/>
      </c>
      <c r="Q700" s="12" t="str">
        <f t="shared" si="184"/>
        <v/>
      </c>
      <c r="R700" s="26" t="str">
        <f t="shared" si="181"/>
        <v/>
      </c>
      <c r="S700" s="26" t="str">
        <f t="shared" si="190"/>
        <v/>
      </c>
      <c r="T700" s="26" t="str">
        <f t="shared" si="185"/>
        <v/>
      </c>
      <c r="U700" s="26" t="str">
        <f t="shared" si="186"/>
        <v/>
      </c>
      <c r="V700" s="26" t="str">
        <f t="shared" si="187"/>
        <v/>
      </c>
      <c r="W700" s="20" t="str">
        <f t="shared" si="188"/>
        <v/>
      </c>
      <c r="X700" s="20" t="str">
        <f t="shared" si="189"/>
        <v/>
      </c>
      <c r="Y700" s="86" t="str">
        <f t="shared" si="191"/>
        <v/>
      </c>
      <c r="Z700" s="31"/>
    </row>
    <row r="701" spans="2:26" outlineLevel="1">
      <c r="B701" s="14">
        <f t="shared" si="175"/>
        <v>698</v>
      </c>
      <c r="C701" s="37"/>
      <c r="D701" s="40"/>
      <c r="E701" s="39"/>
      <c r="F701" s="37"/>
      <c r="G701" s="39"/>
      <c r="H701" s="37"/>
      <c r="I701" s="37"/>
      <c r="J701" s="41" t="str">
        <f t="shared" si="176"/>
        <v/>
      </c>
      <c r="K701" s="12" t="str">
        <f t="shared" si="182"/>
        <v/>
      </c>
      <c r="L701" s="12" t="str">
        <f t="shared" si="183"/>
        <v/>
      </c>
      <c r="M701" s="12" t="str">
        <f t="shared" si="177"/>
        <v/>
      </c>
      <c r="N701" s="12" t="str">
        <f t="shared" si="178"/>
        <v/>
      </c>
      <c r="O701" s="12" t="str">
        <f t="shared" si="179"/>
        <v/>
      </c>
      <c r="P701" s="12" t="str">
        <f t="shared" si="180"/>
        <v/>
      </c>
      <c r="Q701" s="12" t="str">
        <f t="shared" si="184"/>
        <v/>
      </c>
      <c r="R701" s="26" t="str">
        <f t="shared" si="181"/>
        <v/>
      </c>
      <c r="S701" s="26" t="str">
        <f t="shared" si="190"/>
        <v/>
      </c>
      <c r="T701" s="26" t="str">
        <f t="shared" si="185"/>
        <v/>
      </c>
      <c r="U701" s="26" t="str">
        <f t="shared" si="186"/>
        <v/>
      </c>
      <c r="V701" s="26" t="str">
        <f t="shared" si="187"/>
        <v/>
      </c>
      <c r="W701" s="20" t="str">
        <f t="shared" si="188"/>
        <v/>
      </c>
      <c r="X701" s="20" t="str">
        <f t="shared" si="189"/>
        <v/>
      </c>
      <c r="Y701" s="86" t="str">
        <f t="shared" si="191"/>
        <v/>
      </c>
      <c r="Z701" s="31"/>
    </row>
    <row r="702" spans="2:26" outlineLevel="1">
      <c r="B702" s="14">
        <f t="shared" si="175"/>
        <v>699</v>
      </c>
      <c r="C702" s="37"/>
      <c r="D702" s="40"/>
      <c r="E702" s="39"/>
      <c r="F702" s="37"/>
      <c r="G702" s="39"/>
      <c r="H702" s="37"/>
      <c r="I702" s="37"/>
      <c r="J702" s="41" t="str">
        <f t="shared" si="176"/>
        <v/>
      </c>
      <c r="K702" s="12" t="str">
        <f t="shared" si="182"/>
        <v/>
      </c>
      <c r="L702" s="12" t="str">
        <f t="shared" si="183"/>
        <v/>
      </c>
      <c r="M702" s="12" t="str">
        <f t="shared" si="177"/>
        <v/>
      </c>
      <c r="N702" s="12" t="str">
        <f t="shared" si="178"/>
        <v/>
      </c>
      <c r="O702" s="12" t="str">
        <f t="shared" si="179"/>
        <v/>
      </c>
      <c r="P702" s="12" t="str">
        <f t="shared" si="180"/>
        <v/>
      </c>
      <c r="Q702" s="12" t="str">
        <f t="shared" si="184"/>
        <v/>
      </c>
      <c r="R702" s="26" t="str">
        <f t="shared" si="181"/>
        <v/>
      </c>
      <c r="S702" s="26" t="str">
        <f t="shared" si="190"/>
        <v/>
      </c>
      <c r="T702" s="26" t="str">
        <f t="shared" si="185"/>
        <v/>
      </c>
      <c r="U702" s="26" t="str">
        <f t="shared" si="186"/>
        <v/>
      </c>
      <c r="V702" s="26" t="str">
        <f t="shared" si="187"/>
        <v/>
      </c>
      <c r="W702" s="20" t="str">
        <f t="shared" si="188"/>
        <v/>
      </c>
      <c r="X702" s="20" t="str">
        <f t="shared" si="189"/>
        <v/>
      </c>
      <c r="Y702" s="86" t="str">
        <f t="shared" si="191"/>
        <v/>
      </c>
      <c r="Z702" s="31"/>
    </row>
    <row r="703" spans="2:26" outlineLevel="1">
      <c r="B703" s="14">
        <f t="shared" si="175"/>
        <v>700</v>
      </c>
      <c r="C703" s="37"/>
      <c r="D703" s="40"/>
      <c r="E703" s="39"/>
      <c r="F703" s="37"/>
      <c r="G703" s="39"/>
      <c r="H703" s="37"/>
      <c r="I703" s="37"/>
      <c r="J703" s="41" t="str">
        <f t="shared" si="176"/>
        <v/>
      </c>
      <c r="K703" s="12" t="str">
        <f t="shared" si="182"/>
        <v/>
      </c>
      <c r="L703" s="12" t="str">
        <f t="shared" si="183"/>
        <v/>
      </c>
      <c r="M703" s="12" t="str">
        <f t="shared" si="177"/>
        <v/>
      </c>
      <c r="N703" s="12" t="str">
        <f t="shared" si="178"/>
        <v/>
      </c>
      <c r="O703" s="12" t="str">
        <f t="shared" si="179"/>
        <v/>
      </c>
      <c r="P703" s="12" t="str">
        <f t="shared" si="180"/>
        <v/>
      </c>
      <c r="Q703" s="12" t="str">
        <f t="shared" si="184"/>
        <v/>
      </c>
      <c r="R703" s="26" t="str">
        <f t="shared" si="181"/>
        <v/>
      </c>
      <c r="S703" s="26" t="str">
        <f t="shared" si="190"/>
        <v/>
      </c>
      <c r="T703" s="26" t="str">
        <f t="shared" si="185"/>
        <v/>
      </c>
      <c r="U703" s="26" t="str">
        <f t="shared" si="186"/>
        <v/>
      </c>
      <c r="V703" s="26" t="str">
        <f t="shared" si="187"/>
        <v/>
      </c>
      <c r="W703" s="20" t="str">
        <f t="shared" si="188"/>
        <v/>
      </c>
      <c r="X703" s="20" t="str">
        <f t="shared" si="189"/>
        <v/>
      </c>
      <c r="Y703" s="86" t="str">
        <f t="shared" si="191"/>
        <v/>
      </c>
      <c r="Z703" s="31"/>
    </row>
    <row r="704" spans="2:26" outlineLevel="1">
      <c r="B704" s="14">
        <f t="shared" si="175"/>
        <v>701</v>
      </c>
      <c r="C704" s="37"/>
      <c r="D704" s="40"/>
      <c r="E704" s="39"/>
      <c r="F704" s="37"/>
      <c r="G704" s="39"/>
      <c r="H704" s="37"/>
      <c r="I704" s="37"/>
      <c r="J704" s="41" t="str">
        <f t="shared" si="176"/>
        <v/>
      </c>
      <c r="K704" s="12" t="str">
        <f t="shared" si="182"/>
        <v/>
      </c>
      <c r="L704" s="12" t="str">
        <f t="shared" si="183"/>
        <v/>
      </c>
      <c r="M704" s="12" t="str">
        <f t="shared" si="177"/>
        <v/>
      </c>
      <c r="N704" s="12" t="str">
        <f t="shared" si="178"/>
        <v/>
      </c>
      <c r="O704" s="12" t="str">
        <f t="shared" si="179"/>
        <v/>
      </c>
      <c r="P704" s="12" t="str">
        <f t="shared" si="180"/>
        <v/>
      </c>
      <c r="Q704" s="12" t="str">
        <f t="shared" si="184"/>
        <v/>
      </c>
      <c r="R704" s="26" t="str">
        <f t="shared" si="181"/>
        <v/>
      </c>
      <c r="S704" s="26" t="str">
        <f t="shared" si="190"/>
        <v/>
      </c>
      <c r="T704" s="26" t="str">
        <f t="shared" si="185"/>
        <v/>
      </c>
      <c r="U704" s="26" t="str">
        <f t="shared" si="186"/>
        <v/>
      </c>
      <c r="V704" s="26" t="str">
        <f t="shared" si="187"/>
        <v/>
      </c>
      <c r="W704" s="20" t="str">
        <f t="shared" si="188"/>
        <v/>
      </c>
      <c r="X704" s="20" t="str">
        <f t="shared" si="189"/>
        <v/>
      </c>
      <c r="Y704" s="86" t="str">
        <f t="shared" si="191"/>
        <v/>
      </c>
      <c r="Z704" s="31"/>
    </row>
    <row r="705" spans="2:26" outlineLevel="1">
      <c r="B705" s="14">
        <f t="shared" si="175"/>
        <v>702</v>
      </c>
      <c r="C705" s="37"/>
      <c r="D705" s="40"/>
      <c r="E705" s="39"/>
      <c r="F705" s="37"/>
      <c r="G705" s="39"/>
      <c r="H705" s="37"/>
      <c r="I705" s="37"/>
      <c r="J705" s="41" t="str">
        <f t="shared" si="176"/>
        <v/>
      </c>
      <c r="K705" s="12" t="str">
        <f t="shared" si="182"/>
        <v/>
      </c>
      <c r="L705" s="12" t="str">
        <f t="shared" si="183"/>
        <v/>
      </c>
      <c r="M705" s="12" t="str">
        <f t="shared" si="177"/>
        <v/>
      </c>
      <c r="N705" s="12" t="str">
        <f t="shared" si="178"/>
        <v/>
      </c>
      <c r="O705" s="12" t="str">
        <f t="shared" si="179"/>
        <v/>
      </c>
      <c r="P705" s="12" t="str">
        <f t="shared" si="180"/>
        <v/>
      </c>
      <c r="Q705" s="12" t="str">
        <f t="shared" si="184"/>
        <v/>
      </c>
      <c r="R705" s="26" t="str">
        <f t="shared" si="181"/>
        <v/>
      </c>
      <c r="S705" s="26" t="str">
        <f t="shared" si="190"/>
        <v/>
      </c>
      <c r="T705" s="26" t="str">
        <f t="shared" si="185"/>
        <v/>
      </c>
      <c r="U705" s="26" t="str">
        <f t="shared" si="186"/>
        <v/>
      </c>
      <c r="V705" s="26" t="str">
        <f t="shared" si="187"/>
        <v/>
      </c>
      <c r="W705" s="20" t="str">
        <f t="shared" si="188"/>
        <v/>
      </c>
      <c r="X705" s="20" t="str">
        <f t="shared" si="189"/>
        <v/>
      </c>
      <c r="Y705" s="86" t="str">
        <f t="shared" si="191"/>
        <v/>
      </c>
      <c r="Z705" s="31"/>
    </row>
    <row r="706" spans="2:26" outlineLevel="1">
      <c r="B706" s="14">
        <f t="shared" ref="B706:B753" si="192">1+B705</f>
        <v>703</v>
      </c>
      <c r="C706" s="37"/>
      <c r="D706" s="40"/>
      <c r="E706" s="39"/>
      <c r="F706" s="37"/>
      <c r="G706" s="39"/>
      <c r="H706" s="37"/>
      <c r="I706" s="37"/>
      <c r="J706" s="41" t="str">
        <f t="shared" si="176"/>
        <v/>
      </c>
      <c r="K706" s="12" t="str">
        <f t="shared" si="182"/>
        <v/>
      </c>
      <c r="L706" s="12" t="str">
        <f t="shared" si="183"/>
        <v/>
      </c>
      <c r="M706" s="12" t="str">
        <f t="shared" si="177"/>
        <v/>
      </c>
      <c r="N706" s="12" t="str">
        <f t="shared" si="178"/>
        <v/>
      </c>
      <c r="O706" s="12" t="str">
        <f t="shared" si="179"/>
        <v/>
      </c>
      <c r="P706" s="12" t="str">
        <f t="shared" si="180"/>
        <v/>
      </c>
      <c r="Q706" s="12" t="str">
        <f t="shared" si="184"/>
        <v/>
      </c>
      <c r="R706" s="26" t="str">
        <f t="shared" si="181"/>
        <v/>
      </c>
      <c r="S706" s="26" t="str">
        <f t="shared" si="190"/>
        <v/>
      </c>
      <c r="T706" s="26" t="str">
        <f t="shared" si="185"/>
        <v/>
      </c>
      <c r="U706" s="26" t="str">
        <f t="shared" si="186"/>
        <v/>
      </c>
      <c r="V706" s="26" t="str">
        <f t="shared" si="187"/>
        <v/>
      </c>
      <c r="W706" s="20" t="str">
        <f t="shared" si="188"/>
        <v/>
      </c>
      <c r="X706" s="20" t="str">
        <f t="shared" si="189"/>
        <v/>
      </c>
      <c r="Y706" s="86" t="str">
        <f t="shared" si="191"/>
        <v/>
      </c>
      <c r="Z706" s="31"/>
    </row>
    <row r="707" spans="2:26" outlineLevel="1">
      <c r="B707" s="14">
        <f t="shared" si="192"/>
        <v>704</v>
      </c>
      <c r="C707" s="37"/>
      <c r="D707" s="40"/>
      <c r="E707" s="39"/>
      <c r="F707" s="37"/>
      <c r="G707" s="39"/>
      <c r="H707" s="37"/>
      <c r="I707" s="37"/>
      <c r="J707" s="41" t="str">
        <f t="shared" si="176"/>
        <v/>
      </c>
      <c r="K707" s="12" t="str">
        <f t="shared" si="182"/>
        <v/>
      </c>
      <c r="L707" s="12" t="str">
        <f t="shared" si="183"/>
        <v/>
      </c>
      <c r="M707" s="12" t="str">
        <f t="shared" si="177"/>
        <v/>
      </c>
      <c r="N707" s="12" t="str">
        <f t="shared" si="178"/>
        <v/>
      </c>
      <c r="O707" s="12" t="str">
        <f t="shared" si="179"/>
        <v/>
      </c>
      <c r="P707" s="12" t="str">
        <f t="shared" si="180"/>
        <v/>
      </c>
      <c r="Q707" s="12" t="str">
        <f t="shared" si="184"/>
        <v/>
      </c>
      <c r="R707" s="26" t="str">
        <f t="shared" si="181"/>
        <v/>
      </c>
      <c r="S707" s="26" t="str">
        <f t="shared" si="190"/>
        <v/>
      </c>
      <c r="T707" s="26" t="str">
        <f t="shared" si="185"/>
        <v/>
      </c>
      <c r="U707" s="26" t="str">
        <f t="shared" si="186"/>
        <v/>
      </c>
      <c r="V707" s="26" t="str">
        <f t="shared" si="187"/>
        <v/>
      </c>
      <c r="W707" s="20" t="str">
        <f t="shared" si="188"/>
        <v/>
      </c>
      <c r="X707" s="20" t="str">
        <f t="shared" si="189"/>
        <v/>
      </c>
      <c r="Y707" s="86" t="str">
        <f t="shared" si="191"/>
        <v/>
      </c>
      <c r="Z707" s="31"/>
    </row>
    <row r="708" spans="2:26" outlineLevel="1">
      <c r="B708" s="14">
        <f t="shared" si="192"/>
        <v>705</v>
      </c>
      <c r="C708" s="37"/>
      <c r="D708" s="40"/>
      <c r="E708" s="39"/>
      <c r="F708" s="37"/>
      <c r="G708" s="39"/>
      <c r="H708" s="37"/>
      <c r="I708" s="37"/>
      <c r="J708" s="41" t="str">
        <f t="shared" ref="J708:J753" si="193">IF(D708="","",+$E$2*D708)</f>
        <v/>
      </c>
      <c r="K708" s="12" t="str">
        <f t="shared" si="182"/>
        <v/>
      </c>
      <c r="L708" s="12" t="str">
        <f t="shared" si="183"/>
        <v/>
      </c>
      <c r="M708" s="12" t="str">
        <f t="shared" ref="M708:M753" si="194">IF(E708="","",IF($L708="x",E708/12*3.14,(LEFT($E708,FIND("*",$E708)-1)+0)*12/144*2+(RIGHT($E708,LEN($E708)-FIND("*",$E708)))*12/144*2))</f>
        <v/>
      </c>
      <c r="N708" s="12" t="str">
        <f t="shared" ref="N708:N753" si="195">IF(E708="","",M708*IF(I708="y",MAX(0,J708-$AC$13),J708))</f>
        <v/>
      </c>
      <c r="O708" s="12" t="str">
        <f t="shared" ref="O708:O753" si="196">IF(E708="","",$AC$5*N708)</f>
        <v/>
      </c>
      <c r="P708" s="12" t="str">
        <f t="shared" ref="P708:P753" si="197">IF(D708="","",IFERROR(IF(ISERROR(FIND("*",$E708)),0,ROUND((O708*$AC$6),-1)),""))</f>
        <v/>
      </c>
      <c r="Q708" s="12" t="str">
        <f t="shared" si="184"/>
        <v/>
      </c>
      <c r="R708" s="26" t="str">
        <f t="shared" ref="R708:R753" si="198">IF(E708="","",IF(F708="x",N708*$AC$7,0))</f>
        <v/>
      </c>
      <c r="S708" s="26" t="str">
        <f t="shared" si="190"/>
        <v/>
      </c>
      <c r="T708" s="26" t="str">
        <f t="shared" si="185"/>
        <v/>
      </c>
      <c r="U708" s="26" t="str">
        <f t="shared" si="186"/>
        <v/>
      </c>
      <c r="V708" s="26" t="str">
        <f t="shared" si="187"/>
        <v/>
      </c>
      <c r="W708" s="20" t="str">
        <f t="shared" si="188"/>
        <v/>
      </c>
      <c r="X708" s="20" t="str">
        <f t="shared" si="189"/>
        <v/>
      </c>
      <c r="Y708" s="86" t="str">
        <f t="shared" si="191"/>
        <v/>
      </c>
      <c r="Z708" s="31"/>
    </row>
    <row r="709" spans="2:26" outlineLevel="1">
      <c r="B709" s="14">
        <f t="shared" si="192"/>
        <v>706</v>
      </c>
      <c r="C709" s="37"/>
      <c r="D709" s="40"/>
      <c r="E709" s="39"/>
      <c r="F709" s="37"/>
      <c r="G709" s="39"/>
      <c r="H709" s="37"/>
      <c r="I709" s="37"/>
      <c r="J709" s="41" t="str">
        <f t="shared" si="193"/>
        <v/>
      </c>
      <c r="K709" s="12" t="str">
        <f t="shared" ref="K709:K753" si="199">IF($D709="","",IF(ISERROR(FIND("*",$E709)),"","x"))</f>
        <v/>
      </c>
      <c r="L709" s="12" t="str">
        <f t="shared" ref="L709:L753" si="200">IF($D709="","",IF(ISERROR(FIND("*",$E709)),"x",""))</f>
        <v/>
      </c>
      <c r="M709" s="12" t="str">
        <f t="shared" si="194"/>
        <v/>
      </c>
      <c r="N709" s="12" t="str">
        <f t="shared" si="195"/>
        <v/>
      </c>
      <c r="O709" s="12" t="str">
        <f t="shared" si="196"/>
        <v/>
      </c>
      <c r="P709" s="12" t="str">
        <f t="shared" si="197"/>
        <v/>
      </c>
      <c r="Q709" s="12" t="str">
        <f t="shared" ref="Q709:Q753" si="201">IF(D709="","",IFERROR(IF(ISERROR(FIND("*",$E709)),INDEX($AP$5:$AP$16,MATCH($E709,$AL$5:$AL$16,0),1)*$J709,0),""))</f>
        <v/>
      </c>
      <c r="R709" s="26" t="str">
        <f t="shared" si="198"/>
        <v/>
      </c>
      <c r="S709" s="26" t="str">
        <f t="shared" si="190"/>
        <v/>
      </c>
      <c r="T709" s="26" t="str">
        <f t="shared" ref="T709:T753" si="202">IF(E709="","",IF(H709="x",IF(G709="x",0,25),0))</f>
        <v/>
      </c>
      <c r="U709" s="26" t="str">
        <f t="shared" ref="U709:U753" si="203">IF(D709="","",SUM(P709,R709,S709,T709)*$U$2)</f>
        <v/>
      </c>
      <c r="V709" s="26" t="str">
        <f t="shared" ref="V709:V753" si="204">IF(D709="","",SUM($Q709)*$V$2)</f>
        <v/>
      </c>
      <c r="W709" s="20" t="str">
        <f t="shared" ref="W709:W753" si="205">IF($D709="","",SUM(P709:U709))</f>
        <v/>
      </c>
      <c r="X709" s="20" t="str">
        <f t="shared" ref="X709:X753" si="206">IF(J709="","",ROUNDUP(J709*$AC$9+IF(R709=0,0,$AC$8*J709)+IF(G709="x",$AC$12,0)+IF(H709="x",0.5*25,0),-1))</f>
        <v/>
      </c>
      <c r="Y709" s="86" t="str">
        <f t="shared" si="191"/>
        <v/>
      </c>
      <c r="Z709" s="31"/>
    </row>
    <row r="710" spans="2:26" outlineLevel="1">
      <c r="B710" s="14">
        <f t="shared" si="192"/>
        <v>707</v>
      </c>
      <c r="C710" s="37"/>
      <c r="D710" s="40"/>
      <c r="E710" s="39"/>
      <c r="F710" s="37"/>
      <c r="G710" s="39"/>
      <c r="H710" s="37"/>
      <c r="I710" s="37"/>
      <c r="J710" s="41" t="str">
        <f t="shared" si="193"/>
        <v/>
      </c>
      <c r="K710" s="12" t="str">
        <f t="shared" si="199"/>
        <v/>
      </c>
      <c r="L710" s="12" t="str">
        <f t="shared" si="200"/>
        <v/>
      </c>
      <c r="M710" s="12" t="str">
        <f t="shared" si="194"/>
        <v/>
      </c>
      <c r="N710" s="12" t="str">
        <f t="shared" si="195"/>
        <v/>
      </c>
      <c r="O710" s="12" t="str">
        <f t="shared" si="196"/>
        <v/>
      </c>
      <c r="P710" s="12" t="str">
        <f t="shared" si="197"/>
        <v/>
      </c>
      <c r="Q710" s="12" t="str">
        <f t="shared" si="201"/>
        <v/>
      </c>
      <c r="R710" s="26" t="str">
        <f t="shared" si="198"/>
        <v/>
      </c>
      <c r="S710" s="26" t="str">
        <f t="shared" ref="S710:S753" si="207">IF(E710="","",IF(I710="x",$AC$13*INDEX($AN$19:$AN$30,MATCH($E710,$AL$19:$AL$30,0),1)*1.25,0))</f>
        <v/>
      </c>
      <c r="T710" s="26" t="str">
        <f t="shared" si="202"/>
        <v/>
      </c>
      <c r="U710" s="26" t="str">
        <f t="shared" si="203"/>
        <v/>
      </c>
      <c r="V710" s="26" t="str">
        <f t="shared" si="204"/>
        <v/>
      </c>
      <c r="W710" s="20" t="str">
        <f t="shared" si="205"/>
        <v/>
      </c>
      <c r="X710" s="20" t="str">
        <f t="shared" si="206"/>
        <v/>
      </c>
      <c r="Y710" s="86" t="str">
        <f t="shared" si="191"/>
        <v/>
      </c>
      <c r="Z710" s="31"/>
    </row>
    <row r="711" spans="2:26" outlineLevel="1">
      <c r="B711" s="14">
        <f t="shared" si="192"/>
        <v>708</v>
      </c>
      <c r="C711" s="37"/>
      <c r="D711" s="40"/>
      <c r="E711" s="39"/>
      <c r="F711" s="37"/>
      <c r="G711" s="39"/>
      <c r="H711" s="37"/>
      <c r="I711" s="37"/>
      <c r="J711" s="41" t="str">
        <f t="shared" si="193"/>
        <v/>
      </c>
      <c r="K711" s="12" t="str">
        <f t="shared" si="199"/>
        <v/>
      </c>
      <c r="L711" s="12" t="str">
        <f t="shared" si="200"/>
        <v/>
      </c>
      <c r="M711" s="12" t="str">
        <f t="shared" si="194"/>
        <v/>
      </c>
      <c r="N711" s="12" t="str">
        <f t="shared" si="195"/>
        <v/>
      </c>
      <c r="O711" s="12" t="str">
        <f t="shared" si="196"/>
        <v/>
      </c>
      <c r="P711" s="12" t="str">
        <f t="shared" si="197"/>
        <v/>
      </c>
      <c r="Q711" s="12" t="str">
        <f t="shared" si="201"/>
        <v/>
      </c>
      <c r="R711" s="26" t="str">
        <f t="shared" si="198"/>
        <v/>
      </c>
      <c r="S711" s="26" t="str">
        <f t="shared" si="207"/>
        <v/>
      </c>
      <c r="T711" s="26" t="str">
        <f t="shared" si="202"/>
        <v/>
      </c>
      <c r="U711" s="26" t="str">
        <f t="shared" si="203"/>
        <v/>
      </c>
      <c r="V711" s="26" t="str">
        <f t="shared" si="204"/>
        <v/>
      </c>
      <c r="W711" s="20" t="str">
        <f t="shared" si="205"/>
        <v/>
      </c>
      <c r="X711" s="20" t="str">
        <f t="shared" si="206"/>
        <v/>
      </c>
      <c r="Y711" s="86" t="str">
        <f t="shared" si="191"/>
        <v/>
      </c>
      <c r="Z711" s="31"/>
    </row>
    <row r="712" spans="2:26" outlineLevel="1">
      <c r="B712" s="14">
        <f t="shared" si="192"/>
        <v>709</v>
      </c>
      <c r="C712" s="37"/>
      <c r="D712" s="40"/>
      <c r="E712" s="39"/>
      <c r="F712" s="37"/>
      <c r="G712" s="39"/>
      <c r="H712" s="37"/>
      <c r="I712" s="37"/>
      <c r="J712" s="41" t="str">
        <f t="shared" si="193"/>
        <v/>
      </c>
      <c r="K712" s="12" t="str">
        <f t="shared" si="199"/>
        <v/>
      </c>
      <c r="L712" s="12" t="str">
        <f t="shared" si="200"/>
        <v/>
      </c>
      <c r="M712" s="12" t="str">
        <f t="shared" si="194"/>
        <v/>
      </c>
      <c r="N712" s="12" t="str">
        <f t="shared" si="195"/>
        <v/>
      </c>
      <c r="O712" s="12" t="str">
        <f t="shared" si="196"/>
        <v/>
      </c>
      <c r="P712" s="12" t="str">
        <f t="shared" si="197"/>
        <v/>
      </c>
      <c r="Q712" s="12" t="str">
        <f t="shared" si="201"/>
        <v/>
      </c>
      <c r="R712" s="26" t="str">
        <f t="shared" si="198"/>
        <v/>
      </c>
      <c r="S712" s="26" t="str">
        <f t="shared" si="207"/>
        <v/>
      </c>
      <c r="T712" s="26" t="str">
        <f t="shared" si="202"/>
        <v/>
      </c>
      <c r="U712" s="26" t="str">
        <f t="shared" si="203"/>
        <v/>
      </c>
      <c r="V712" s="26" t="str">
        <f t="shared" si="204"/>
        <v/>
      </c>
      <c r="W712" s="20" t="str">
        <f t="shared" si="205"/>
        <v/>
      </c>
      <c r="X712" s="20" t="str">
        <f t="shared" si="206"/>
        <v/>
      </c>
      <c r="Y712" s="86" t="str">
        <f t="shared" si="191"/>
        <v/>
      </c>
      <c r="Z712" s="31"/>
    </row>
    <row r="713" spans="2:26" outlineLevel="1">
      <c r="B713" s="14">
        <f t="shared" si="192"/>
        <v>710</v>
      </c>
      <c r="C713" s="37"/>
      <c r="D713" s="40"/>
      <c r="E713" s="39"/>
      <c r="F713" s="37"/>
      <c r="G713" s="39"/>
      <c r="H713" s="37"/>
      <c r="I713" s="37"/>
      <c r="J713" s="41" t="str">
        <f t="shared" si="193"/>
        <v/>
      </c>
      <c r="K713" s="12" t="str">
        <f t="shared" si="199"/>
        <v/>
      </c>
      <c r="L713" s="12" t="str">
        <f t="shared" si="200"/>
        <v/>
      </c>
      <c r="M713" s="12" t="str">
        <f t="shared" si="194"/>
        <v/>
      </c>
      <c r="N713" s="12" t="str">
        <f t="shared" si="195"/>
        <v/>
      </c>
      <c r="O713" s="12" t="str">
        <f t="shared" si="196"/>
        <v/>
      </c>
      <c r="P713" s="12" t="str">
        <f t="shared" si="197"/>
        <v/>
      </c>
      <c r="Q713" s="12" t="str">
        <f t="shared" si="201"/>
        <v/>
      </c>
      <c r="R713" s="26" t="str">
        <f t="shared" si="198"/>
        <v/>
      </c>
      <c r="S713" s="26" t="str">
        <f t="shared" si="207"/>
        <v/>
      </c>
      <c r="T713" s="26" t="str">
        <f t="shared" si="202"/>
        <v/>
      </c>
      <c r="U713" s="26" t="str">
        <f t="shared" si="203"/>
        <v/>
      </c>
      <c r="V713" s="26" t="str">
        <f t="shared" si="204"/>
        <v/>
      </c>
      <c r="W713" s="20" t="str">
        <f t="shared" si="205"/>
        <v/>
      </c>
      <c r="X713" s="20" t="str">
        <f t="shared" si="206"/>
        <v/>
      </c>
      <c r="Y713" s="86" t="str">
        <f t="shared" si="191"/>
        <v/>
      </c>
      <c r="Z713" s="31"/>
    </row>
    <row r="714" spans="2:26" outlineLevel="1">
      <c r="B714" s="14">
        <f t="shared" si="192"/>
        <v>711</v>
      </c>
      <c r="C714" s="37"/>
      <c r="D714" s="40"/>
      <c r="E714" s="39"/>
      <c r="F714" s="37"/>
      <c r="G714" s="39"/>
      <c r="H714" s="37"/>
      <c r="I714" s="37"/>
      <c r="J714" s="41" t="str">
        <f t="shared" si="193"/>
        <v/>
      </c>
      <c r="K714" s="12" t="str">
        <f t="shared" si="199"/>
        <v/>
      </c>
      <c r="L714" s="12" t="str">
        <f t="shared" si="200"/>
        <v/>
      </c>
      <c r="M714" s="12" t="str">
        <f t="shared" si="194"/>
        <v/>
      </c>
      <c r="N714" s="12" t="str">
        <f t="shared" si="195"/>
        <v/>
      </c>
      <c r="O714" s="12" t="str">
        <f t="shared" si="196"/>
        <v/>
      </c>
      <c r="P714" s="12" t="str">
        <f t="shared" si="197"/>
        <v/>
      </c>
      <c r="Q714" s="12" t="str">
        <f t="shared" si="201"/>
        <v/>
      </c>
      <c r="R714" s="26" t="str">
        <f t="shared" si="198"/>
        <v/>
      </c>
      <c r="S714" s="26" t="str">
        <f t="shared" si="207"/>
        <v/>
      </c>
      <c r="T714" s="26" t="str">
        <f t="shared" si="202"/>
        <v/>
      </c>
      <c r="U714" s="26" t="str">
        <f t="shared" si="203"/>
        <v/>
      </c>
      <c r="V714" s="26" t="str">
        <f t="shared" si="204"/>
        <v/>
      </c>
      <c r="W714" s="20" t="str">
        <f t="shared" si="205"/>
        <v/>
      </c>
      <c r="X714" s="20" t="str">
        <f t="shared" si="206"/>
        <v/>
      </c>
      <c r="Y714" s="86" t="str">
        <f t="shared" si="191"/>
        <v/>
      </c>
      <c r="Z714" s="31"/>
    </row>
    <row r="715" spans="2:26" outlineLevel="1">
      <c r="B715" s="14">
        <f t="shared" si="192"/>
        <v>712</v>
      </c>
      <c r="C715" s="37"/>
      <c r="D715" s="40"/>
      <c r="E715" s="39"/>
      <c r="F715" s="37"/>
      <c r="G715" s="39"/>
      <c r="H715" s="37"/>
      <c r="I715" s="37"/>
      <c r="J715" s="41" t="str">
        <f t="shared" si="193"/>
        <v/>
      </c>
      <c r="K715" s="12" t="str">
        <f t="shared" si="199"/>
        <v/>
      </c>
      <c r="L715" s="12" t="str">
        <f t="shared" si="200"/>
        <v/>
      </c>
      <c r="M715" s="12" t="str">
        <f t="shared" si="194"/>
        <v/>
      </c>
      <c r="N715" s="12" t="str">
        <f t="shared" si="195"/>
        <v/>
      </c>
      <c r="O715" s="12" t="str">
        <f t="shared" si="196"/>
        <v/>
      </c>
      <c r="P715" s="12" t="str">
        <f t="shared" si="197"/>
        <v/>
      </c>
      <c r="Q715" s="12" t="str">
        <f t="shared" si="201"/>
        <v/>
      </c>
      <c r="R715" s="26" t="str">
        <f t="shared" si="198"/>
        <v/>
      </c>
      <c r="S715" s="26" t="str">
        <f t="shared" si="207"/>
        <v/>
      </c>
      <c r="T715" s="26" t="str">
        <f t="shared" si="202"/>
        <v/>
      </c>
      <c r="U715" s="26" t="str">
        <f t="shared" si="203"/>
        <v/>
      </c>
      <c r="V715" s="26" t="str">
        <f t="shared" si="204"/>
        <v/>
      </c>
      <c r="W715" s="20" t="str">
        <f t="shared" si="205"/>
        <v/>
      </c>
      <c r="X715" s="20" t="str">
        <f t="shared" si="206"/>
        <v/>
      </c>
      <c r="Y715" s="86" t="str">
        <f t="shared" si="191"/>
        <v/>
      </c>
      <c r="Z715" s="31"/>
    </row>
    <row r="716" spans="2:26" outlineLevel="1">
      <c r="B716" s="14">
        <f t="shared" si="192"/>
        <v>713</v>
      </c>
      <c r="C716" s="37"/>
      <c r="D716" s="40"/>
      <c r="E716" s="39"/>
      <c r="F716" s="37"/>
      <c r="G716" s="39"/>
      <c r="H716" s="37"/>
      <c r="I716" s="37"/>
      <c r="J716" s="41" t="str">
        <f t="shared" si="193"/>
        <v/>
      </c>
      <c r="K716" s="12" t="str">
        <f t="shared" si="199"/>
        <v/>
      </c>
      <c r="L716" s="12" t="str">
        <f t="shared" si="200"/>
        <v/>
      </c>
      <c r="M716" s="12" t="str">
        <f t="shared" si="194"/>
        <v/>
      </c>
      <c r="N716" s="12" t="str">
        <f t="shared" si="195"/>
        <v/>
      </c>
      <c r="O716" s="12" t="str">
        <f t="shared" si="196"/>
        <v/>
      </c>
      <c r="P716" s="12" t="str">
        <f t="shared" si="197"/>
        <v/>
      </c>
      <c r="Q716" s="12" t="str">
        <f t="shared" si="201"/>
        <v/>
      </c>
      <c r="R716" s="26" t="str">
        <f t="shared" si="198"/>
        <v/>
      </c>
      <c r="S716" s="26" t="str">
        <f t="shared" si="207"/>
        <v/>
      </c>
      <c r="T716" s="26" t="str">
        <f t="shared" si="202"/>
        <v/>
      </c>
      <c r="U716" s="26" t="str">
        <f t="shared" si="203"/>
        <v/>
      </c>
      <c r="V716" s="26" t="str">
        <f t="shared" si="204"/>
        <v/>
      </c>
      <c r="W716" s="20" t="str">
        <f t="shared" si="205"/>
        <v/>
      </c>
      <c r="X716" s="20" t="str">
        <f t="shared" si="206"/>
        <v/>
      </c>
      <c r="Y716" s="86" t="str">
        <f t="shared" si="191"/>
        <v/>
      </c>
      <c r="Z716" s="31"/>
    </row>
    <row r="717" spans="2:26" outlineLevel="1">
      <c r="B717" s="14">
        <f t="shared" si="192"/>
        <v>714</v>
      </c>
      <c r="C717" s="37"/>
      <c r="D717" s="40"/>
      <c r="E717" s="39"/>
      <c r="F717" s="37"/>
      <c r="G717" s="39"/>
      <c r="H717" s="37"/>
      <c r="I717" s="37"/>
      <c r="J717" s="41" t="str">
        <f t="shared" si="193"/>
        <v/>
      </c>
      <c r="K717" s="12" t="str">
        <f t="shared" si="199"/>
        <v/>
      </c>
      <c r="L717" s="12" t="str">
        <f t="shared" si="200"/>
        <v/>
      </c>
      <c r="M717" s="12" t="str">
        <f t="shared" si="194"/>
        <v/>
      </c>
      <c r="N717" s="12" t="str">
        <f t="shared" si="195"/>
        <v/>
      </c>
      <c r="O717" s="12" t="str">
        <f t="shared" si="196"/>
        <v/>
      </c>
      <c r="P717" s="12" t="str">
        <f t="shared" si="197"/>
        <v/>
      </c>
      <c r="Q717" s="12" t="str">
        <f t="shared" si="201"/>
        <v/>
      </c>
      <c r="R717" s="26" t="str">
        <f t="shared" si="198"/>
        <v/>
      </c>
      <c r="S717" s="26" t="str">
        <f t="shared" si="207"/>
        <v/>
      </c>
      <c r="T717" s="26" t="str">
        <f t="shared" si="202"/>
        <v/>
      </c>
      <c r="U717" s="26" t="str">
        <f t="shared" si="203"/>
        <v/>
      </c>
      <c r="V717" s="26" t="str">
        <f t="shared" si="204"/>
        <v/>
      </c>
      <c r="W717" s="20" t="str">
        <f t="shared" si="205"/>
        <v/>
      </c>
      <c r="X717" s="20" t="str">
        <f t="shared" si="206"/>
        <v/>
      </c>
      <c r="Y717" s="86" t="str">
        <f t="shared" si="191"/>
        <v/>
      </c>
      <c r="Z717" s="31"/>
    </row>
    <row r="718" spans="2:26" outlineLevel="1">
      <c r="B718" s="14">
        <f t="shared" si="192"/>
        <v>715</v>
      </c>
      <c r="C718" s="37"/>
      <c r="D718" s="40"/>
      <c r="E718" s="39"/>
      <c r="F718" s="37"/>
      <c r="G718" s="39"/>
      <c r="H718" s="37"/>
      <c r="I718" s="37"/>
      <c r="J718" s="41" t="str">
        <f t="shared" si="193"/>
        <v/>
      </c>
      <c r="K718" s="12" t="str">
        <f t="shared" si="199"/>
        <v/>
      </c>
      <c r="L718" s="12" t="str">
        <f t="shared" si="200"/>
        <v/>
      </c>
      <c r="M718" s="12" t="str">
        <f t="shared" si="194"/>
        <v/>
      </c>
      <c r="N718" s="12" t="str">
        <f t="shared" si="195"/>
        <v/>
      </c>
      <c r="O718" s="12" t="str">
        <f t="shared" si="196"/>
        <v/>
      </c>
      <c r="P718" s="12" t="str">
        <f t="shared" si="197"/>
        <v/>
      </c>
      <c r="Q718" s="12" t="str">
        <f t="shared" si="201"/>
        <v/>
      </c>
      <c r="R718" s="26" t="str">
        <f t="shared" si="198"/>
        <v/>
      </c>
      <c r="S718" s="26" t="str">
        <f t="shared" si="207"/>
        <v/>
      </c>
      <c r="T718" s="26" t="str">
        <f t="shared" si="202"/>
        <v/>
      </c>
      <c r="U718" s="26" t="str">
        <f t="shared" si="203"/>
        <v/>
      </c>
      <c r="V718" s="26" t="str">
        <f t="shared" si="204"/>
        <v/>
      </c>
      <c r="W718" s="20" t="str">
        <f t="shared" si="205"/>
        <v/>
      </c>
      <c r="X718" s="20" t="str">
        <f t="shared" si="206"/>
        <v/>
      </c>
      <c r="Y718" s="86" t="str">
        <f t="shared" si="191"/>
        <v/>
      </c>
      <c r="Z718" s="31"/>
    </row>
    <row r="719" spans="2:26" outlineLevel="1">
      <c r="B719" s="14">
        <f t="shared" si="192"/>
        <v>716</v>
      </c>
      <c r="C719" s="37"/>
      <c r="D719" s="40"/>
      <c r="E719" s="39"/>
      <c r="F719" s="37"/>
      <c r="G719" s="39"/>
      <c r="H719" s="37"/>
      <c r="I719" s="37"/>
      <c r="J719" s="41" t="str">
        <f t="shared" si="193"/>
        <v/>
      </c>
      <c r="K719" s="12" t="str">
        <f t="shared" si="199"/>
        <v/>
      </c>
      <c r="L719" s="12" t="str">
        <f t="shared" si="200"/>
        <v/>
      </c>
      <c r="M719" s="12" t="str">
        <f t="shared" si="194"/>
        <v/>
      </c>
      <c r="N719" s="12" t="str">
        <f t="shared" si="195"/>
        <v/>
      </c>
      <c r="O719" s="12" t="str">
        <f t="shared" si="196"/>
        <v/>
      </c>
      <c r="P719" s="12" t="str">
        <f t="shared" si="197"/>
        <v/>
      </c>
      <c r="Q719" s="12" t="str">
        <f t="shared" si="201"/>
        <v/>
      </c>
      <c r="R719" s="26" t="str">
        <f t="shared" si="198"/>
        <v/>
      </c>
      <c r="S719" s="26" t="str">
        <f t="shared" si="207"/>
        <v/>
      </c>
      <c r="T719" s="26" t="str">
        <f t="shared" si="202"/>
        <v/>
      </c>
      <c r="U719" s="26" t="str">
        <f t="shared" si="203"/>
        <v/>
      </c>
      <c r="V719" s="26" t="str">
        <f t="shared" si="204"/>
        <v/>
      </c>
      <c r="W719" s="20" t="str">
        <f t="shared" si="205"/>
        <v/>
      </c>
      <c r="X719" s="20" t="str">
        <f t="shared" si="206"/>
        <v/>
      </c>
      <c r="Y719" s="86" t="str">
        <f t="shared" si="191"/>
        <v/>
      </c>
      <c r="Z719" s="31"/>
    </row>
    <row r="720" spans="2:26" outlineLevel="1">
      <c r="B720" s="14">
        <f t="shared" si="192"/>
        <v>717</v>
      </c>
      <c r="C720" s="37"/>
      <c r="D720" s="40"/>
      <c r="E720" s="39"/>
      <c r="F720" s="37"/>
      <c r="G720" s="39"/>
      <c r="H720" s="37"/>
      <c r="I720" s="37"/>
      <c r="J720" s="41" t="str">
        <f t="shared" si="193"/>
        <v/>
      </c>
      <c r="K720" s="12" t="str">
        <f t="shared" si="199"/>
        <v/>
      </c>
      <c r="L720" s="12" t="str">
        <f t="shared" si="200"/>
        <v/>
      </c>
      <c r="M720" s="12" t="str">
        <f t="shared" si="194"/>
        <v/>
      </c>
      <c r="N720" s="12" t="str">
        <f t="shared" si="195"/>
        <v/>
      </c>
      <c r="O720" s="12" t="str">
        <f t="shared" si="196"/>
        <v/>
      </c>
      <c r="P720" s="12" t="str">
        <f t="shared" si="197"/>
        <v/>
      </c>
      <c r="Q720" s="12" t="str">
        <f t="shared" si="201"/>
        <v/>
      </c>
      <c r="R720" s="26" t="str">
        <f t="shared" si="198"/>
        <v/>
      </c>
      <c r="S720" s="26" t="str">
        <f t="shared" si="207"/>
        <v/>
      </c>
      <c r="T720" s="26" t="str">
        <f t="shared" si="202"/>
        <v/>
      </c>
      <c r="U720" s="26" t="str">
        <f t="shared" si="203"/>
        <v/>
      </c>
      <c r="V720" s="26" t="str">
        <f t="shared" si="204"/>
        <v/>
      </c>
      <c r="W720" s="20" t="str">
        <f t="shared" si="205"/>
        <v/>
      </c>
      <c r="X720" s="20" t="str">
        <f t="shared" si="206"/>
        <v/>
      </c>
      <c r="Y720" s="86" t="str">
        <f t="shared" ref="Y720:Y728" si="208">IFERROR(+W720+X720,"")</f>
        <v/>
      </c>
      <c r="Z720" s="31"/>
    </row>
    <row r="721" spans="2:26" outlineLevel="1">
      <c r="B721" s="14">
        <f t="shared" si="192"/>
        <v>718</v>
      </c>
      <c r="C721" s="37"/>
      <c r="D721" s="40"/>
      <c r="E721" s="39"/>
      <c r="F721" s="37"/>
      <c r="G721" s="39"/>
      <c r="H721" s="37"/>
      <c r="I721" s="37"/>
      <c r="J721" s="41" t="str">
        <f t="shared" si="193"/>
        <v/>
      </c>
      <c r="K721" s="12" t="str">
        <f t="shared" si="199"/>
        <v/>
      </c>
      <c r="L721" s="12" t="str">
        <f t="shared" si="200"/>
        <v/>
      </c>
      <c r="M721" s="12" t="str">
        <f t="shared" si="194"/>
        <v/>
      </c>
      <c r="N721" s="12" t="str">
        <f t="shared" si="195"/>
        <v/>
      </c>
      <c r="O721" s="12" t="str">
        <f t="shared" si="196"/>
        <v/>
      </c>
      <c r="P721" s="12" t="str">
        <f t="shared" si="197"/>
        <v/>
      </c>
      <c r="Q721" s="12" t="str">
        <f t="shared" si="201"/>
        <v/>
      </c>
      <c r="R721" s="26" t="str">
        <f t="shared" si="198"/>
        <v/>
      </c>
      <c r="S721" s="26" t="str">
        <f t="shared" si="207"/>
        <v/>
      </c>
      <c r="T721" s="26" t="str">
        <f t="shared" si="202"/>
        <v/>
      </c>
      <c r="U721" s="26" t="str">
        <f t="shared" si="203"/>
        <v/>
      </c>
      <c r="V721" s="26" t="str">
        <f t="shared" si="204"/>
        <v/>
      </c>
      <c r="W721" s="20" t="str">
        <f t="shared" si="205"/>
        <v/>
      </c>
      <c r="X721" s="20" t="str">
        <f t="shared" si="206"/>
        <v/>
      </c>
      <c r="Y721" s="86" t="str">
        <f t="shared" si="208"/>
        <v/>
      </c>
      <c r="Z721" s="31"/>
    </row>
    <row r="722" spans="2:26" outlineLevel="1">
      <c r="B722" s="14">
        <f t="shared" si="192"/>
        <v>719</v>
      </c>
      <c r="C722" s="37"/>
      <c r="D722" s="40"/>
      <c r="E722" s="39"/>
      <c r="F722" s="37"/>
      <c r="G722" s="39"/>
      <c r="H722" s="37"/>
      <c r="I722" s="37"/>
      <c r="J722" s="41" t="str">
        <f t="shared" si="193"/>
        <v/>
      </c>
      <c r="K722" s="12" t="str">
        <f t="shared" si="199"/>
        <v/>
      </c>
      <c r="L722" s="12" t="str">
        <f t="shared" si="200"/>
        <v/>
      </c>
      <c r="M722" s="12" t="str">
        <f t="shared" si="194"/>
        <v/>
      </c>
      <c r="N722" s="12" t="str">
        <f t="shared" si="195"/>
        <v/>
      </c>
      <c r="O722" s="12" t="str">
        <f t="shared" si="196"/>
        <v/>
      </c>
      <c r="P722" s="12" t="str">
        <f t="shared" si="197"/>
        <v/>
      </c>
      <c r="Q722" s="12" t="str">
        <f t="shared" si="201"/>
        <v/>
      </c>
      <c r="R722" s="26" t="str">
        <f t="shared" si="198"/>
        <v/>
      </c>
      <c r="S722" s="26" t="str">
        <f t="shared" si="207"/>
        <v/>
      </c>
      <c r="T722" s="26" t="str">
        <f t="shared" si="202"/>
        <v/>
      </c>
      <c r="U722" s="26" t="str">
        <f t="shared" si="203"/>
        <v/>
      </c>
      <c r="V722" s="26" t="str">
        <f t="shared" si="204"/>
        <v/>
      </c>
      <c r="W722" s="20" t="str">
        <f t="shared" si="205"/>
        <v/>
      </c>
      <c r="X722" s="20" t="str">
        <f t="shared" si="206"/>
        <v/>
      </c>
      <c r="Y722" s="86" t="str">
        <f t="shared" si="208"/>
        <v/>
      </c>
      <c r="Z722" s="31"/>
    </row>
    <row r="723" spans="2:26" outlineLevel="1">
      <c r="B723" s="14">
        <f t="shared" si="192"/>
        <v>720</v>
      </c>
      <c r="C723" s="37"/>
      <c r="D723" s="40"/>
      <c r="E723" s="39"/>
      <c r="F723" s="37"/>
      <c r="G723" s="39"/>
      <c r="H723" s="37"/>
      <c r="I723" s="37"/>
      <c r="J723" s="41" t="str">
        <f t="shared" si="193"/>
        <v/>
      </c>
      <c r="K723" s="12" t="str">
        <f t="shared" si="199"/>
        <v/>
      </c>
      <c r="L723" s="12" t="str">
        <f t="shared" si="200"/>
        <v/>
      </c>
      <c r="M723" s="12" t="str">
        <f t="shared" si="194"/>
        <v/>
      </c>
      <c r="N723" s="12" t="str">
        <f t="shared" si="195"/>
        <v/>
      </c>
      <c r="O723" s="12" t="str">
        <f t="shared" si="196"/>
        <v/>
      </c>
      <c r="P723" s="12" t="str">
        <f t="shared" si="197"/>
        <v/>
      </c>
      <c r="Q723" s="12" t="str">
        <f t="shared" si="201"/>
        <v/>
      </c>
      <c r="R723" s="26" t="str">
        <f t="shared" si="198"/>
        <v/>
      </c>
      <c r="S723" s="26" t="str">
        <f t="shared" si="207"/>
        <v/>
      </c>
      <c r="T723" s="26" t="str">
        <f t="shared" si="202"/>
        <v/>
      </c>
      <c r="U723" s="26" t="str">
        <f t="shared" si="203"/>
        <v/>
      </c>
      <c r="V723" s="26" t="str">
        <f t="shared" si="204"/>
        <v/>
      </c>
      <c r="W723" s="20" t="str">
        <f t="shared" si="205"/>
        <v/>
      </c>
      <c r="X723" s="20" t="str">
        <f t="shared" si="206"/>
        <v/>
      </c>
      <c r="Y723" s="86" t="str">
        <f t="shared" si="208"/>
        <v/>
      </c>
      <c r="Z723" s="31"/>
    </row>
    <row r="724" spans="2:26" outlineLevel="1">
      <c r="B724" s="14">
        <f t="shared" si="192"/>
        <v>721</v>
      </c>
      <c r="C724" s="37"/>
      <c r="D724" s="40"/>
      <c r="E724" s="39"/>
      <c r="F724" s="37"/>
      <c r="G724" s="39"/>
      <c r="H724" s="37"/>
      <c r="I724" s="37"/>
      <c r="J724" s="41" t="str">
        <f t="shared" si="193"/>
        <v/>
      </c>
      <c r="K724" s="12" t="str">
        <f t="shared" si="199"/>
        <v/>
      </c>
      <c r="L724" s="12" t="str">
        <f t="shared" si="200"/>
        <v/>
      </c>
      <c r="M724" s="12" t="str">
        <f t="shared" si="194"/>
        <v/>
      </c>
      <c r="N724" s="12" t="str">
        <f t="shared" si="195"/>
        <v/>
      </c>
      <c r="O724" s="12" t="str">
        <f t="shared" si="196"/>
        <v/>
      </c>
      <c r="P724" s="12" t="str">
        <f t="shared" si="197"/>
        <v/>
      </c>
      <c r="Q724" s="12" t="str">
        <f t="shared" si="201"/>
        <v/>
      </c>
      <c r="R724" s="26" t="str">
        <f t="shared" si="198"/>
        <v/>
      </c>
      <c r="S724" s="26" t="str">
        <f t="shared" si="207"/>
        <v/>
      </c>
      <c r="T724" s="26" t="str">
        <f t="shared" si="202"/>
        <v/>
      </c>
      <c r="U724" s="26" t="str">
        <f t="shared" si="203"/>
        <v/>
      </c>
      <c r="V724" s="26" t="str">
        <f t="shared" si="204"/>
        <v/>
      </c>
      <c r="W724" s="20" t="str">
        <f t="shared" si="205"/>
        <v/>
      </c>
      <c r="X724" s="20" t="str">
        <f t="shared" si="206"/>
        <v/>
      </c>
      <c r="Y724" s="86" t="str">
        <f t="shared" si="208"/>
        <v/>
      </c>
      <c r="Z724" s="31"/>
    </row>
    <row r="725" spans="2:26" outlineLevel="1">
      <c r="B725" s="14">
        <f t="shared" si="192"/>
        <v>722</v>
      </c>
      <c r="C725" s="37"/>
      <c r="D725" s="40"/>
      <c r="E725" s="39"/>
      <c r="F725" s="37"/>
      <c r="G725" s="39"/>
      <c r="H725" s="37"/>
      <c r="I725" s="37"/>
      <c r="J725" s="41" t="str">
        <f t="shared" si="193"/>
        <v/>
      </c>
      <c r="K725" s="12" t="str">
        <f t="shared" si="199"/>
        <v/>
      </c>
      <c r="L725" s="12" t="str">
        <f t="shared" si="200"/>
        <v/>
      </c>
      <c r="M725" s="12" t="str">
        <f t="shared" si="194"/>
        <v/>
      </c>
      <c r="N725" s="12" t="str">
        <f t="shared" si="195"/>
        <v/>
      </c>
      <c r="O725" s="12" t="str">
        <f t="shared" si="196"/>
        <v/>
      </c>
      <c r="P725" s="12" t="str">
        <f t="shared" si="197"/>
        <v/>
      </c>
      <c r="Q725" s="12" t="str">
        <f t="shared" si="201"/>
        <v/>
      </c>
      <c r="R725" s="26" t="str">
        <f t="shared" si="198"/>
        <v/>
      </c>
      <c r="S725" s="26" t="str">
        <f t="shared" si="207"/>
        <v/>
      </c>
      <c r="T725" s="26" t="str">
        <f t="shared" si="202"/>
        <v/>
      </c>
      <c r="U725" s="26" t="str">
        <f t="shared" si="203"/>
        <v/>
      </c>
      <c r="V725" s="26" t="str">
        <f t="shared" si="204"/>
        <v/>
      </c>
      <c r="W725" s="20" t="str">
        <f t="shared" si="205"/>
        <v/>
      </c>
      <c r="X725" s="20" t="str">
        <f t="shared" si="206"/>
        <v/>
      </c>
      <c r="Y725" s="86" t="str">
        <f t="shared" si="208"/>
        <v/>
      </c>
      <c r="Z725" s="31"/>
    </row>
    <row r="726" spans="2:26" outlineLevel="1">
      <c r="B726" s="14">
        <f t="shared" si="192"/>
        <v>723</v>
      </c>
      <c r="C726" s="37"/>
      <c r="D726" s="40"/>
      <c r="E726" s="39"/>
      <c r="F726" s="37"/>
      <c r="G726" s="39"/>
      <c r="H726" s="37"/>
      <c r="I726" s="37"/>
      <c r="J726" s="41" t="str">
        <f t="shared" si="193"/>
        <v/>
      </c>
      <c r="K726" s="12" t="str">
        <f t="shared" si="199"/>
        <v/>
      </c>
      <c r="L726" s="12" t="str">
        <f t="shared" si="200"/>
        <v/>
      </c>
      <c r="M726" s="12" t="str">
        <f t="shared" si="194"/>
        <v/>
      </c>
      <c r="N726" s="12" t="str">
        <f t="shared" si="195"/>
        <v/>
      </c>
      <c r="O726" s="12" t="str">
        <f t="shared" si="196"/>
        <v/>
      </c>
      <c r="P726" s="12" t="str">
        <f t="shared" si="197"/>
        <v/>
      </c>
      <c r="Q726" s="12" t="str">
        <f t="shared" si="201"/>
        <v/>
      </c>
      <c r="R726" s="26" t="str">
        <f t="shared" si="198"/>
        <v/>
      </c>
      <c r="S726" s="26" t="str">
        <f t="shared" si="207"/>
        <v/>
      </c>
      <c r="T726" s="26" t="str">
        <f t="shared" si="202"/>
        <v/>
      </c>
      <c r="U726" s="26" t="str">
        <f t="shared" si="203"/>
        <v/>
      </c>
      <c r="V726" s="26" t="str">
        <f t="shared" si="204"/>
        <v/>
      </c>
      <c r="W726" s="20" t="str">
        <f t="shared" si="205"/>
        <v/>
      </c>
      <c r="X726" s="20" t="str">
        <f t="shared" si="206"/>
        <v/>
      </c>
      <c r="Y726" s="86" t="str">
        <f t="shared" si="208"/>
        <v/>
      </c>
      <c r="Z726" s="31"/>
    </row>
    <row r="727" spans="2:26" outlineLevel="1">
      <c r="B727" s="14">
        <f t="shared" si="192"/>
        <v>724</v>
      </c>
      <c r="C727" s="37"/>
      <c r="D727" s="40"/>
      <c r="E727" s="39"/>
      <c r="F727" s="37"/>
      <c r="G727" s="39"/>
      <c r="H727" s="37"/>
      <c r="I727" s="37"/>
      <c r="J727" s="41" t="str">
        <f t="shared" si="193"/>
        <v/>
      </c>
      <c r="K727" s="12" t="str">
        <f t="shared" si="199"/>
        <v/>
      </c>
      <c r="L727" s="12" t="str">
        <f t="shared" si="200"/>
        <v/>
      </c>
      <c r="M727" s="12" t="str">
        <f t="shared" si="194"/>
        <v/>
      </c>
      <c r="N727" s="12" t="str">
        <f t="shared" si="195"/>
        <v/>
      </c>
      <c r="O727" s="12" t="str">
        <f t="shared" si="196"/>
        <v/>
      </c>
      <c r="P727" s="12" t="str">
        <f t="shared" si="197"/>
        <v/>
      </c>
      <c r="Q727" s="12" t="str">
        <f t="shared" si="201"/>
        <v/>
      </c>
      <c r="R727" s="26" t="str">
        <f t="shared" si="198"/>
        <v/>
      </c>
      <c r="S727" s="26" t="str">
        <f t="shared" si="207"/>
        <v/>
      </c>
      <c r="T727" s="26" t="str">
        <f t="shared" si="202"/>
        <v/>
      </c>
      <c r="U727" s="26" t="str">
        <f t="shared" si="203"/>
        <v/>
      </c>
      <c r="V727" s="26" t="str">
        <f t="shared" si="204"/>
        <v/>
      </c>
      <c r="W727" s="20" t="str">
        <f t="shared" si="205"/>
        <v/>
      </c>
      <c r="X727" s="20" t="str">
        <f t="shared" si="206"/>
        <v/>
      </c>
      <c r="Y727" s="86" t="str">
        <f t="shared" si="208"/>
        <v/>
      </c>
      <c r="Z727" s="31"/>
    </row>
    <row r="728" spans="2:26" outlineLevel="1">
      <c r="B728" s="14">
        <f t="shared" si="192"/>
        <v>725</v>
      </c>
      <c r="C728" s="37"/>
      <c r="D728" s="40"/>
      <c r="E728" s="39"/>
      <c r="F728" s="37"/>
      <c r="G728" s="39"/>
      <c r="H728" s="37"/>
      <c r="I728" s="37"/>
      <c r="J728" s="41" t="str">
        <f t="shared" si="193"/>
        <v/>
      </c>
      <c r="K728" s="12" t="str">
        <f t="shared" si="199"/>
        <v/>
      </c>
      <c r="L728" s="12" t="str">
        <f t="shared" si="200"/>
        <v/>
      </c>
      <c r="M728" s="12" t="str">
        <f t="shared" si="194"/>
        <v/>
      </c>
      <c r="N728" s="12" t="str">
        <f t="shared" si="195"/>
        <v/>
      </c>
      <c r="O728" s="12" t="str">
        <f t="shared" si="196"/>
        <v/>
      </c>
      <c r="P728" s="12" t="str">
        <f t="shared" si="197"/>
        <v/>
      </c>
      <c r="Q728" s="12" t="str">
        <f t="shared" si="201"/>
        <v/>
      </c>
      <c r="R728" s="26" t="str">
        <f t="shared" si="198"/>
        <v/>
      </c>
      <c r="S728" s="26" t="str">
        <f t="shared" si="207"/>
        <v/>
      </c>
      <c r="T728" s="26" t="str">
        <f t="shared" si="202"/>
        <v/>
      </c>
      <c r="U728" s="26" t="str">
        <f t="shared" si="203"/>
        <v/>
      </c>
      <c r="V728" s="26" t="str">
        <f t="shared" si="204"/>
        <v/>
      </c>
      <c r="W728" s="20" t="str">
        <f t="shared" si="205"/>
        <v/>
      </c>
      <c r="X728" s="20" t="str">
        <f t="shared" si="206"/>
        <v/>
      </c>
      <c r="Y728" s="86" t="str">
        <f t="shared" si="208"/>
        <v/>
      </c>
      <c r="Z728" s="31"/>
    </row>
    <row r="729" spans="2:26" outlineLevel="1">
      <c r="B729" s="14">
        <f t="shared" si="192"/>
        <v>726</v>
      </c>
      <c r="C729" s="37"/>
      <c r="D729" s="40"/>
      <c r="E729" s="39"/>
      <c r="F729" s="37"/>
      <c r="G729" s="39"/>
      <c r="H729" s="37"/>
      <c r="I729" s="37"/>
      <c r="J729" s="41" t="str">
        <f t="shared" si="193"/>
        <v/>
      </c>
      <c r="K729" s="12" t="str">
        <f t="shared" si="199"/>
        <v/>
      </c>
      <c r="L729" s="12" t="str">
        <f t="shared" si="200"/>
        <v/>
      </c>
      <c r="M729" s="12" t="str">
        <f t="shared" si="194"/>
        <v/>
      </c>
      <c r="N729" s="12" t="str">
        <f t="shared" si="195"/>
        <v/>
      </c>
      <c r="O729" s="12" t="str">
        <f t="shared" si="196"/>
        <v/>
      </c>
      <c r="P729" s="12" t="str">
        <f t="shared" si="197"/>
        <v/>
      </c>
      <c r="Q729" s="12" t="str">
        <f t="shared" si="201"/>
        <v/>
      </c>
      <c r="R729" s="26" t="str">
        <f t="shared" si="198"/>
        <v/>
      </c>
      <c r="S729" s="26" t="str">
        <f t="shared" si="207"/>
        <v/>
      </c>
      <c r="T729" s="26" t="str">
        <f t="shared" si="202"/>
        <v/>
      </c>
      <c r="U729" s="26" t="str">
        <f t="shared" si="203"/>
        <v/>
      </c>
      <c r="V729" s="26" t="str">
        <f t="shared" si="204"/>
        <v/>
      </c>
      <c r="W729" s="20" t="str">
        <f t="shared" si="205"/>
        <v/>
      </c>
      <c r="X729" s="20" t="str">
        <f t="shared" si="206"/>
        <v/>
      </c>
      <c r="Y729" s="86" t="str">
        <f t="shared" ref="Y729:Y753" si="209">IFERROR(+W729+X729,"")</f>
        <v/>
      </c>
      <c r="Z729" s="31"/>
    </row>
    <row r="730" spans="2:26" outlineLevel="1">
      <c r="B730" s="14">
        <f t="shared" si="192"/>
        <v>727</v>
      </c>
      <c r="C730" s="37"/>
      <c r="D730" s="40"/>
      <c r="E730" s="39"/>
      <c r="F730" s="37"/>
      <c r="G730" s="39"/>
      <c r="H730" s="37"/>
      <c r="I730" s="37"/>
      <c r="J730" s="41" t="str">
        <f t="shared" si="193"/>
        <v/>
      </c>
      <c r="K730" s="12" t="str">
        <f t="shared" si="199"/>
        <v/>
      </c>
      <c r="L730" s="12" t="str">
        <f t="shared" si="200"/>
        <v/>
      </c>
      <c r="M730" s="12" t="str">
        <f t="shared" si="194"/>
        <v/>
      </c>
      <c r="N730" s="12" t="str">
        <f t="shared" si="195"/>
        <v/>
      </c>
      <c r="O730" s="12" t="str">
        <f t="shared" si="196"/>
        <v/>
      </c>
      <c r="P730" s="12" t="str">
        <f t="shared" si="197"/>
        <v/>
      </c>
      <c r="Q730" s="12" t="str">
        <f t="shared" si="201"/>
        <v/>
      </c>
      <c r="R730" s="26" t="str">
        <f t="shared" si="198"/>
        <v/>
      </c>
      <c r="S730" s="26" t="str">
        <f t="shared" si="207"/>
        <v/>
      </c>
      <c r="T730" s="26" t="str">
        <f t="shared" si="202"/>
        <v/>
      </c>
      <c r="U730" s="26" t="str">
        <f t="shared" si="203"/>
        <v/>
      </c>
      <c r="V730" s="26" t="str">
        <f t="shared" si="204"/>
        <v/>
      </c>
      <c r="W730" s="20" t="str">
        <f t="shared" si="205"/>
        <v/>
      </c>
      <c r="X730" s="20" t="str">
        <f t="shared" si="206"/>
        <v/>
      </c>
      <c r="Y730" s="86" t="str">
        <f t="shared" si="209"/>
        <v/>
      </c>
      <c r="Z730" s="31"/>
    </row>
    <row r="731" spans="2:26" outlineLevel="1">
      <c r="B731" s="14">
        <f t="shared" si="192"/>
        <v>728</v>
      </c>
      <c r="C731" s="37"/>
      <c r="D731" s="40"/>
      <c r="E731" s="39"/>
      <c r="F731" s="37"/>
      <c r="G731" s="39"/>
      <c r="H731" s="37"/>
      <c r="I731" s="37"/>
      <c r="J731" s="41" t="str">
        <f t="shared" si="193"/>
        <v/>
      </c>
      <c r="K731" s="12" t="str">
        <f t="shared" si="199"/>
        <v/>
      </c>
      <c r="L731" s="12" t="str">
        <f t="shared" si="200"/>
        <v/>
      </c>
      <c r="M731" s="12" t="str">
        <f t="shared" si="194"/>
        <v/>
      </c>
      <c r="N731" s="12" t="str">
        <f t="shared" si="195"/>
        <v/>
      </c>
      <c r="O731" s="12" t="str">
        <f t="shared" si="196"/>
        <v/>
      </c>
      <c r="P731" s="12" t="str">
        <f t="shared" si="197"/>
        <v/>
      </c>
      <c r="Q731" s="12" t="str">
        <f t="shared" si="201"/>
        <v/>
      </c>
      <c r="R731" s="26" t="str">
        <f t="shared" si="198"/>
        <v/>
      </c>
      <c r="S731" s="26" t="str">
        <f t="shared" si="207"/>
        <v/>
      </c>
      <c r="T731" s="26" t="str">
        <f t="shared" si="202"/>
        <v/>
      </c>
      <c r="U731" s="26" t="str">
        <f t="shared" si="203"/>
        <v/>
      </c>
      <c r="V731" s="26" t="str">
        <f t="shared" si="204"/>
        <v/>
      </c>
      <c r="W731" s="20" t="str">
        <f t="shared" si="205"/>
        <v/>
      </c>
      <c r="X731" s="20" t="str">
        <f t="shared" si="206"/>
        <v/>
      </c>
      <c r="Y731" s="86" t="str">
        <f t="shared" si="209"/>
        <v/>
      </c>
      <c r="Z731" s="31"/>
    </row>
    <row r="732" spans="2:26" outlineLevel="1">
      <c r="B732" s="14">
        <f t="shared" si="192"/>
        <v>729</v>
      </c>
      <c r="C732" s="37"/>
      <c r="D732" s="40"/>
      <c r="E732" s="39"/>
      <c r="F732" s="37"/>
      <c r="G732" s="39"/>
      <c r="H732" s="37"/>
      <c r="I732" s="37"/>
      <c r="J732" s="41" t="str">
        <f t="shared" si="193"/>
        <v/>
      </c>
      <c r="K732" s="12" t="str">
        <f t="shared" si="199"/>
        <v/>
      </c>
      <c r="L732" s="12" t="str">
        <f t="shared" si="200"/>
        <v/>
      </c>
      <c r="M732" s="12" t="str">
        <f t="shared" si="194"/>
        <v/>
      </c>
      <c r="N732" s="12" t="str">
        <f t="shared" si="195"/>
        <v/>
      </c>
      <c r="O732" s="12" t="str">
        <f t="shared" si="196"/>
        <v/>
      </c>
      <c r="P732" s="12" t="str">
        <f t="shared" si="197"/>
        <v/>
      </c>
      <c r="Q732" s="12" t="str">
        <f t="shared" si="201"/>
        <v/>
      </c>
      <c r="R732" s="26" t="str">
        <f t="shared" si="198"/>
        <v/>
      </c>
      <c r="S732" s="26" t="str">
        <f t="shared" si="207"/>
        <v/>
      </c>
      <c r="T732" s="26" t="str">
        <f t="shared" si="202"/>
        <v/>
      </c>
      <c r="U732" s="26" t="str">
        <f t="shared" si="203"/>
        <v/>
      </c>
      <c r="V732" s="26" t="str">
        <f t="shared" si="204"/>
        <v/>
      </c>
      <c r="W732" s="20" t="str">
        <f t="shared" si="205"/>
        <v/>
      </c>
      <c r="X732" s="20" t="str">
        <f t="shared" si="206"/>
        <v/>
      </c>
      <c r="Y732" s="86" t="str">
        <f t="shared" si="209"/>
        <v/>
      </c>
      <c r="Z732" s="31"/>
    </row>
    <row r="733" spans="2:26" outlineLevel="1">
      <c r="B733" s="14">
        <f t="shared" si="192"/>
        <v>730</v>
      </c>
      <c r="C733" s="37"/>
      <c r="D733" s="40"/>
      <c r="E733" s="39"/>
      <c r="F733" s="37"/>
      <c r="G733" s="39"/>
      <c r="H733" s="37"/>
      <c r="I733" s="37"/>
      <c r="J733" s="41" t="str">
        <f t="shared" si="193"/>
        <v/>
      </c>
      <c r="K733" s="12" t="str">
        <f t="shared" si="199"/>
        <v/>
      </c>
      <c r="L733" s="12" t="str">
        <f t="shared" si="200"/>
        <v/>
      </c>
      <c r="M733" s="12" t="str">
        <f t="shared" si="194"/>
        <v/>
      </c>
      <c r="N733" s="12" t="str">
        <f t="shared" si="195"/>
        <v/>
      </c>
      <c r="O733" s="12" t="str">
        <f t="shared" si="196"/>
        <v/>
      </c>
      <c r="P733" s="12" t="str">
        <f t="shared" si="197"/>
        <v/>
      </c>
      <c r="Q733" s="12" t="str">
        <f t="shared" si="201"/>
        <v/>
      </c>
      <c r="R733" s="26" t="str">
        <f t="shared" si="198"/>
        <v/>
      </c>
      <c r="S733" s="26" t="str">
        <f t="shared" si="207"/>
        <v/>
      </c>
      <c r="T733" s="26" t="str">
        <f t="shared" si="202"/>
        <v/>
      </c>
      <c r="U733" s="26" t="str">
        <f t="shared" si="203"/>
        <v/>
      </c>
      <c r="V733" s="26" t="str">
        <f t="shared" si="204"/>
        <v/>
      </c>
      <c r="W733" s="20" t="str">
        <f t="shared" si="205"/>
        <v/>
      </c>
      <c r="X733" s="20" t="str">
        <f t="shared" si="206"/>
        <v/>
      </c>
      <c r="Y733" s="86" t="str">
        <f t="shared" si="209"/>
        <v/>
      </c>
      <c r="Z733" s="31"/>
    </row>
    <row r="734" spans="2:26" outlineLevel="1">
      <c r="B734" s="14">
        <f t="shared" si="192"/>
        <v>731</v>
      </c>
      <c r="C734" s="37"/>
      <c r="D734" s="40"/>
      <c r="E734" s="39"/>
      <c r="F734" s="37"/>
      <c r="G734" s="39"/>
      <c r="H734" s="37"/>
      <c r="I734" s="37"/>
      <c r="J734" s="41" t="str">
        <f t="shared" si="193"/>
        <v/>
      </c>
      <c r="K734" s="12" t="str">
        <f t="shared" si="199"/>
        <v/>
      </c>
      <c r="L734" s="12" t="str">
        <f t="shared" si="200"/>
        <v/>
      </c>
      <c r="M734" s="12" t="str">
        <f t="shared" si="194"/>
        <v/>
      </c>
      <c r="N734" s="12" t="str">
        <f t="shared" si="195"/>
        <v/>
      </c>
      <c r="O734" s="12" t="str">
        <f t="shared" si="196"/>
        <v/>
      </c>
      <c r="P734" s="12" t="str">
        <f t="shared" si="197"/>
        <v/>
      </c>
      <c r="Q734" s="12" t="str">
        <f t="shared" si="201"/>
        <v/>
      </c>
      <c r="R734" s="26" t="str">
        <f t="shared" si="198"/>
        <v/>
      </c>
      <c r="S734" s="26" t="str">
        <f t="shared" si="207"/>
        <v/>
      </c>
      <c r="T734" s="26" t="str">
        <f t="shared" si="202"/>
        <v/>
      </c>
      <c r="U734" s="26" t="str">
        <f t="shared" si="203"/>
        <v/>
      </c>
      <c r="V734" s="26" t="str">
        <f t="shared" si="204"/>
        <v/>
      </c>
      <c r="W734" s="20" t="str">
        <f t="shared" si="205"/>
        <v/>
      </c>
      <c r="X734" s="20" t="str">
        <f t="shared" si="206"/>
        <v/>
      </c>
      <c r="Y734" s="86" t="str">
        <f t="shared" si="209"/>
        <v/>
      </c>
      <c r="Z734" s="31"/>
    </row>
    <row r="735" spans="2:26" outlineLevel="1">
      <c r="B735" s="14">
        <f t="shared" si="192"/>
        <v>732</v>
      </c>
      <c r="C735" s="37"/>
      <c r="D735" s="40"/>
      <c r="E735" s="39"/>
      <c r="F735" s="37"/>
      <c r="G735" s="39"/>
      <c r="H735" s="37"/>
      <c r="I735" s="37"/>
      <c r="J735" s="41" t="str">
        <f t="shared" si="193"/>
        <v/>
      </c>
      <c r="K735" s="12" t="str">
        <f t="shared" si="199"/>
        <v/>
      </c>
      <c r="L735" s="12" t="str">
        <f t="shared" si="200"/>
        <v/>
      </c>
      <c r="M735" s="12" t="str">
        <f t="shared" si="194"/>
        <v/>
      </c>
      <c r="N735" s="12" t="str">
        <f t="shared" si="195"/>
        <v/>
      </c>
      <c r="O735" s="12" t="str">
        <f t="shared" si="196"/>
        <v/>
      </c>
      <c r="P735" s="12" t="str">
        <f t="shared" si="197"/>
        <v/>
      </c>
      <c r="Q735" s="12" t="str">
        <f t="shared" si="201"/>
        <v/>
      </c>
      <c r="R735" s="26" t="str">
        <f t="shared" si="198"/>
        <v/>
      </c>
      <c r="S735" s="26" t="str">
        <f t="shared" si="207"/>
        <v/>
      </c>
      <c r="T735" s="26" t="str">
        <f t="shared" si="202"/>
        <v/>
      </c>
      <c r="U735" s="26" t="str">
        <f t="shared" si="203"/>
        <v/>
      </c>
      <c r="V735" s="26" t="str">
        <f t="shared" si="204"/>
        <v/>
      </c>
      <c r="W735" s="20" t="str">
        <f t="shared" si="205"/>
        <v/>
      </c>
      <c r="X735" s="20" t="str">
        <f t="shared" si="206"/>
        <v/>
      </c>
      <c r="Y735" s="86" t="str">
        <f t="shared" si="209"/>
        <v/>
      </c>
      <c r="Z735" s="31"/>
    </row>
    <row r="736" spans="2:26" outlineLevel="1">
      <c r="B736" s="14">
        <f t="shared" si="192"/>
        <v>733</v>
      </c>
      <c r="C736" s="37"/>
      <c r="D736" s="40"/>
      <c r="E736" s="39"/>
      <c r="F736" s="37"/>
      <c r="G736" s="39"/>
      <c r="H736" s="37"/>
      <c r="I736" s="37"/>
      <c r="J736" s="41" t="str">
        <f t="shared" si="193"/>
        <v/>
      </c>
      <c r="K736" s="12" t="str">
        <f t="shared" si="199"/>
        <v/>
      </c>
      <c r="L736" s="12" t="str">
        <f t="shared" si="200"/>
        <v/>
      </c>
      <c r="M736" s="12" t="str">
        <f t="shared" si="194"/>
        <v/>
      </c>
      <c r="N736" s="12" t="str">
        <f t="shared" si="195"/>
        <v/>
      </c>
      <c r="O736" s="12" t="str">
        <f t="shared" si="196"/>
        <v/>
      </c>
      <c r="P736" s="12" t="str">
        <f t="shared" si="197"/>
        <v/>
      </c>
      <c r="Q736" s="12" t="str">
        <f t="shared" si="201"/>
        <v/>
      </c>
      <c r="R736" s="26" t="str">
        <f t="shared" si="198"/>
        <v/>
      </c>
      <c r="S736" s="26" t="str">
        <f t="shared" si="207"/>
        <v/>
      </c>
      <c r="T736" s="26" t="str">
        <f t="shared" si="202"/>
        <v/>
      </c>
      <c r="U736" s="26" t="str">
        <f t="shared" si="203"/>
        <v/>
      </c>
      <c r="V736" s="26" t="str">
        <f t="shared" si="204"/>
        <v/>
      </c>
      <c r="W736" s="20" t="str">
        <f t="shared" si="205"/>
        <v/>
      </c>
      <c r="X736" s="20" t="str">
        <f t="shared" si="206"/>
        <v/>
      </c>
      <c r="Y736" s="86" t="str">
        <f t="shared" si="209"/>
        <v/>
      </c>
      <c r="Z736" s="31"/>
    </row>
    <row r="737" spans="2:26" outlineLevel="1">
      <c r="B737" s="14">
        <f t="shared" si="192"/>
        <v>734</v>
      </c>
      <c r="C737" s="37"/>
      <c r="D737" s="40"/>
      <c r="E737" s="39"/>
      <c r="F737" s="37"/>
      <c r="G737" s="39"/>
      <c r="H737" s="37"/>
      <c r="I737" s="37"/>
      <c r="J737" s="41" t="str">
        <f t="shared" si="193"/>
        <v/>
      </c>
      <c r="K737" s="12" t="str">
        <f t="shared" si="199"/>
        <v/>
      </c>
      <c r="L737" s="12" t="str">
        <f t="shared" si="200"/>
        <v/>
      </c>
      <c r="M737" s="12" t="str">
        <f t="shared" si="194"/>
        <v/>
      </c>
      <c r="N737" s="12" t="str">
        <f t="shared" si="195"/>
        <v/>
      </c>
      <c r="O737" s="12" t="str">
        <f t="shared" si="196"/>
        <v/>
      </c>
      <c r="P737" s="12" t="str">
        <f t="shared" si="197"/>
        <v/>
      </c>
      <c r="Q737" s="12" t="str">
        <f t="shared" si="201"/>
        <v/>
      </c>
      <c r="R737" s="26" t="str">
        <f t="shared" si="198"/>
        <v/>
      </c>
      <c r="S737" s="26" t="str">
        <f t="shared" si="207"/>
        <v/>
      </c>
      <c r="T737" s="26" t="str">
        <f t="shared" si="202"/>
        <v/>
      </c>
      <c r="U737" s="26" t="str">
        <f t="shared" si="203"/>
        <v/>
      </c>
      <c r="V737" s="26" t="str">
        <f t="shared" si="204"/>
        <v/>
      </c>
      <c r="W737" s="20" t="str">
        <f t="shared" si="205"/>
        <v/>
      </c>
      <c r="X737" s="20" t="str">
        <f t="shared" si="206"/>
        <v/>
      </c>
      <c r="Y737" s="86" t="str">
        <f t="shared" si="209"/>
        <v/>
      </c>
      <c r="Z737" s="31"/>
    </row>
    <row r="738" spans="2:26" outlineLevel="1">
      <c r="B738" s="14">
        <f t="shared" si="192"/>
        <v>735</v>
      </c>
      <c r="C738" s="37"/>
      <c r="D738" s="40"/>
      <c r="E738" s="39"/>
      <c r="F738" s="37"/>
      <c r="G738" s="39"/>
      <c r="H738" s="37"/>
      <c r="I738" s="37"/>
      <c r="J738" s="41" t="str">
        <f t="shared" si="193"/>
        <v/>
      </c>
      <c r="K738" s="12" t="str">
        <f t="shared" si="199"/>
        <v/>
      </c>
      <c r="L738" s="12" t="str">
        <f t="shared" si="200"/>
        <v/>
      </c>
      <c r="M738" s="12" t="str">
        <f t="shared" si="194"/>
        <v/>
      </c>
      <c r="N738" s="12" t="str">
        <f t="shared" si="195"/>
        <v/>
      </c>
      <c r="O738" s="12" t="str">
        <f t="shared" si="196"/>
        <v/>
      </c>
      <c r="P738" s="12" t="str">
        <f t="shared" si="197"/>
        <v/>
      </c>
      <c r="Q738" s="12" t="str">
        <f t="shared" si="201"/>
        <v/>
      </c>
      <c r="R738" s="26" t="str">
        <f t="shared" si="198"/>
        <v/>
      </c>
      <c r="S738" s="26" t="str">
        <f t="shared" si="207"/>
        <v/>
      </c>
      <c r="T738" s="26" t="str">
        <f t="shared" si="202"/>
        <v/>
      </c>
      <c r="U738" s="26" t="str">
        <f t="shared" si="203"/>
        <v/>
      </c>
      <c r="V738" s="26" t="str">
        <f t="shared" si="204"/>
        <v/>
      </c>
      <c r="W738" s="20" t="str">
        <f t="shared" si="205"/>
        <v/>
      </c>
      <c r="X738" s="20" t="str">
        <f t="shared" si="206"/>
        <v/>
      </c>
      <c r="Y738" s="86" t="str">
        <f t="shared" si="209"/>
        <v/>
      </c>
      <c r="Z738" s="31"/>
    </row>
    <row r="739" spans="2:26" outlineLevel="1">
      <c r="B739" s="14">
        <f t="shared" si="192"/>
        <v>736</v>
      </c>
      <c r="C739" s="37"/>
      <c r="D739" s="40"/>
      <c r="E739" s="39"/>
      <c r="F739" s="37"/>
      <c r="G739" s="39"/>
      <c r="H739" s="37"/>
      <c r="I739" s="37"/>
      <c r="J739" s="41" t="str">
        <f t="shared" si="193"/>
        <v/>
      </c>
      <c r="K739" s="12" t="str">
        <f t="shared" si="199"/>
        <v/>
      </c>
      <c r="L739" s="12" t="str">
        <f t="shared" si="200"/>
        <v/>
      </c>
      <c r="M739" s="12" t="str">
        <f t="shared" si="194"/>
        <v/>
      </c>
      <c r="N739" s="12" t="str">
        <f t="shared" si="195"/>
        <v/>
      </c>
      <c r="O739" s="12" t="str">
        <f t="shared" si="196"/>
        <v/>
      </c>
      <c r="P739" s="12" t="str">
        <f t="shared" si="197"/>
        <v/>
      </c>
      <c r="Q739" s="12" t="str">
        <f t="shared" si="201"/>
        <v/>
      </c>
      <c r="R739" s="26" t="str">
        <f t="shared" si="198"/>
        <v/>
      </c>
      <c r="S739" s="26" t="str">
        <f t="shared" si="207"/>
        <v/>
      </c>
      <c r="T739" s="26" t="str">
        <f t="shared" si="202"/>
        <v/>
      </c>
      <c r="U739" s="26" t="str">
        <f t="shared" si="203"/>
        <v/>
      </c>
      <c r="V739" s="26" t="str">
        <f t="shared" si="204"/>
        <v/>
      </c>
      <c r="W739" s="20" t="str">
        <f t="shared" si="205"/>
        <v/>
      </c>
      <c r="X739" s="20" t="str">
        <f t="shared" si="206"/>
        <v/>
      </c>
      <c r="Y739" s="86" t="str">
        <f t="shared" si="209"/>
        <v/>
      </c>
      <c r="Z739" s="31"/>
    </row>
    <row r="740" spans="2:26" outlineLevel="1">
      <c r="B740" s="14">
        <f t="shared" si="192"/>
        <v>737</v>
      </c>
      <c r="C740" s="37"/>
      <c r="D740" s="40"/>
      <c r="E740" s="39"/>
      <c r="F740" s="37"/>
      <c r="G740" s="39"/>
      <c r="H740" s="37"/>
      <c r="I740" s="37"/>
      <c r="J740" s="41" t="str">
        <f t="shared" si="193"/>
        <v/>
      </c>
      <c r="K740" s="12" t="str">
        <f t="shared" si="199"/>
        <v/>
      </c>
      <c r="L740" s="12" t="str">
        <f t="shared" si="200"/>
        <v/>
      </c>
      <c r="M740" s="12" t="str">
        <f t="shared" si="194"/>
        <v/>
      </c>
      <c r="N740" s="12" t="str">
        <f t="shared" si="195"/>
        <v/>
      </c>
      <c r="O740" s="12" t="str">
        <f t="shared" si="196"/>
        <v/>
      </c>
      <c r="P740" s="12" t="str">
        <f t="shared" si="197"/>
        <v/>
      </c>
      <c r="Q740" s="12" t="str">
        <f t="shared" si="201"/>
        <v/>
      </c>
      <c r="R740" s="26" t="str">
        <f t="shared" si="198"/>
        <v/>
      </c>
      <c r="S740" s="26" t="str">
        <f t="shared" si="207"/>
        <v/>
      </c>
      <c r="T740" s="26" t="str">
        <f t="shared" si="202"/>
        <v/>
      </c>
      <c r="U740" s="26" t="str">
        <f t="shared" si="203"/>
        <v/>
      </c>
      <c r="V740" s="26" t="str">
        <f t="shared" si="204"/>
        <v/>
      </c>
      <c r="W740" s="20" t="str">
        <f t="shared" si="205"/>
        <v/>
      </c>
      <c r="X740" s="20" t="str">
        <f t="shared" si="206"/>
        <v/>
      </c>
      <c r="Y740" s="86" t="str">
        <f t="shared" si="209"/>
        <v/>
      </c>
      <c r="Z740" s="31"/>
    </row>
    <row r="741" spans="2:26" outlineLevel="1">
      <c r="B741" s="14">
        <f t="shared" si="192"/>
        <v>738</v>
      </c>
      <c r="C741" s="37"/>
      <c r="D741" s="40"/>
      <c r="E741" s="39"/>
      <c r="F741" s="37"/>
      <c r="G741" s="39"/>
      <c r="H741" s="37"/>
      <c r="I741" s="37"/>
      <c r="J741" s="41" t="str">
        <f t="shared" si="193"/>
        <v/>
      </c>
      <c r="K741" s="12" t="str">
        <f t="shared" si="199"/>
        <v/>
      </c>
      <c r="L741" s="12" t="str">
        <f t="shared" si="200"/>
        <v/>
      </c>
      <c r="M741" s="12" t="str">
        <f t="shared" si="194"/>
        <v/>
      </c>
      <c r="N741" s="12" t="str">
        <f t="shared" si="195"/>
        <v/>
      </c>
      <c r="O741" s="12" t="str">
        <f t="shared" si="196"/>
        <v/>
      </c>
      <c r="P741" s="12" t="str">
        <f t="shared" si="197"/>
        <v/>
      </c>
      <c r="Q741" s="12" t="str">
        <f t="shared" si="201"/>
        <v/>
      </c>
      <c r="R741" s="26" t="str">
        <f t="shared" si="198"/>
        <v/>
      </c>
      <c r="S741" s="26" t="str">
        <f t="shared" si="207"/>
        <v/>
      </c>
      <c r="T741" s="26" t="str">
        <f t="shared" si="202"/>
        <v/>
      </c>
      <c r="U741" s="26" t="str">
        <f t="shared" si="203"/>
        <v/>
      </c>
      <c r="V741" s="26" t="str">
        <f t="shared" si="204"/>
        <v/>
      </c>
      <c r="W741" s="20" t="str">
        <f t="shared" si="205"/>
        <v/>
      </c>
      <c r="X741" s="20" t="str">
        <f t="shared" si="206"/>
        <v/>
      </c>
      <c r="Y741" s="86" t="str">
        <f t="shared" si="209"/>
        <v/>
      </c>
      <c r="Z741" s="31"/>
    </row>
    <row r="742" spans="2:26" outlineLevel="1">
      <c r="B742" s="14">
        <f t="shared" si="192"/>
        <v>739</v>
      </c>
      <c r="C742" s="37"/>
      <c r="D742" s="40"/>
      <c r="E742" s="39"/>
      <c r="F742" s="37"/>
      <c r="G742" s="39"/>
      <c r="H742" s="37"/>
      <c r="I742" s="37"/>
      <c r="J742" s="41" t="str">
        <f t="shared" si="193"/>
        <v/>
      </c>
      <c r="K742" s="12" t="str">
        <f t="shared" si="199"/>
        <v/>
      </c>
      <c r="L742" s="12" t="str">
        <f t="shared" si="200"/>
        <v/>
      </c>
      <c r="M742" s="12" t="str">
        <f t="shared" si="194"/>
        <v/>
      </c>
      <c r="N742" s="12" t="str">
        <f t="shared" si="195"/>
        <v/>
      </c>
      <c r="O742" s="12" t="str">
        <f t="shared" si="196"/>
        <v/>
      </c>
      <c r="P742" s="12" t="str">
        <f t="shared" si="197"/>
        <v/>
      </c>
      <c r="Q742" s="12" t="str">
        <f t="shared" si="201"/>
        <v/>
      </c>
      <c r="R742" s="26" t="str">
        <f t="shared" si="198"/>
        <v/>
      </c>
      <c r="S742" s="26" t="str">
        <f t="shared" si="207"/>
        <v/>
      </c>
      <c r="T742" s="26" t="str">
        <f t="shared" si="202"/>
        <v/>
      </c>
      <c r="U742" s="26" t="str">
        <f t="shared" si="203"/>
        <v/>
      </c>
      <c r="V742" s="26" t="str">
        <f t="shared" si="204"/>
        <v/>
      </c>
      <c r="W742" s="20" t="str">
        <f t="shared" si="205"/>
        <v/>
      </c>
      <c r="X742" s="20" t="str">
        <f t="shared" si="206"/>
        <v/>
      </c>
      <c r="Y742" s="86" t="str">
        <f t="shared" si="209"/>
        <v/>
      </c>
      <c r="Z742" s="31"/>
    </row>
    <row r="743" spans="2:26" outlineLevel="1">
      <c r="B743" s="14">
        <f t="shared" si="192"/>
        <v>740</v>
      </c>
      <c r="C743" s="37"/>
      <c r="D743" s="40"/>
      <c r="E743" s="39"/>
      <c r="F743" s="37"/>
      <c r="G743" s="39"/>
      <c r="H743" s="37"/>
      <c r="I743" s="37"/>
      <c r="J743" s="41" t="str">
        <f t="shared" si="193"/>
        <v/>
      </c>
      <c r="K743" s="12" t="str">
        <f t="shared" si="199"/>
        <v/>
      </c>
      <c r="L743" s="12" t="str">
        <f t="shared" si="200"/>
        <v/>
      </c>
      <c r="M743" s="12" t="str">
        <f t="shared" si="194"/>
        <v/>
      </c>
      <c r="N743" s="12" t="str">
        <f t="shared" si="195"/>
        <v/>
      </c>
      <c r="O743" s="12" t="str">
        <f t="shared" si="196"/>
        <v/>
      </c>
      <c r="P743" s="12" t="str">
        <f t="shared" si="197"/>
        <v/>
      </c>
      <c r="Q743" s="12" t="str">
        <f t="shared" si="201"/>
        <v/>
      </c>
      <c r="R743" s="26" t="str">
        <f t="shared" si="198"/>
        <v/>
      </c>
      <c r="S743" s="26" t="str">
        <f t="shared" si="207"/>
        <v/>
      </c>
      <c r="T743" s="26" t="str">
        <f t="shared" si="202"/>
        <v/>
      </c>
      <c r="U743" s="26" t="str">
        <f t="shared" si="203"/>
        <v/>
      </c>
      <c r="V743" s="26" t="str">
        <f t="shared" si="204"/>
        <v/>
      </c>
      <c r="W743" s="20" t="str">
        <f t="shared" si="205"/>
        <v/>
      </c>
      <c r="X743" s="20" t="str">
        <f t="shared" si="206"/>
        <v/>
      </c>
      <c r="Y743" s="86" t="str">
        <f t="shared" si="209"/>
        <v/>
      </c>
      <c r="Z743" s="31"/>
    </row>
    <row r="744" spans="2:26" outlineLevel="1">
      <c r="B744" s="14">
        <f t="shared" si="192"/>
        <v>741</v>
      </c>
      <c r="C744" s="37"/>
      <c r="D744" s="40"/>
      <c r="E744" s="39"/>
      <c r="F744" s="37"/>
      <c r="G744" s="39"/>
      <c r="H744" s="37"/>
      <c r="I744" s="37"/>
      <c r="J744" s="41" t="str">
        <f t="shared" si="193"/>
        <v/>
      </c>
      <c r="K744" s="12" t="str">
        <f t="shared" si="199"/>
        <v/>
      </c>
      <c r="L744" s="12" t="str">
        <f t="shared" si="200"/>
        <v/>
      </c>
      <c r="M744" s="12" t="str">
        <f t="shared" si="194"/>
        <v/>
      </c>
      <c r="N744" s="12" t="str">
        <f t="shared" si="195"/>
        <v/>
      </c>
      <c r="O744" s="12" t="str">
        <f t="shared" si="196"/>
        <v/>
      </c>
      <c r="P744" s="12" t="str">
        <f t="shared" si="197"/>
        <v/>
      </c>
      <c r="Q744" s="12" t="str">
        <f t="shared" si="201"/>
        <v/>
      </c>
      <c r="R744" s="26" t="str">
        <f t="shared" si="198"/>
        <v/>
      </c>
      <c r="S744" s="26" t="str">
        <f t="shared" si="207"/>
        <v/>
      </c>
      <c r="T744" s="26" t="str">
        <f t="shared" si="202"/>
        <v/>
      </c>
      <c r="U744" s="26" t="str">
        <f t="shared" si="203"/>
        <v/>
      </c>
      <c r="V744" s="26" t="str">
        <f t="shared" si="204"/>
        <v/>
      </c>
      <c r="W744" s="20" t="str">
        <f t="shared" si="205"/>
        <v/>
      </c>
      <c r="X744" s="20" t="str">
        <f t="shared" si="206"/>
        <v/>
      </c>
      <c r="Y744" s="86" t="str">
        <f t="shared" si="209"/>
        <v/>
      </c>
      <c r="Z744" s="31"/>
    </row>
    <row r="745" spans="2:26" outlineLevel="1">
      <c r="B745" s="14">
        <f t="shared" si="192"/>
        <v>742</v>
      </c>
      <c r="C745" s="37"/>
      <c r="D745" s="40"/>
      <c r="E745" s="39"/>
      <c r="F745" s="37"/>
      <c r="G745" s="39"/>
      <c r="H745" s="37"/>
      <c r="I745" s="37"/>
      <c r="J745" s="41" t="str">
        <f t="shared" si="193"/>
        <v/>
      </c>
      <c r="K745" s="12" t="str">
        <f t="shared" si="199"/>
        <v/>
      </c>
      <c r="L745" s="12" t="str">
        <f t="shared" si="200"/>
        <v/>
      </c>
      <c r="M745" s="12" t="str">
        <f t="shared" si="194"/>
        <v/>
      </c>
      <c r="N745" s="12" t="str">
        <f t="shared" si="195"/>
        <v/>
      </c>
      <c r="O745" s="12" t="str">
        <f t="shared" si="196"/>
        <v/>
      </c>
      <c r="P745" s="12" t="str">
        <f t="shared" si="197"/>
        <v/>
      </c>
      <c r="Q745" s="12" t="str">
        <f t="shared" si="201"/>
        <v/>
      </c>
      <c r="R745" s="26" t="str">
        <f t="shared" si="198"/>
        <v/>
      </c>
      <c r="S745" s="26" t="str">
        <f t="shared" si="207"/>
        <v/>
      </c>
      <c r="T745" s="26" t="str">
        <f t="shared" si="202"/>
        <v/>
      </c>
      <c r="U745" s="26" t="str">
        <f t="shared" si="203"/>
        <v/>
      </c>
      <c r="V745" s="26" t="str">
        <f t="shared" si="204"/>
        <v/>
      </c>
      <c r="W745" s="20" t="str">
        <f t="shared" si="205"/>
        <v/>
      </c>
      <c r="X745" s="20" t="str">
        <f t="shared" si="206"/>
        <v/>
      </c>
      <c r="Y745" s="86" t="str">
        <f t="shared" si="209"/>
        <v/>
      </c>
      <c r="Z745" s="31"/>
    </row>
    <row r="746" spans="2:26" outlineLevel="1">
      <c r="B746" s="14">
        <f t="shared" si="192"/>
        <v>743</v>
      </c>
      <c r="C746" s="37"/>
      <c r="D746" s="40"/>
      <c r="E746" s="39"/>
      <c r="F746" s="37"/>
      <c r="G746" s="39"/>
      <c r="H746" s="37"/>
      <c r="I746" s="37"/>
      <c r="J746" s="41" t="str">
        <f t="shared" si="193"/>
        <v/>
      </c>
      <c r="K746" s="12" t="str">
        <f t="shared" si="199"/>
        <v/>
      </c>
      <c r="L746" s="12" t="str">
        <f t="shared" si="200"/>
        <v/>
      </c>
      <c r="M746" s="12" t="str">
        <f t="shared" si="194"/>
        <v/>
      </c>
      <c r="N746" s="12" t="str">
        <f t="shared" si="195"/>
        <v/>
      </c>
      <c r="O746" s="12" t="str">
        <f t="shared" si="196"/>
        <v/>
      </c>
      <c r="P746" s="12" t="str">
        <f t="shared" si="197"/>
        <v/>
      </c>
      <c r="Q746" s="12" t="str">
        <f t="shared" si="201"/>
        <v/>
      </c>
      <c r="R746" s="26" t="str">
        <f t="shared" si="198"/>
        <v/>
      </c>
      <c r="S746" s="26" t="str">
        <f t="shared" si="207"/>
        <v/>
      </c>
      <c r="T746" s="26" t="str">
        <f t="shared" si="202"/>
        <v/>
      </c>
      <c r="U746" s="26" t="str">
        <f t="shared" si="203"/>
        <v/>
      </c>
      <c r="V746" s="26" t="str">
        <f t="shared" si="204"/>
        <v/>
      </c>
      <c r="W746" s="20" t="str">
        <f t="shared" si="205"/>
        <v/>
      </c>
      <c r="X746" s="20" t="str">
        <f t="shared" si="206"/>
        <v/>
      </c>
      <c r="Y746" s="86" t="str">
        <f t="shared" si="209"/>
        <v/>
      </c>
      <c r="Z746" s="31"/>
    </row>
    <row r="747" spans="2:26" outlineLevel="1">
      <c r="B747" s="14">
        <f t="shared" si="192"/>
        <v>744</v>
      </c>
      <c r="C747" s="37"/>
      <c r="D747" s="40"/>
      <c r="E747" s="39"/>
      <c r="F747" s="37"/>
      <c r="G747" s="39"/>
      <c r="H747" s="37"/>
      <c r="I747" s="37"/>
      <c r="J747" s="41" t="str">
        <f t="shared" si="193"/>
        <v/>
      </c>
      <c r="K747" s="12" t="str">
        <f t="shared" si="199"/>
        <v/>
      </c>
      <c r="L747" s="12" t="str">
        <f t="shared" si="200"/>
        <v/>
      </c>
      <c r="M747" s="12" t="str">
        <f t="shared" si="194"/>
        <v/>
      </c>
      <c r="N747" s="12" t="str">
        <f t="shared" si="195"/>
        <v/>
      </c>
      <c r="O747" s="12" t="str">
        <f t="shared" si="196"/>
        <v/>
      </c>
      <c r="P747" s="12" t="str">
        <f t="shared" si="197"/>
        <v/>
      </c>
      <c r="Q747" s="12" t="str">
        <f t="shared" si="201"/>
        <v/>
      </c>
      <c r="R747" s="26" t="str">
        <f t="shared" si="198"/>
        <v/>
      </c>
      <c r="S747" s="26" t="str">
        <f t="shared" si="207"/>
        <v/>
      </c>
      <c r="T747" s="26" t="str">
        <f t="shared" si="202"/>
        <v/>
      </c>
      <c r="U747" s="26" t="str">
        <f t="shared" si="203"/>
        <v/>
      </c>
      <c r="V747" s="26" t="str">
        <f t="shared" si="204"/>
        <v/>
      </c>
      <c r="W747" s="20" t="str">
        <f t="shared" si="205"/>
        <v/>
      </c>
      <c r="X747" s="20" t="str">
        <f t="shared" si="206"/>
        <v/>
      </c>
      <c r="Y747" s="86" t="str">
        <f t="shared" si="209"/>
        <v/>
      </c>
      <c r="Z747" s="31"/>
    </row>
    <row r="748" spans="2:26" outlineLevel="1">
      <c r="B748" s="14">
        <f t="shared" si="192"/>
        <v>745</v>
      </c>
      <c r="C748" s="37"/>
      <c r="D748" s="40"/>
      <c r="E748" s="39"/>
      <c r="F748" s="37"/>
      <c r="G748" s="39"/>
      <c r="H748" s="37"/>
      <c r="I748" s="37"/>
      <c r="J748" s="41" t="str">
        <f t="shared" si="193"/>
        <v/>
      </c>
      <c r="K748" s="12" t="str">
        <f t="shared" si="199"/>
        <v/>
      </c>
      <c r="L748" s="12" t="str">
        <f t="shared" si="200"/>
        <v/>
      </c>
      <c r="M748" s="12" t="str">
        <f t="shared" si="194"/>
        <v/>
      </c>
      <c r="N748" s="12" t="str">
        <f t="shared" si="195"/>
        <v/>
      </c>
      <c r="O748" s="12" t="str">
        <f t="shared" si="196"/>
        <v/>
      </c>
      <c r="P748" s="12" t="str">
        <f t="shared" si="197"/>
        <v/>
      </c>
      <c r="Q748" s="12" t="str">
        <f t="shared" si="201"/>
        <v/>
      </c>
      <c r="R748" s="26" t="str">
        <f t="shared" si="198"/>
        <v/>
      </c>
      <c r="S748" s="26" t="str">
        <f t="shared" si="207"/>
        <v/>
      </c>
      <c r="T748" s="26" t="str">
        <f t="shared" si="202"/>
        <v/>
      </c>
      <c r="U748" s="26" t="str">
        <f t="shared" si="203"/>
        <v/>
      </c>
      <c r="V748" s="26" t="str">
        <f t="shared" si="204"/>
        <v/>
      </c>
      <c r="W748" s="20" t="str">
        <f t="shared" si="205"/>
        <v/>
      </c>
      <c r="X748" s="20" t="str">
        <f t="shared" si="206"/>
        <v/>
      </c>
      <c r="Y748" s="86" t="str">
        <f t="shared" si="209"/>
        <v/>
      </c>
      <c r="Z748" s="31"/>
    </row>
    <row r="749" spans="2:26" outlineLevel="1">
      <c r="B749" s="14">
        <f t="shared" si="192"/>
        <v>746</v>
      </c>
      <c r="C749" s="37"/>
      <c r="D749" s="40"/>
      <c r="E749" s="39"/>
      <c r="F749" s="37"/>
      <c r="G749" s="39"/>
      <c r="H749" s="37"/>
      <c r="I749" s="37"/>
      <c r="J749" s="41" t="str">
        <f t="shared" si="193"/>
        <v/>
      </c>
      <c r="K749" s="12" t="str">
        <f t="shared" si="199"/>
        <v/>
      </c>
      <c r="L749" s="12" t="str">
        <f t="shared" si="200"/>
        <v/>
      </c>
      <c r="M749" s="12" t="str">
        <f t="shared" si="194"/>
        <v/>
      </c>
      <c r="N749" s="12" t="str">
        <f t="shared" si="195"/>
        <v/>
      </c>
      <c r="O749" s="12" t="str">
        <f t="shared" si="196"/>
        <v/>
      </c>
      <c r="P749" s="12" t="str">
        <f t="shared" si="197"/>
        <v/>
      </c>
      <c r="Q749" s="12" t="str">
        <f t="shared" si="201"/>
        <v/>
      </c>
      <c r="R749" s="26" t="str">
        <f t="shared" si="198"/>
        <v/>
      </c>
      <c r="S749" s="26" t="str">
        <f t="shared" si="207"/>
        <v/>
      </c>
      <c r="T749" s="26" t="str">
        <f t="shared" si="202"/>
        <v/>
      </c>
      <c r="U749" s="26" t="str">
        <f t="shared" si="203"/>
        <v/>
      </c>
      <c r="V749" s="26" t="str">
        <f t="shared" si="204"/>
        <v/>
      </c>
      <c r="W749" s="20" t="str">
        <f t="shared" si="205"/>
        <v/>
      </c>
      <c r="X749" s="20" t="str">
        <f t="shared" si="206"/>
        <v/>
      </c>
      <c r="Y749" s="86" t="str">
        <f t="shared" si="209"/>
        <v/>
      </c>
      <c r="Z749" s="31"/>
    </row>
    <row r="750" spans="2:26" outlineLevel="1">
      <c r="B750" s="14">
        <f t="shared" si="192"/>
        <v>747</v>
      </c>
      <c r="C750" s="37"/>
      <c r="D750" s="40"/>
      <c r="E750" s="39"/>
      <c r="F750" s="37"/>
      <c r="G750" s="39"/>
      <c r="H750" s="37"/>
      <c r="I750" s="37"/>
      <c r="J750" s="41" t="str">
        <f t="shared" si="193"/>
        <v/>
      </c>
      <c r="K750" s="12" t="str">
        <f t="shared" si="199"/>
        <v/>
      </c>
      <c r="L750" s="12" t="str">
        <f t="shared" si="200"/>
        <v/>
      </c>
      <c r="M750" s="12" t="str">
        <f t="shared" si="194"/>
        <v/>
      </c>
      <c r="N750" s="12" t="str">
        <f t="shared" si="195"/>
        <v/>
      </c>
      <c r="O750" s="12" t="str">
        <f t="shared" si="196"/>
        <v/>
      </c>
      <c r="P750" s="12" t="str">
        <f t="shared" si="197"/>
        <v/>
      </c>
      <c r="Q750" s="12" t="str">
        <f t="shared" si="201"/>
        <v/>
      </c>
      <c r="R750" s="26" t="str">
        <f t="shared" si="198"/>
        <v/>
      </c>
      <c r="S750" s="26" t="str">
        <f t="shared" si="207"/>
        <v/>
      </c>
      <c r="T750" s="26" t="str">
        <f t="shared" si="202"/>
        <v/>
      </c>
      <c r="U750" s="26" t="str">
        <f t="shared" si="203"/>
        <v/>
      </c>
      <c r="V750" s="26" t="str">
        <f t="shared" si="204"/>
        <v/>
      </c>
      <c r="W750" s="20" t="str">
        <f t="shared" si="205"/>
        <v/>
      </c>
      <c r="X750" s="20" t="str">
        <f t="shared" si="206"/>
        <v/>
      </c>
      <c r="Y750" s="86" t="str">
        <f t="shared" si="209"/>
        <v/>
      </c>
      <c r="Z750" s="31"/>
    </row>
    <row r="751" spans="2:26" outlineLevel="1">
      <c r="B751" s="14">
        <f t="shared" si="192"/>
        <v>748</v>
      </c>
      <c r="C751" s="37"/>
      <c r="D751" s="40"/>
      <c r="E751" s="39"/>
      <c r="F751" s="37"/>
      <c r="G751" s="39"/>
      <c r="H751" s="37"/>
      <c r="I751" s="37"/>
      <c r="J751" s="41" t="str">
        <f t="shared" si="193"/>
        <v/>
      </c>
      <c r="K751" s="12" t="str">
        <f t="shared" si="199"/>
        <v/>
      </c>
      <c r="L751" s="12" t="str">
        <f t="shared" si="200"/>
        <v/>
      </c>
      <c r="M751" s="12" t="str">
        <f t="shared" si="194"/>
        <v/>
      </c>
      <c r="N751" s="12" t="str">
        <f t="shared" si="195"/>
        <v/>
      </c>
      <c r="O751" s="12" t="str">
        <f t="shared" si="196"/>
        <v/>
      </c>
      <c r="P751" s="12" t="str">
        <f t="shared" si="197"/>
        <v/>
      </c>
      <c r="Q751" s="12" t="str">
        <f t="shared" si="201"/>
        <v/>
      </c>
      <c r="R751" s="26" t="str">
        <f t="shared" si="198"/>
        <v/>
      </c>
      <c r="S751" s="26" t="str">
        <f t="shared" si="207"/>
        <v/>
      </c>
      <c r="T751" s="26" t="str">
        <f t="shared" si="202"/>
        <v/>
      </c>
      <c r="U751" s="26" t="str">
        <f t="shared" si="203"/>
        <v/>
      </c>
      <c r="V751" s="26" t="str">
        <f t="shared" si="204"/>
        <v/>
      </c>
      <c r="W751" s="20" t="str">
        <f t="shared" si="205"/>
        <v/>
      </c>
      <c r="X751" s="20" t="str">
        <f t="shared" si="206"/>
        <v/>
      </c>
      <c r="Y751" s="86" t="str">
        <f t="shared" si="209"/>
        <v/>
      </c>
      <c r="Z751" s="31"/>
    </row>
    <row r="752" spans="2:26" outlineLevel="1">
      <c r="B752" s="14">
        <f t="shared" si="192"/>
        <v>749</v>
      </c>
      <c r="C752" s="37"/>
      <c r="D752" s="40"/>
      <c r="E752" s="39"/>
      <c r="F752" s="37"/>
      <c r="G752" s="39"/>
      <c r="H752" s="37"/>
      <c r="I752" s="37"/>
      <c r="J752" s="41" t="str">
        <f t="shared" si="193"/>
        <v/>
      </c>
      <c r="K752" s="12" t="str">
        <f t="shared" si="199"/>
        <v/>
      </c>
      <c r="L752" s="12" t="str">
        <f t="shared" si="200"/>
        <v/>
      </c>
      <c r="M752" s="12" t="str">
        <f t="shared" si="194"/>
        <v/>
      </c>
      <c r="N752" s="12" t="str">
        <f t="shared" si="195"/>
        <v/>
      </c>
      <c r="O752" s="12" t="str">
        <f t="shared" si="196"/>
        <v/>
      </c>
      <c r="P752" s="12" t="str">
        <f t="shared" si="197"/>
        <v/>
      </c>
      <c r="Q752" s="12" t="str">
        <f t="shared" si="201"/>
        <v/>
      </c>
      <c r="R752" s="26" t="str">
        <f t="shared" si="198"/>
        <v/>
      </c>
      <c r="S752" s="26" t="str">
        <f t="shared" si="207"/>
        <v/>
      </c>
      <c r="T752" s="26" t="str">
        <f t="shared" si="202"/>
        <v/>
      </c>
      <c r="U752" s="26" t="str">
        <f t="shared" si="203"/>
        <v/>
      </c>
      <c r="V752" s="26" t="str">
        <f t="shared" si="204"/>
        <v/>
      </c>
      <c r="W752" s="20" t="str">
        <f t="shared" si="205"/>
        <v/>
      </c>
      <c r="X752" s="20" t="str">
        <f t="shared" si="206"/>
        <v/>
      </c>
      <c r="Y752" s="86" t="str">
        <f t="shared" si="209"/>
        <v/>
      </c>
      <c r="Z752" s="31"/>
    </row>
    <row r="753" spans="2:26" ht="17.45" customHeight="1" outlineLevel="1">
      <c r="B753" s="14">
        <f t="shared" si="192"/>
        <v>750</v>
      </c>
      <c r="C753" s="37"/>
      <c r="D753" s="40"/>
      <c r="E753" s="39"/>
      <c r="F753" s="37"/>
      <c r="G753" s="39"/>
      <c r="H753" s="37"/>
      <c r="I753" s="37"/>
      <c r="J753" s="41" t="str">
        <f t="shared" si="193"/>
        <v/>
      </c>
      <c r="K753" s="12" t="str">
        <f t="shared" si="199"/>
        <v/>
      </c>
      <c r="L753" s="12" t="str">
        <f t="shared" si="200"/>
        <v/>
      </c>
      <c r="M753" s="12" t="str">
        <f t="shared" si="194"/>
        <v/>
      </c>
      <c r="N753" s="12" t="str">
        <f t="shared" si="195"/>
        <v/>
      </c>
      <c r="O753" s="12" t="str">
        <f t="shared" si="196"/>
        <v/>
      </c>
      <c r="P753" s="12" t="str">
        <f t="shared" si="197"/>
        <v/>
      </c>
      <c r="Q753" s="12" t="str">
        <f t="shared" si="201"/>
        <v/>
      </c>
      <c r="R753" s="26" t="str">
        <f t="shared" si="198"/>
        <v/>
      </c>
      <c r="S753" s="26" t="str">
        <f t="shared" si="207"/>
        <v/>
      </c>
      <c r="T753" s="26" t="str">
        <f t="shared" si="202"/>
        <v/>
      </c>
      <c r="U753" s="26" t="str">
        <f t="shared" si="203"/>
        <v/>
      </c>
      <c r="V753" s="26" t="str">
        <f t="shared" si="204"/>
        <v/>
      </c>
      <c r="W753" s="20" t="str">
        <f t="shared" si="205"/>
        <v/>
      </c>
      <c r="X753" s="20" t="str">
        <f t="shared" si="206"/>
        <v/>
      </c>
      <c r="Y753" s="86" t="str">
        <f t="shared" si="209"/>
        <v/>
      </c>
      <c r="Z753" s="31"/>
    </row>
    <row r="754" spans="2:26">
      <c r="B754" s="60"/>
      <c r="C754" s="60"/>
      <c r="D754" s="60"/>
      <c r="E754" s="60"/>
      <c r="F754" s="60"/>
      <c r="G754" s="61"/>
      <c r="H754" s="61"/>
      <c r="I754" s="61"/>
      <c r="J754" s="60"/>
      <c r="K754" s="212"/>
      <c r="L754" s="212"/>
      <c r="M754" s="62"/>
      <c r="N754" s="60" t="s">
        <v>135</v>
      </c>
      <c r="O754" s="212">
        <f t="shared" ref="O754:Y754" si="210">SUM(O4:O753)</f>
        <v>0</v>
      </c>
      <c r="P754" s="89">
        <f t="shared" si="210"/>
        <v>0</v>
      </c>
      <c r="Q754" s="89">
        <f t="shared" si="210"/>
        <v>0</v>
      </c>
      <c r="R754" s="89">
        <f t="shared" si="210"/>
        <v>0</v>
      </c>
      <c r="S754" s="89">
        <f t="shared" si="210"/>
        <v>0</v>
      </c>
      <c r="T754" s="89">
        <f t="shared" si="210"/>
        <v>0</v>
      </c>
      <c r="U754" s="89">
        <f t="shared" si="210"/>
        <v>0</v>
      </c>
      <c r="V754" s="89">
        <f t="shared" si="210"/>
        <v>0</v>
      </c>
      <c r="W754" s="89">
        <f t="shared" si="210"/>
        <v>0</v>
      </c>
      <c r="X754" s="89">
        <f t="shared" si="210"/>
        <v>0</v>
      </c>
      <c r="Y754" s="93">
        <f t="shared" si="210"/>
        <v>0</v>
      </c>
      <c r="Z754" s="89"/>
    </row>
    <row r="757" spans="2:26">
      <c r="B757" t="s">
        <v>690</v>
      </c>
    </row>
    <row r="758" spans="2:26">
      <c r="B758" t="s">
        <v>691</v>
      </c>
    </row>
    <row r="759" spans="2:26">
      <c r="B759" t="s">
        <v>692</v>
      </c>
    </row>
    <row r="760" spans="2:26">
      <c r="B760" t="s">
        <v>693</v>
      </c>
    </row>
    <row r="761" spans="2:26">
      <c r="B761" t="s">
        <v>694</v>
      </c>
    </row>
    <row r="762" spans="2:26">
      <c r="B762" t="s">
        <v>695</v>
      </c>
    </row>
  </sheetData>
  <dataValidations count="4">
    <dataValidation type="list" allowBlank="1" showInputMessage="1" showErrorMessage="1" sqref="F4:F753" xr:uid="{7173000C-5A03-4A92-A2B3-302A59846618}">
      <formula1>$AG$4:$AG$6</formula1>
    </dataValidation>
    <dataValidation type="list" allowBlank="1" showInputMessage="1" showErrorMessage="1" sqref="G4:G753 J4:J753" xr:uid="{F3E1BC9B-473D-431F-9E36-3C906EA644A5}">
      <formula1>$AH$4:$AH$5</formula1>
    </dataValidation>
    <dataValidation type="list" allowBlank="1" showInputMessage="1" showErrorMessage="1" sqref="H4:H753" xr:uid="{2FC363C8-6919-40A0-9372-5ABF1E472914}">
      <formula1>$AI$4:$AI$5</formula1>
    </dataValidation>
    <dataValidation type="list" allowBlank="1" showInputMessage="1" showErrorMessage="1" sqref="I4:I753" xr:uid="{C0EF60D6-59BE-4B83-A5CD-A74FD1FA7A4D}">
      <formula1>$AJ$4:$AJ$5</formula1>
    </dataValidation>
  </dataValidations>
  <pageMargins left="0.7" right="0.7" top="0.75" bottom="0.75" header="0.3" footer="0.3"/>
  <pageSetup orientation="portrait" horizontalDpi="300" vertic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01487-2BBB-46F9-AE55-16F5D228414D}">
  <dimension ref="A1:AB146"/>
  <sheetViews>
    <sheetView workbookViewId="0">
      <selection sqref="A1:XFD1048576"/>
    </sheetView>
  </sheetViews>
  <sheetFormatPr defaultRowHeight="15"/>
  <cols>
    <col min="1" max="1" width="22.28515625" customWidth="1"/>
    <col min="2" max="2" width="18.140625" customWidth="1"/>
    <col min="3" max="3" width="18.28515625" bestFit="1" customWidth="1"/>
    <col min="4" max="4" width="26.28515625" customWidth="1"/>
    <col min="5" max="5" width="25.28515625" customWidth="1"/>
    <col min="6" max="6" width="13.140625" customWidth="1"/>
    <col min="7" max="7" width="17.28515625" bestFit="1" customWidth="1"/>
    <col min="8" max="9" width="19.7109375" customWidth="1"/>
    <col min="10" max="10" width="17.7109375" bestFit="1" customWidth="1"/>
    <col min="11" max="11" width="27.28515625" customWidth="1"/>
    <col min="12" max="13" width="19.85546875" bestFit="1" customWidth="1"/>
    <col min="14" max="15" width="23.28515625" bestFit="1" customWidth="1"/>
    <col min="16" max="16" width="23.140625" bestFit="1" customWidth="1"/>
    <col min="17" max="17" width="21.7109375" bestFit="1" customWidth="1"/>
    <col min="18" max="18" width="21.7109375" customWidth="1"/>
    <col min="19" max="19" width="17.140625" bestFit="1" customWidth="1"/>
    <col min="20" max="20" width="17.7109375" customWidth="1"/>
    <col min="21" max="21" width="18.28515625" bestFit="1" customWidth="1"/>
    <col min="22" max="22" width="21.7109375" customWidth="1"/>
    <col min="23" max="24" width="23.28515625" bestFit="1" customWidth="1"/>
    <col min="25" max="25" width="23.140625" bestFit="1" customWidth="1"/>
    <col min="26" max="26" width="35.5703125" customWidth="1"/>
    <col min="27" max="27" width="31.28515625" customWidth="1"/>
    <col min="28" max="28" width="17.140625" bestFit="1" customWidth="1"/>
    <col min="29" max="29" width="15.85546875" customWidth="1"/>
    <col min="30" max="30" width="18.28515625" bestFit="1" customWidth="1"/>
    <col min="31" max="31" width="17.42578125" bestFit="1" customWidth="1"/>
    <col min="32" max="32" width="17.28515625" bestFit="1" customWidth="1"/>
  </cols>
  <sheetData>
    <row r="1" spans="1:28" ht="15.75" customHeight="1" thickTop="1">
      <c r="C1" s="889" t="s">
        <v>696</v>
      </c>
      <c r="G1" t="s">
        <v>697</v>
      </c>
      <c r="H1" s="891" t="s">
        <v>698</v>
      </c>
      <c r="I1" s="892"/>
      <c r="J1" s="892"/>
      <c r="K1" s="892"/>
      <c r="L1" s="892"/>
      <c r="M1" s="892"/>
      <c r="N1" s="892"/>
      <c r="O1" s="892"/>
      <c r="P1" s="892"/>
      <c r="Q1" s="892"/>
      <c r="R1" s="892"/>
      <c r="V1" s="846"/>
    </row>
    <row r="2" spans="1:28" ht="15" customHeight="1" thickBot="1">
      <c r="C2" s="890"/>
      <c r="E2" t="s">
        <v>699</v>
      </c>
      <c r="G2" t="s">
        <v>700</v>
      </c>
      <c r="H2" s="891"/>
      <c r="I2" s="892"/>
      <c r="J2" s="892"/>
      <c r="K2" s="892"/>
      <c r="L2" s="892"/>
      <c r="M2" s="892"/>
      <c r="N2" s="892"/>
      <c r="O2" s="892"/>
      <c r="P2" s="892"/>
      <c r="Q2" s="892"/>
      <c r="R2" s="892"/>
    </row>
    <row r="3" spans="1:28" ht="15" customHeight="1" thickTop="1">
      <c r="E3" t="s">
        <v>701</v>
      </c>
      <c r="G3" t="s">
        <v>702</v>
      </c>
      <c r="H3" s="891"/>
      <c r="I3" s="892"/>
      <c r="J3" s="892"/>
      <c r="K3" s="892"/>
      <c r="L3" s="892"/>
      <c r="M3" s="892"/>
      <c r="N3" s="892"/>
      <c r="O3" s="892"/>
      <c r="P3" s="892"/>
      <c r="Q3" s="892"/>
      <c r="R3" s="892"/>
    </row>
    <row r="4" spans="1:28" ht="15" customHeight="1">
      <c r="G4" t="s">
        <v>703</v>
      </c>
      <c r="H4" s="891"/>
      <c r="I4" s="892"/>
      <c r="J4" s="892"/>
      <c r="K4" s="892"/>
      <c r="L4" s="892"/>
      <c r="M4" s="892"/>
      <c r="N4" s="892"/>
      <c r="O4" s="892"/>
      <c r="P4" s="892"/>
      <c r="Q4" s="892"/>
      <c r="R4" s="892"/>
    </row>
    <row r="5" spans="1:28" ht="15.75" customHeight="1" thickBot="1">
      <c r="D5" s="847" t="s">
        <v>704</v>
      </c>
      <c r="E5" s="847" t="s">
        <v>705</v>
      </c>
      <c r="H5" s="891"/>
      <c r="I5" s="892"/>
      <c r="J5" s="892"/>
      <c r="K5" s="892"/>
      <c r="L5" s="892"/>
      <c r="M5" s="892"/>
      <c r="N5" s="892"/>
      <c r="O5" s="892"/>
      <c r="P5" s="892"/>
      <c r="Q5" s="892"/>
      <c r="R5" s="892"/>
    </row>
    <row r="6" spans="1:28" ht="21.75" customHeight="1" thickTop="1" thickBot="1">
      <c r="B6" s="848" t="s">
        <v>699</v>
      </c>
      <c r="C6" s="849" t="s">
        <v>697</v>
      </c>
      <c r="D6" s="850">
        <v>1</v>
      </c>
      <c r="E6" s="850">
        <v>0.6</v>
      </c>
    </row>
    <row r="7" spans="1:28" ht="15.75" thickTop="1"/>
    <row r="8" spans="1:28" s="854" customFormat="1" ht="59.25" customHeight="1">
      <c r="A8" s="851" t="s">
        <v>706</v>
      </c>
      <c r="B8" s="851" t="s">
        <v>371</v>
      </c>
      <c r="C8" s="851" t="str">
        <f>IF($B$6="Rectangular Duct","Width(in)","Diam(in)")</f>
        <v>Width(in)</v>
      </c>
      <c r="D8" s="851" t="str">
        <f>IF($B$6="Rectangular Duct","Depth(in)","")</f>
        <v>Depth(in)</v>
      </c>
      <c r="E8" s="852" t="s">
        <v>707</v>
      </c>
      <c r="F8" s="852" t="s">
        <v>708</v>
      </c>
      <c r="G8" s="852" t="s">
        <v>709</v>
      </c>
      <c r="H8" s="852" t="s">
        <v>710</v>
      </c>
      <c r="I8" s="852" t="s">
        <v>711</v>
      </c>
      <c r="J8" s="852" t="s">
        <v>712</v>
      </c>
      <c r="K8" s="852" t="s">
        <v>713</v>
      </c>
      <c r="L8" s="852" t="s">
        <v>714</v>
      </c>
      <c r="M8" s="852" t="s">
        <v>715</v>
      </c>
      <c r="N8" s="852" t="s">
        <v>716</v>
      </c>
      <c r="O8" s="852" t="s">
        <v>717</v>
      </c>
      <c r="P8" s="852" t="s">
        <v>718</v>
      </c>
      <c r="Q8" s="853" t="s">
        <v>719</v>
      </c>
      <c r="R8" s="852" t="s">
        <v>720</v>
      </c>
      <c r="S8" s="853" t="s">
        <v>721</v>
      </c>
      <c r="T8" s="852" t="s">
        <v>722</v>
      </c>
      <c r="U8" s="852" t="s">
        <v>723</v>
      </c>
      <c r="V8" s="852" t="s">
        <v>724</v>
      </c>
      <c r="X8" s="855"/>
    </row>
    <row r="9" spans="1:28">
      <c r="A9" s="856" t="s">
        <v>725</v>
      </c>
      <c r="B9" s="1" t="s">
        <v>726</v>
      </c>
      <c r="C9" s="1">
        <v>8</v>
      </c>
      <c r="D9" s="1">
        <v>8</v>
      </c>
      <c r="E9" s="41">
        <v>2.3164799999999999</v>
      </c>
      <c r="F9" s="35">
        <f>IF(C9="","",IF($B$6="Rectangular Duct",2*E9*0.025*(C9+D9),(PI()*C9*0.025*E9)))</f>
        <v>1.8531839999999999</v>
      </c>
      <c r="G9" s="35">
        <f>IF(C9="","",IF($B$6="Rectangular Duct",IF(C9&gt;D9,IF(OR(C9&lt;=12),26,IF(OR(C9&lt;=30),24,IF(OR(C9&lt;=42),22,IF(OR(C9&lt;=60),20,18)))),IF(OR(C9&lt;=12),26,IF(OR(C9&lt;=30),24,IF(OR(C9&lt;=42),22,IF(OR(C9&lt;=60),20,18))))),IF(OR(C9&lt;=14),28,IF(OR(C9&lt;=26),26,IF(OR(C9&lt;=36),24,IF(OR(C9&lt;=50),22,IF(OR(C9&lt;=60),20,18)))))))</f>
        <v>26</v>
      </c>
      <c r="H9" s="857">
        <f>IF(C9="","",IF($C$6="Galvanized Steel",VLOOKUP(G9,[1]Data!$A$5:$K$30,11,FALSE),IF($C$6="Stainless Steel",VLOOKUP(G9,[1]Data!$M$5:$W$28,9,FALSE),IF($C$6="Aluminum",VLOOKUP(G9,[1]Data!$A$40:$L$73,9,FALSE)))))</f>
        <v>0.55120000000000002</v>
      </c>
      <c r="I9" s="857">
        <f>IF(C9="","",IF($C$6="Galvanized Steel",VLOOKUP(G9,[1]Data!$A$5:$K$30,8,FALSE),IF($C$6="Stainless Steel",VLOOKUP(G9,[1]Data!$M$5:$W$28,7,FALSE),IF($C$6="Aluminum",VLOOKUP(G9,[1]Data!$A$40:$L$73,7,FALSE)))))</f>
        <v>4.42</v>
      </c>
      <c r="J9" s="35">
        <f>IF(C9="","",I9*F9)</f>
        <v>8.1910732799999995</v>
      </c>
      <c r="K9" s="35">
        <f>IF(C9="","",J9*1.15)</f>
        <v>9.4197342719999995</v>
      </c>
      <c r="L9" s="35">
        <f>IF(C9="","",IF($B$6="Rectangular Duct",0.05*(C9+$D$6*2+D9+$D$6*2)*E9,(PI()*(C9+$D$6*2)*0.025*E9)))</f>
        <v>2.3164799999999999</v>
      </c>
      <c r="M9" s="35">
        <f t="shared" ref="M9:M63" si="0">IF(C9="","",L9*1.01)</f>
        <v>2.3396447999999999</v>
      </c>
      <c r="N9" s="35">
        <f>IF(C9="","",IF($B$6="Rectangular Duct",0.05*(C9+$D$6*4+D9+$E$6*4*0.04)*E9,(PI()*(C9+$D$6*2+$E$6*2*0.04)*0.025*E9)))</f>
        <v>2.3275991040000004</v>
      </c>
      <c r="O9" s="35">
        <f>IF(C9="","",N9*0.0006)</f>
        <v>1.3965594624000001E-3</v>
      </c>
      <c r="P9" s="35">
        <f>IF(C9="","",O9*2700)</f>
        <v>3.7707105484800003</v>
      </c>
      <c r="Q9" s="78">
        <f>IF(C9="","",P9*1.01)</f>
        <v>3.8084176539648005</v>
      </c>
      <c r="R9" s="35" t="str">
        <f>IF(C9="","",IF(C9&lt;=10,"No Guide Vanes",IF(C9&lt;=16,"One Guide Vanes",IF(C9&lt;=24,"Two Guide Vanes","Three Guide Vanes"))))</f>
        <v>No Guide Vanes</v>
      </c>
      <c r="S9" s="1">
        <f>IF(C9="","",IF(C9&lt;20,8,INDEX([1]Data!$R$34:$T$38,MATCH(C9,Max_Width__Inch,1),3)))</f>
        <v>8</v>
      </c>
      <c r="T9" s="35" t="str">
        <f>IF(C9="","",IF(C9&lt;20,"25x25x2",INDEX([1]Data!$R$34:$T$38,MATCH(C9,Max_Width__Inch,1),2)))</f>
        <v>25x25x2</v>
      </c>
      <c r="U9" s="35">
        <f>IF(C9="","",IF(C9&lt;20,3,INDEX([1]Data!$R$34:$T$38,MATCH(C9,Max_Width__Inch,1),1)))</f>
        <v>3</v>
      </c>
      <c r="V9" s="35">
        <f>IF(C9="","",IF(ROUNDUP(0.25*25*C9,0)&lt;=100,100,ROUNDUP(0.25*25*C9,0)))</f>
        <v>100</v>
      </c>
      <c r="X9" s="1"/>
    </row>
    <row r="10" spans="1:28" ht="15.75" thickBot="1">
      <c r="A10" s="856" t="s">
        <v>725</v>
      </c>
      <c r="B10" s="1" t="s">
        <v>726</v>
      </c>
      <c r="C10" s="1">
        <v>12</v>
      </c>
      <c r="D10" s="1">
        <v>10</v>
      </c>
      <c r="E10" s="41">
        <v>0.30480000000000002</v>
      </c>
      <c r="F10" s="35">
        <f t="shared" ref="F10:F63" si="1">IF(C10="","",IF($B$6="Rectangular Duct",2*E10*0.025*(C10+D10),(PI()*C10*0.025*E10)))</f>
        <v>0.33528000000000002</v>
      </c>
      <c r="G10" s="35">
        <f>IF(C10="","",IF($B$6="Rectangular Duct",IF(C10&gt;D10,IF(OR(C10&lt;=12),26,IF(OR(C10&lt;=30),24,IF(OR(C10&lt;=42),22,IF(OR(C10&lt;=60),20,18)))),IF(OR(C10&lt;=12),26,IF(OR(C10&lt;=30),24,IF(OR(C10&lt;=42),22,IF(OR(C10&lt;=60),20,18))))),IF(OR(C10&lt;=14),28,IF(OR(C10&lt;=26),26,IF(OR(C10&lt;=36),24,IF(OR(C10&lt;=50),22,IF(OR(C10&lt;=60),20,18)))))))</f>
        <v>26</v>
      </c>
      <c r="H10" s="857">
        <f>IF(C10="","",IF($C$6="Galvanized Steel",VLOOKUP(G10,[1]Data!$A$5:$K$30,11,FALSE),IF($C$6="Stainless Steel",VLOOKUP(G10,[1]Data!$M$5:$W$28,9,FALSE),IF($C$6="Aluminum",VLOOKUP(G10,[1]Data!$A$40:$L$73,9,FALSE)))))</f>
        <v>0.55120000000000002</v>
      </c>
      <c r="I10" s="857">
        <f>IF(C10="","",IF($C$6="Galvanized Steel",VLOOKUP(G10,[1]Data!$A$5:$K$30,8,FALSE),IF($C$6="Stainless Steel",VLOOKUP(G10,[1]Data!$M$5:$W$28,7,FALSE),IF($C$6="Aluminum",VLOOKUP(G10,[1]Data!$A$40:$L$73,7,FALSE)))))</f>
        <v>4.42</v>
      </c>
      <c r="J10" s="35">
        <f t="shared" ref="J10:J63" si="2">IF(C10="","",I10*F10)</f>
        <v>1.4819376</v>
      </c>
      <c r="K10" s="35">
        <f t="shared" ref="K10:K63" si="3">IF(C10="","",J10*1.15)</f>
        <v>1.7042282399999997</v>
      </c>
      <c r="L10" s="35">
        <f t="shared" ref="L10:L63" si="4">IF(C10="","",IF($B$6="Rectangular Duct",0.05*(C10+$D$6*2+D10+$D$6*2)*E10,(PI()*(C10+$D$6*2)*0.025*E10)))</f>
        <v>0.39624000000000004</v>
      </c>
      <c r="M10" s="35">
        <f t="shared" si="0"/>
        <v>0.40020240000000001</v>
      </c>
      <c r="N10" s="35">
        <f t="shared" ref="N10:N66" si="5">IF(C10="","",IF($B$6="Rectangular Duct",0.05*(C10+$D$6*4+D10+$E$6*4*0.04)*E10,(PI()*(C10+$D$6*2+$E$6*2*0.04)*0.025*E10)))</f>
        <v>0.39770304000000006</v>
      </c>
      <c r="O10" s="35">
        <f t="shared" ref="O10:O42" si="6">IF(C10="","",N10*0.0006)</f>
        <v>2.3862182400000002E-4</v>
      </c>
      <c r="P10" s="35">
        <f t="shared" ref="P10:P63" si="7">IF(C10="","",O10*2700)</f>
        <v>0.64427892480000004</v>
      </c>
      <c r="Q10" s="78">
        <f t="shared" ref="Q10:Q63" si="8">IF(C10="","",P10*1.01)</f>
        <v>0.65072171404800006</v>
      </c>
      <c r="R10" s="35" t="str">
        <f>IF(C10="","",IF(C10&lt;=10,"No Guide Vanes",IF(C10&lt;=16,"One Guide Vanes",IF(C10&lt;=24,"Two Guide Vanes","Three Guide Vanes"))))</f>
        <v>One Guide Vanes</v>
      </c>
      <c r="S10" s="1">
        <f>IF(C10="","",IF(C10&lt;20,8,INDEX([1]Data!$R$34:$T$38,MATCH(C10,Max_Width__Inch,1),3)))</f>
        <v>8</v>
      </c>
      <c r="T10" s="35" t="str">
        <f>IF(C10="","",IF(C10&lt;20,"25x25x2",INDEX([1]Data!$R$34:$T$38,MATCH(C10,Max_Width__Inch,1),2)))</f>
        <v>25x25x2</v>
      </c>
      <c r="U10" s="35">
        <f>IF(C10="","",IF(C10&lt;20,3,INDEX([1]Data!$R$34:$T$38,MATCH(C10,Max_Width__Inch,1),1)))</f>
        <v>3</v>
      </c>
      <c r="V10" s="35">
        <f t="shared" ref="V10:V69" si="9">IF(C10="","",IF(ROUNDUP(0.25*25*C10,0)&lt;=100,100,ROUNDUP(0.25*25*C10,0)))</f>
        <v>100</v>
      </c>
    </row>
    <row r="11" spans="1:28" ht="15.75" thickBot="1">
      <c r="A11" s="856" t="s">
        <v>725</v>
      </c>
      <c r="B11" s="1" t="s">
        <v>726</v>
      </c>
      <c r="C11" s="1">
        <v>12</v>
      </c>
      <c r="D11" s="1">
        <v>8</v>
      </c>
      <c r="E11" s="41">
        <v>0.21335999999999999</v>
      </c>
      <c r="F11" s="35">
        <f t="shared" si="1"/>
        <v>0.21335999999999999</v>
      </c>
      <c r="G11" s="35">
        <f t="shared" ref="G11:G63" si="10">IF(C11="","",IF($B$6="Rectangular Duct",IF(C11&gt;D11,IF(OR(C11&lt;=12),26,IF(OR(C11&lt;=30),24,IF(OR(C11&lt;=42),22,IF(OR(C11&lt;=60),20,18)))),IF(OR(C11&lt;=12),26,IF(OR(C11&lt;=30),24,IF(OR(C11&lt;=42),22,IF(OR(C11&lt;=60),20,18))))),IF(OR(C11&lt;=14),28,IF(OR(C11&lt;=26),26,IF(OR(C11&lt;=36),24,IF(OR(C11&lt;=50),22,IF(OR(C11&lt;=60),20,18)))))))</f>
        <v>26</v>
      </c>
      <c r="H11" s="857">
        <f>IF(C11="","",IF($C$6="Galvanized Steel",VLOOKUP(G11,[1]Data!$A$5:$K$30,11,FALSE),IF($C$6="Stainless Steel",VLOOKUP(G11,[1]Data!$M$5:$W$28,9,FALSE),IF($C$6="Aluminum",VLOOKUP(G11,[1]Data!$A$40:$L$73,9,FALSE)))))</f>
        <v>0.55120000000000002</v>
      </c>
      <c r="I11" s="857">
        <f>IF(C11="","",IF($C$6="Galvanized Steel",VLOOKUP(G11,[1]Data!$A$5:$K$30,8,FALSE),IF($C$6="Stainless Steel",VLOOKUP(G11,[1]Data!$M$5:$W$28,7,FALSE),IF($C$6="Aluminum",VLOOKUP(G11,[1]Data!$A$40:$L$73,7,FALSE)))))</f>
        <v>4.42</v>
      </c>
      <c r="J11" s="35">
        <f t="shared" si="2"/>
        <v>0.94305119999999998</v>
      </c>
      <c r="K11" s="35">
        <f t="shared" si="3"/>
        <v>1.0845088799999998</v>
      </c>
      <c r="L11" s="35">
        <f t="shared" si="4"/>
        <v>0.25603200000000004</v>
      </c>
      <c r="M11" s="35">
        <f t="shared" si="0"/>
        <v>0.25859232000000004</v>
      </c>
      <c r="N11" s="35">
        <f t="shared" si="5"/>
        <v>0.25705612799999999</v>
      </c>
      <c r="O11" s="35">
        <f t="shared" si="6"/>
        <v>1.5423367679999998E-4</v>
      </c>
      <c r="P11" s="35">
        <f t="shared" si="7"/>
        <v>0.41643092735999993</v>
      </c>
      <c r="Q11" s="78">
        <f t="shared" si="8"/>
        <v>0.42059523663359993</v>
      </c>
      <c r="R11" s="35" t="str">
        <f t="shared" ref="R11:R63" si="11">IF(C11="","",IF(C11&lt;=10,"No Guide Vanes",IF(C11&lt;=16,"One Guide Vanes",IF(C11&lt;=24,"Two Guide Vanes","Three Guide Vanes"))))</f>
        <v>One Guide Vanes</v>
      </c>
      <c r="S11" s="1">
        <f>IF(C11="","",IF(C11&lt;20,8,INDEX([1]Data!$R$34:$T$38,MATCH(C11,Max_Width__Inch,1),3)))</f>
        <v>8</v>
      </c>
      <c r="T11" s="35" t="str">
        <f>IF(C11="","",IF(C11&lt;20,"25x25x2",INDEX([1]Data!$R$34:$T$38,MATCH(C11,Max_Width__Inch,1),2)))</f>
        <v>25x25x2</v>
      </c>
      <c r="U11" s="35">
        <f>IF(C11="","",IF(C11&lt;20,3,INDEX([1]Data!$R$34:$T$38,MATCH(C11,Max_Width__Inch,1),1)))</f>
        <v>3</v>
      </c>
      <c r="V11" s="35">
        <f t="shared" si="9"/>
        <v>100</v>
      </c>
      <c r="X11" s="893" t="s">
        <v>727</v>
      </c>
      <c r="Y11" s="894"/>
      <c r="Z11" s="126"/>
    </row>
    <row r="12" spans="1:28" ht="15.75" thickBot="1">
      <c r="A12" s="856" t="s">
        <v>725</v>
      </c>
      <c r="B12" s="1" t="s">
        <v>726</v>
      </c>
      <c r="C12" s="1">
        <v>12</v>
      </c>
      <c r="D12" s="1">
        <v>8</v>
      </c>
      <c r="E12" s="41">
        <v>0.21335999999999999</v>
      </c>
      <c r="F12" s="35">
        <f t="shared" si="1"/>
        <v>0.21335999999999999</v>
      </c>
      <c r="G12" s="35">
        <f t="shared" si="10"/>
        <v>26</v>
      </c>
      <c r="H12" s="857">
        <f>IF(C12="","",IF($C$6="Galvanized Steel",VLOOKUP(G12,[1]Data!$A$5:$K$30,11,FALSE),IF($C$6="Stainless Steel",VLOOKUP(G12,[1]Data!$M$5:$W$28,9,FALSE),IF($C$6="Aluminum",VLOOKUP(G12,[1]Data!$A$40:$L$73,9,FALSE)))))</f>
        <v>0.55120000000000002</v>
      </c>
      <c r="I12" s="857">
        <f>IF(C12="","",IF($C$6="Galvanized Steel",VLOOKUP(G12,[1]Data!$A$5:$K$30,8,FALSE),IF($C$6="Stainless Steel",VLOOKUP(G12,[1]Data!$M$5:$W$28,7,FALSE),IF($C$6="Aluminum",VLOOKUP(G12,[1]Data!$A$40:$L$73,7,FALSE)))))</f>
        <v>4.42</v>
      </c>
      <c r="J12" s="35">
        <f t="shared" si="2"/>
        <v>0.94305119999999998</v>
      </c>
      <c r="K12" s="35">
        <f t="shared" si="3"/>
        <v>1.0845088799999998</v>
      </c>
      <c r="L12" s="35">
        <f t="shared" si="4"/>
        <v>0.25603200000000004</v>
      </c>
      <c r="M12" s="35">
        <f t="shared" si="0"/>
        <v>0.25859232000000004</v>
      </c>
      <c r="N12" s="35">
        <f t="shared" si="5"/>
        <v>0.25705612799999999</v>
      </c>
      <c r="O12" s="35">
        <f t="shared" si="6"/>
        <v>1.5423367679999998E-4</v>
      </c>
      <c r="P12" s="35">
        <f t="shared" si="7"/>
        <v>0.41643092735999993</v>
      </c>
      <c r="Q12" s="78">
        <f t="shared" si="8"/>
        <v>0.42059523663359993</v>
      </c>
      <c r="R12" s="35" t="str">
        <f t="shared" si="11"/>
        <v>One Guide Vanes</v>
      </c>
      <c r="S12" s="1">
        <f>IF(C12="","",IF(C12&lt;20,8,INDEX([1]Data!$R$34:$T$38,MATCH(C12,Max_Width__Inch,1),3)))</f>
        <v>8</v>
      </c>
      <c r="T12" s="35" t="str">
        <f>IF(C12="","",IF(C12&lt;20,"25x25x2",INDEX([1]Data!$R$34:$T$38,MATCH(C12,Max_Width__Inch,1),2)))</f>
        <v>25x25x2</v>
      </c>
      <c r="U12" s="35">
        <f>IF(C12="","",IF(C12&lt;20,3,INDEX([1]Data!$R$34:$T$38,MATCH(C12,Max_Width__Inch,1),1)))</f>
        <v>3</v>
      </c>
      <c r="V12" s="35">
        <f t="shared" si="9"/>
        <v>100</v>
      </c>
      <c r="X12" s="858" t="s">
        <v>728</v>
      </c>
      <c r="Y12" s="859">
        <f>SUM(J9:J145)</f>
        <v>916.89064272000007</v>
      </c>
      <c r="Z12" s="860"/>
    </row>
    <row r="13" spans="1:28">
      <c r="A13" s="856" t="s">
        <v>725</v>
      </c>
      <c r="B13" s="1" t="s">
        <v>726</v>
      </c>
      <c r="C13" s="1">
        <v>12</v>
      </c>
      <c r="D13" s="1">
        <v>8</v>
      </c>
      <c r="E13" s="41">
        <v>0.21335999999999999</v>
      </c>
      <c r="F13" s="35">
        <f t="shared" si="1"/>
        <v>0.21335999999999999</v>
      </c>
      <c r="G13" s="35">
        <f t="shared" si="10"/>
        <v>26</v>
      </c>
      <c r="H13" s="857">
        <f>IF(C13="","",IF($C$6="Galvanized Steel",VLOOKUP(G13,[1]Data!$A$5:$K$30,11,FALSE),IF($C$6="Stainless Steel",VLOOKUP(G13,[1]Data!$M$5:$W$28,9,FALSE),IF($C$6="Aluminum",VLOOKUP(G13,[1]Data!$A$40:$L$73,9,FALSE)))))</f>
        <v>0.55120000000000002</v>
      </c>
      <c r="I13" s="857">
        <f>IF(C13="","",IF($C$6="Galvanized Steel",VLOOKUP(G13,[1]Data!$A$5:$K$30,8,FALSE),IF($C$6="Stainless Steel",VLOOKUP(G13,[1]Data!$M$5:$W$28,7,FALSE),IF($C$6="Aluminum",VLOOKUP(G13,[1]Data!$A$40:$L$73,7,FALSE)))))</f>
        <v>4.42</v>
      </c>
      <c r="J13" s="35">
        <f t="shared" si="2"/>
        <v>0.94305119999999998</v>
      </c>
      <c r="K13" s="35">
        <f t="shared" si="3"/>
        <v>1.0845088799999998</v>
      </c>
      <c r="L13" s="35">
        <f t="shared" si="4"/>
        <v>0.25603200000000004</v>
      </c>
      <c r="M13" s="35">
        <f t="shared" si="0"/>
        <v>0.25859232000000004</v>
      </c>
      <c r="N13" s="35">
        <f t="shared" si="5"/>
        <v>0.25705612799999999</v>
      </c>
      <c r="O13" s="35">
        <f t="shared" si="6"/>
        <v>1.5423367679999998E-4</v>
      </c>
      <c r="P13" s="35">
        <f t="shared" si="7"/>
        <v>0.41643092735999993</v>
      </c>
      <c r="Q13" s="78">
        <f t="shared" si="8"/>
        <v>0.42059523663359993</v>
      </c>
      <c r="R13" s="35" t="str">
        <f t="shared" si="11"/>
        <v>One Guide Vanes</v>
      </c>
      <c r="S13" s="1">
        <f>IF(C13="","",IF(C13&lt;20,8,INDEX([1]Data!$R$34:$T$38,MATCH(C13,Max_Width__Inch,1),3)))</f>
        <v>8</v>
      </c>
      <c r="T13" s="35" t="str">
        <f>IF(C13="","",IF(C13&lt;20,"25x25x2",INDEX([1]Data!$R$34:$T$38,MATCH(C13,Max_Width__Inch,1),2)))</f>
        <v>25x25x2</v>
      </c>
      <c r="U13" s="35">
        <f>IF(C13="","",IF(C13&lt;20,3,INDEX([1]Data!$R$34:$T$38,MATCH(C13,Max_Width__Inch,1),1)))</f>
        <v>3</v>
      </c>
      <c r="V13" s="35">
        <f t="shared" si="9"/>
        <v>100</v>
      </c>
      <c r="X13" s="861" t="s">
        <v>729</v>
      </c>
      <c r="Y13" s="859">
        <f>SUM(K9:K144)</f>
        <v>1054.4242391279997</v>
      </c>
      <c r="Z13" s="860"/>
      <c r="AA13" s="336">
        <f>2.2046*Y13</f>
        <v>2324.5836775815883</v>
      </c>
      <c r="AB13" s="126" t="s">
        <v>730</v>
      </c>
    </row>
    <row r="14" spans="1:28" ht="17.25">
      <c r="A14" s="856" t="s">
        <v>725</v>
      </c>
      <c r="B14" s="1" t="s">
        <v>726</v>
      </c>
      <c r="C14" s="1">
        <v>12</v>
      </c>
      <c r="D14" s="1">
        <v>10</v>
      </c>
      <c r="E14" s="41">
        <v>0.39624000000000004</v>
      </c>
      <c r="F14" s="35">
        <f t="shared" si="1"/>
        <v>0.43586400000000008</v>
      </c>
      <c r="G14" s="35">
        <f t="shared" si="10"/>
        <v>26</v>
      </c>
      <c r="H14" s="857">
        <f>IF(C14="","",IF($C$6="Galvanized Steel",VLOOKUP(G14,[1]Data!$A$5:$K$30,11,FALSE),IF($C$6="Stainless Steel",VLOOKUP(G14,[1]Data!$M$5:$W$28,9,FALSE),IF($C$6="Aluminum",VLOOKUP(G14,[1]Data!$A$40:$L$73,9,FALSE)))))</f>
        <v>0.55120000000000002</v>
      </c>
      <c r="I14" s="857">
        <f>IF(C14="","",IF($C$6="Galvanized Steel",VLOOKUP(G14,[1]Data!$A$5:$K$30,8,FALSE),IF($C$6="Stainless Steel",VLOOKUP(G14,[1]Data!$M$5:$W$28,7,FALSE),IF($C$6="Aluminum",VLOOKUP(G14,[1]Data!$A$40:$L$73,7,FALSE)))))</f>
        <v>4.42</v>
      </c>
      <c r="J14" s="35">
        <f t="shared" si="2"/>
        <v>1.9265188800000004</v>
      </c>
      <c r="K14" s="35">
        <f t="shared" si="3"/>
        <v>2.2154967120000002</v>
      </c>
      <c r="L14" s="35">
        <f t="shared" si="4"/>
        <v>0.51511200000000001</v>
      </c>
      <c r="M14" s="35">
        <f t="shared" si="0"/>
        <v>0.52026311999999997</v>
      </c>
      <c r="N14" s="35">
        <f t="shared" si="5"/>
        <v>0.51701395200000011</v>
      </c>
      <c r="O14" s="35">
        <f t="shared" si="6"/>
        <v>3.1020837120000001E-4</v>
      </c>
      <c r="P14" s="35">
        <f t="shared" si="7"/>
        <v>0.83756260224000001</v>
      </c>
      <c r="Q14" s="78">
        <f t="shared" si="8"/>
        <v>0.84593822826240006</v>
      </c>
      <c r="R14" s="35" t="str">
        <f t="shared" si="11"/>
        <v>One Guide Vanes</v>
      </c>
      <c r="S14" s="1">
        <f>IF(C14="","",IF(C14&lt;20,8,INDEX([1]Data!$R$34:$T$38,MATCH(C14,Max_Width__Inch,1),3)))</f>
        <v>8</v>
      </c>
      <c r="T14" s="35" t="str">
        <f>IF(C14="","",IF(C14&lt;20,"25x25x2",INDEX([1]Data!$R$34:$T$38,MATCH(C14,Max_Width__Inch,1),2)))</f>
        <v>25x25x2</v>
      </c>
      <c r="U14" s="35">
        <f>IF(C14="","",IF(C14&lt;20,3,INDEX([1]Data!$R$34:$T$38,MATCH(C14,Max_Width__Inch,1),1)))</f>
        <v>3</v>
      </c>
      <c r="V14" s="35">
        <f t="shared" si="9"/>
        <v>100</v>
      </c>
      <c r="X14" s="861" t="s">
        <v>731</v>
      </c>
      <c r="Y14" s="862">
        <f>SUM(L9:L135)</f>
        <v>183.99556800000005</v>
      </c>
      <c r="Z14" s="126"/>
    </row>
    <row r="15" spans="1:28" ht="17.25">
      <c r="A15" s="856" t="s">
        <v>725</v>
      </c>
      <c r="B15" s="1" t="s">
        <v>726</v>
      </c>
      <c r="C15" s="1">
        <v>12</v>
      </c>
      <c r="D15" s="1">
        <v>10</v>
      </c>
      <c r="E15" s="41">
        <v>0.39624000000000004</v>
      </c>
      <c r="F15" s="35">
        <f t="shared" si="1"/>
        <v>0.43586400000000008</v>
      </c>
      <c r="G15" s="35">
        <f t="shared" si="10"/>
        <v>26</v>
      </c>
      <c r="H15" s="857">
        <f>IF(C15="","",IF($C$6="Galvanized Steel",VLOOKUP(G15,[1]Data!$A$5:$K$30,11,FALSE),IF($C$6="Stainless Steel",VLOOKUP(G15,[1]Data!$M$5:$W$28,9,FALSE),IF($C$6="Aluminum",VLOOKUP(G15,[1]Data!$A$40:$L$73,9,FALSE)))))</f>
        <v>0.55120000000000002</v>
      </c>
      <c r="I15" s="857">
        <f>IF(C15="","",IF($C$6="Galvanized Steel",VLOOKUP(G15,[1]Data!$A$5:$K$30,8,FALSE),IF($C$6="Stainless Steel",VLOOKUP(G15,[1]Data!$M$5:$W$28,7,FALSE),IF($C$6="Aluminum",VLOOKUP(G15,[1]Data!$A$40:$L$73,7,FALSE)))))</f>
        <v>4.42</v>
      </c>
      <c r="J15" s="35">
        <f t="shared" si="2"/>
        <v>1.9265188800000004</v>
      </c>
      <c r="K15" s="35">
        <f t="shared" si="3"/>
        <v>2.2154967120000002</v>
      </c>
      <c r="L15" s="35">
        <f t="shared" si="4"/>
        <v>0.51511200000000001</v>
      </c>
      <c r="M15" s="35">
        <f t="shared" si="0"/>
        <v>0.52026311999999997</v>
      </c>
      <c r="N15" s="35">
        <f t="shared" si="5"/>
        <v>0.51701395200000011</v>
      </c>
      <c r="O15" s="35">
        <f t="shared" si="6"/>
        <v>3.1020837120000001E-4</v>
      </c>
      <c r="P15" s="35">
        <f t="shared" si="7"/>
        <v>0.83756260224000001</v>
      </c>
      <c r="Q15" s="78">
        <f t="shared" si="8"/>
        <v>0.84593822826240006</v>
      </c>
      <c r="R15" s="35" t="str">
        <f t="shared" si="11"/>
        <v>One Guide Vanes</v>
      </c>
      <c r="S15" s="1">
        <f>IF(C15="","",IF(C15&lt;20,8,INDEX([1]Data!$R$34:$T$38,MATCH(C15,Max_Width__Inch,1),3)))</f>
        <v>8</v>
      </c>
      <c r="T15" s="35" t="str">
        <f>IF(C15="","",IF(C15&lt;20,"25x25x2",INDEX([1]Data!$R$34:$T$38,MATCH(C15,Max_Width__Inch,1),2)))</f>
        <v>25x25x2</v>
      </c>
      <c r="U15" s="35">
        <f>IF(C15="","",IF(C15&lt;20,3,INDEX([1]Data!$R$34:$T$38,MATCH(C15,Max_Width__Inch,1),1)))</f>
        <v>3</v>
      </c>
      <c r="V15" s="35">
        <f t="shared" si="9"/>
        <v>100</v>
      </c>
      <c r="X15" s="861" t="s">
        <v>732</v>
      </c>
      <c r="Y15" s="863">
        <f>SUM(M9:M98)</f>
        <v>185.83552368000002</v>
      </c>
      <c r="Z15" s="126"/>
      <c r="AA15" s="336">
        <f>10.7639104*Y15</f>
        <v>2000.3169260285986</v>
      </c>
      <c r="AB15" s="126" t="s">
        <v>733</v>
      </c>
    </row>
    <row r="16" spans="1:28">
      <c r="A16" s="856" t="s">
        <v>725</v>
      </c>
      <c r="B16" s="1" t="s">
        <v>726</v>
      </c>
      <c r="C16" s="1">
        <v>12</v>
      </c>
      <c r="D16" s="1">
        <v>10</v>
      </c>
      <c r="E16" s="41">
        <v>0.39624000000000004</v>
      </c>
      <c r="F16" s="35">
        <f t="shared" si="1"/>
        <v>0.43586400000000008</v>
      </c>
      <c r="G16" s="35">
        <f t="shared" si="10"/>
        <v>26</v>
      </c>
      <c r="H16" s="857">
        <f>IF(C16="","",IF($C$6="Galvanized Steel",VLOOKUP(G16,[1]Data!$A$5:$K$30,11,FALSE),IF($C$6="Stainless Steel",VLOOKUP(G16,[1]Data!$M$5:$W$28,9,FALSE),IF($C$6="Aluminum",VLOOKUP(G16,[1]Data!$A$40:$L$73,9,FALSE)))))</f>
        <v>0.55120000000000002</v>
      </c>
      <c r="I16" s="857">
        <f>IF(C16="","",IF($C$6="Galvanized Steel",VLOOKUP(G16,[1]Data!$A$5:$K$30,8,FALSE),IF($C$6="Stainless Steel",VLOOKUP(G16,[1]Data!$M$5:$W$28,7,FALSE),IF($C$6="Aluminum",VLOOKUP(G16,[1]Data!$A$40:$L$73,7,FALSE)))))</f>
        <v>4.42</v>
      </c>
      <c r="J16" s="35">
        <f t="shared" si="2"/>
        <v>1.9265188800000004</v>
      </c>
      <c r="K16" s="35">
        <f t="shared" si="3"/>
        <v>2.2154967120000002</v>
      </c>
      <c r="L16" s="35">
        <f t="shared" si="4"/>
        <v>0.51511200000000001</v>
      </c>
      <c r="M16" s="35">
        <f t="shared" si="0"/>
        <v>0.52026311999999997</v>
      </c>
      <c r="N16" s="35">
        <f t="shared" si="5"/>
        <v>0.51701395200000011</v>
      </c>
      <c r="O16" s="35">
        <f t="shared" si="6"/>
        <v>3.1020837120000001E-4</v>
      </c>
      <c r="P16" s="35">
        <f t="shared" si="7"/>
        <v>0.83756260224000001</v>
      </c>
      <c r="Q16" s="78">
        <f t="shared" si="8"/>
        <v>0.84593822826240006</v>
      </c>
      <c r="R16" s="35" t="str">
        <f t="shared" si="11"/>
        <v>One Guide Vanes</v>
      </c>
      <c r="S16" s="1">
        <f>IF(C16="","",IF(C16&lt;20,8,INDEX([1]Data!$R$34:$T$38,MATCH(C16,Max_Width__Inch,1),3)))</f>
        <v>8</v>
      </c>
      <c r="T16" s="35" t="str">
        <f>IF(C16="","",IF(C16&lt;20,"25x25x2",INDEX([1]Data!$R$34:$T$38,MATCH(C16,Max_Width__Inch,1),2)))</f>
        <v>25x25x2</v>
      </c>
      <c r="U16" s="35">
        <f>IF(C16="","",IF(C16&lt;20,3,INDEX([1]Data!$R$34:$T$38,MATCH(C16,Max_Width__Inch,1),1)))</f>
        <v>3</v>
      </c>
      <c r="V16" s="35">
        <f t="shared" si="9"/>
        <v>100</v>
      </c>
      <c r="X16" s="861" t="s">
        <v>734</v>
      </c>
      <c r="Y16" s="862">
        <f>ROUND((Y15/24),0)</f>
        <v>8</v>
      </c>
      <c r="Z16" s="126"/>
    </row>
    <row r="17" spans="1:27">
      <c r="A17" s="856" t="s">
        <v>725</v>
      </c>
      <c r="B17" s="1" t="s">
        <v>726</v>
      </c>
      <c r="C17" s="1">
        <v>12</v>
      </c>
      <c r="D17" s="1">
        <v>10</v>
      </c>
      <c r="E17" s="41">
        <v>0.39624000000000004</v>
      </c>
      <c r="F17" s="35">
        <f t="shared" si="1"/>
        <v>0.43586400000000008</v>
      </c>
      <c r="G17" s="35">
        <f t="shared" si="10"/>
        <v>26</v>
      </c>
      <c r="H17" s="857">
        <f>IF(C17="","",IF($C$6="Galvanized Steel",VLOOKUP(G17,[1]Data!$A$5:$K$30,11,FALSE),IF($C$6="Stainless Steel",VLOOKUP(G17,[1]Data!$M$5:$W$28,9,FALSE),IF($C$6="Aluminum",VLOOKUP(G17,[1]Data!$A$40:$L$73,9,FALSE)))))</f>
        <v>0.55120000000000002</v>
      </c>
      <c r="I17" s="857">
        <f>IF(C17="","",IF($C$6="Galvanized Steel",VLOOKUP(G17,[1]Data!$A$5:$K$30,8,FALSE),IF($C$6="Stainless Steel",VLOOKUP(G17,[1]Data!$M$5:$W$28,7,FALSE),IF($C$6="Aluminum",VLOOKUP(G17,[1]Data!$A$40:$L$73,7,FALSE)))))</f>
        <v>4.42</v>
      </c>
      <c r="J17" s="35">
        <f t="shared" si="2"/>
        <v>1.9265188800000004</v>
      </c>
      <c r="K17" s="35">
        <f t="shared" si="3"/>
        <v>2.2154967120000002</v>
      </c>
      <c r="L17" s="35">
        <f t="shared" si="4"/>
        <v>0.51511200000000001</v>
      </c>
      <c r="M17" s="35">
        <f t="shared" si="0"/>
        <v>0.52026311999999997</v>
      </c>
      <c r="N17" s="35">
        <f t="shared" si="5"/>
        <v>0.51701395200000011</v>
      </c>
      <c r="O17" s="35">
        <f t="shared" si="6"/>
        <v>3.1020837120000001E-4</v>
      </c>
      <c r="P17" s="35">
        <f t="shared" si="7"/>
        <v>0.83756260224000001</v>
      </c>
      <c r="Q17" s="78">
        <f t="shared" si="8"/>
        <v>0.84593822826240006</v>
      </c>
      <c r="R17" s="35" t="str">
        <f t="shared" si="11"/>
        <v>One Guide Vanes</v>
      </c>
      <c r="S17" s="1">
        <f>IF(C17="","",IF(C17&lt;20,8,INDEX([1]Data!$R$34:$T$38,MATCH(C17,Max_Width__Inch,1),3)))</f>
        <v>8</v>
      </c>
      <c r="T17" s="35" t="str">
        <f>IF(C17="","",IF(C17&lt;20,"25x25x2",INDEX([1]Data!$R$34:$T$38,MATCH(C17,Max_Width__Inch,1),2)))</f>
        <v>25x25x2</v>
      </c>
      <c r="U17" s="35">
        <f>IF(C17="","",IF(C17&lt;20,3,INDEX([1]Data!$R$34:$T$38,MATCH(C17,Max_Width__Inch,1),1)))</f>
        <v>3</v>
      </c>
      <c r="V17" s="35">
        <f t="shared" si="9"/>
        <v>100</v>
      </c>
      <c r="X17" s="864" t="s">
        <v>735</v>
      </c>
      <c r="Y17" s="865">
        <f>Y16*1000/Y13</f>
        <v>7.5870789983127995</v>
      </c>
      <c r="Z17" s="126"/>
    </row>
    <row r="18" spans="1:27">
      <c r="A18" s="856" t="s">
        <v>725</v>
      </c>
      <c r="B18" s="1" t="s">
        <v>726</v>
      </c>
      <c r="C18" s="1">
        <v>12</v>
      </c>
      <c r="D18" s="1">
        <v>8</v>
      </c>
      <c r="E18" s="41">
        <v>0.36576000000000003</v>
      </c>
      <c r="F18" s="35">
        <f t="shared" si="1"/>
        <v>0.36576000000000003</v>
      </c>
      <c r="G18" s="35">
        <f t="shared" si="10"/>
        <v>26</v>
      </c>
      <c r="H18" s="857">
        <f>IF(C18="","",IF($C$6="Galvanized Steel",VLOOKUP(G18,[1]Data!$A$5:$K$30,11,FALSE),IF($C$6="Stainless Steel",VLOOKUP(G18,[1]Data!$M$5:$W$28,9,FALSE),IF($C$6="Aluminum",VLOOKUP(G18,[1]Data!$A$40:$L$73,9,FALSE)))))</f>
        <v>0.55120000000000002</v>
      </c>
      <c r="I18" s="857">
        <f>IF(C18="","",IF($C$6="Galvanized Steel",VLOOKUP(G18,[1]Data!$A$5:$K$30,8,FALSE),IF($C$6="Stainless Steel",VLOOKUP(G18,[1]Data!$M$5:$W$28,7,FALSE),IF($C$6="Aluminum",VLOOKUP(G18,[1]Data!$A$40:$L$73,7,FALSE)))))</f>
        <v>4.42</v>
      </c>
      <c r="J18" s="35">
        <f t="shared" si="2"/>
        <v>1.6166592000000002</v>
      </c>
      <c r="K18" s="35">
        <f t="shared" si="3"/>
        <v>1.85915808</v>
      </c>
      <c r="L18" s="35">
        <f t="shared" si="4"/>
        <v>0.43891200000000008</v>
      </c>
      <c r="M18" s="35">
        <f t="shared" si="0"/>
        <v>0.4433011200000001</v>
      </c>
      <c r="N18" s="35">
        <f t="shared" si="5"/>
        <v>0.44066764800000008</v>
      </c>
      <c r="O18" s="35">
        <f t="shared" si="6"/>
        <v>2.644005888E-4</v>
      </c>
      <c r="P18" s="35">
        <f t="shared" si="7"/>
        <v>0.71388158976000005</v>
      </c>
      <c r="Q18" s="78">
        <f t="shared" si="8"/>
        <v>0.72102040565760006</v>
      </c>
      <c r="R18" s="35" t="str">
        <f t="shared" si="11"/>
        <v>One Guide Vanes</v>
      </c>
      <c r="S18" s="1">
        <f>IF(C18="","",IF(C18&lt;20,8,INDEX([1]Data!$R$34:$T$38,MATCH(C18,Max_Width__Inch,1),3)))</f>
        <v>8</v>
      </c>
      <c r="T18" s="35" t="str">
        <f>IF(C18="","",IF(C18&lt;20,"25x25x2",INDEX([1]Data!$R$34:$T$38,MATCH(C18,Max_Width__Inch,1),2)))</f>
        <v>25x25x2</v>
      </c>
      <c r="U18" s="35">
        <f>IF(C18="","",IF(C18&lt;20,3,INDEX([1]Data!$R$34:$T$38,MATCH(C18,Max_Width__Inch,1),1)))</f>
        <v>3</v>
      </c>
      <c r="V18" s="35">
        <f t="shared" si="9"/>
        <v>100</v>
      </c>
      <c r="X18" s="866" t="s">
        <v>736</v>
      </c>
      <c r="Y18" s="867">
        <f>SUM(E9:E106)</f>
        <v>106.25328000000003</v>
      </c>
      <c r="Z18" s="126"/>
      <c r="AA18">
        <f>Y16+'[1]Round Duct Weigth '!Y16</f>
        <v>9</v>
      </c>
    </row>
    <row r="19" spans="1:27" ht="15.75" thickBot="1">
      <c r="A19" s="856" t="s">
        <v>725</v>
      </c>
      <c r="B19" s="1" t="s">
        <v>726</v>
      </c>
      <c r="C19" s="1">
        <v>12</v>
      </c>
      <c r="D19" s="1">
        <v>10</v>
      </c>
      <c r="E19" s="41">
        <v>0.36576000000000003</v>
      </c>
      <c r="F19" s="35">
        <f t="shared" si="1"/>
        <v>0.40233600000000003</v>
      </c>
      <c r="G19" s="35">
        <f t="shared" si="10"/>
        <v>26</v>
      </c>
      <c r="H19" s="857">
        <f>IF(C19="","",IF($C$6="Galvanized Steel",VLOOKUP(G19,[1]Data!$A$5:$K$30,11,FALSE),IF($C$6="Stainless Steel",VLOOKUP(G19,[1]Data!$M$5:$W$28,9,FALSE),IF($C$6="Aluminum",VLOOKUP(G19,[1]Data!$A$40:$L$73,9,FALSE)))))</f>
        <v>0.55120000000000002</v>
      </c>
      <c r="I19" s="857">
        <f>IF(C19="","",IF($C$6="Galvanized Steel",VLOOKUP(G19,[1]Data!$A$5:$K$30,8,FALSE),IF($C$6="Stainless Steel",VLOOKUP(G19,[1]Data!$M$5:$W$28,7,FALSE),IF($C$6="Aluminum",VLOOKUP(G19,[1]Data!$A$40:$L$73,7,FALSE)))))</f>
        <v>4.42</v>
      </c>
      <c r="J19" s="35">
        <f t="shared" si="2"/>
        <v>1.7783251200000001</v>
      </c>
      <c r="K19" s="35">
        <f t="shared" si="3"/>
        <v>2.0450738880000001</v>
      </c>
      <c r="L19" s="35">
        <f t="shared" si="4"/>
        <v>0.47548800000000008</v>
      </c>
      <c r="M19" s="35">
        <f t="shared" si="0"/>
        <v>0.48024288000000009</v>
      </c>
      <c r="N19" s="35">
        <f t="shared" si="5"/>
        <v>0.47724364800000013</v>
      </c>
      <c r="O19" s="35">
        <f t="shared" si="6"/>
        <v>2.8634618880000003E-4</v>
      </c>
      <c r="P19" s="35">
        <f t="shared" si="7"/>
        <v>0.77313470976000009</v>
      </c>
      <c r="Q19" s="78">
        <f t="shared" si="8"/>
        <v>0.78086605685760013</v>
      </c>
      <c r="R19" s="35" t="str">
        <f t="shared" si="11"/>
        <v>One Guide Vanes</v>
      </c>
      <c r="S19" s="1">
        <f>IF(C19="","",IF(C19&lt;20,8,INDEX([1]Data!$R$34:$T$38,MATCH(C19,Max_Width__Inch,1),3)))</f>
        <v>8</v>
      </c>
      <c r="T19" s="35" t="str">
        <f>IF(C19="","",IF(C19&lt;20,"25x25x2",INDEX([1]Data!$R$34:$T$38,MATCH(C19,Max_Width__Inch,1),2)))</f>
        <v>25x25x2</v>
      </c>
      <c r="U19" s="35">
        <f>IF(C19="","",IF(C19&lt;20,3,INDEX([1]Data!$R$34:$T$38,MATCH(C19,Max_Width__Inch,1),1)))</f>
        <v>3</v>
      </c>
      <c r="V19" s="35">
        <f t="shared" si="9"/>
        <v>100</v>
      </c>
      <c r="X19" s="868" t="s">
        <v>737</v>
      </c>
      <c r="Y19" s="869">
        <f>Y18*1.1</f>
        <v>116.87860800000004</v>
      </c>
      <c r="AA19">
        <f>AA15+'[1]Round Duct Weigth '!AA15</f>
        <v>2155.89636551798</v>
      </c>
    </row>
    <row r="20" spans="1:27">
      <c r="A20" s="856" t="s">
        <v>725</v>
      </c>
      <c r="B20" s="1" t="s">
        <v>726</v>
      </c>
      <c r="C20" s="1">
        <v>12</v>
      </c>
      <c r="D20" s="1">
        <v>10</v>
      </c>
      <c r="E20" s="41">
        <v>0.36576000000000003</v>
      </c>
      <c r="F20" s="35">
        <f t="shared" si="1"/>
        <v>0.40233600000000003</v>
      </c>
      <c r="G20" s="35">
        <f t="shared" si="10"/>
        <v>26</v>
      </c>
      <c r="H20" s="857">
        <f>IF(C20="","",IF($C$6="Galvanized Steel",VLOOKUP(G20,[1]Data!$A$5:$K$30,11,FALSE),IF($C$6="Stainless Steel",VLOOKUP(G20,[1]Data!$M$5:$W$28,9,FALSE),IF($C$6="Aluminum",VLOOKUP(G20,[1]Data!$A$40:$L$73,9,FALSE)))))</f>
        <v>0.55120000000000002</v>
      </c>
      <c r="I20" s="857">
        <f>IF(C20="","",IF($C$6="Galvanized Steel",VLOOKUP(G20,[1]Data!$A$5:$K$30,8,FALSE),IF($C$6="Stainless Steel",VLOOKUP(G20,[1]Data!$M$5:$W$28,7,FALSE),IF($C$6="Aluminum",VLOOKUP(G20,[1]Data!$A$40:$L$73,7,FALSE)))))</f>
        <v>4.42</v>
      </c>
      <c r="J20" s="35">
        <f t="shared" si="2"/>
        <v>1.7783251200000001</v>
      </c>
      <c r="K20" s="35">
        <f t="shared" si="3"/>
        <v>2.0450738880000001</v>
      </c>
      <c r="L20" s="35">
        <f t="shared" si="4"/>
        <v>0.47548800000000008</v>
      </c>
      <c r="M20" s="35">
        <f t="shared" si="0"/>
        <v>0.48024288000000009</v>
      </c>
      <c r="N20" s="35">
        <f t="shared" si="5"/>
        <v>0.47724364800000013</v>
      </c>
      <c r="O20" s="35">
        <f t="shared" si="6"/>
        <v>2.8634618880000003E-4</v>
      </c>
      <c r="P20" s="35">
        <f t="shared" si="7"/>
        <v>0.77313470976000009</v>
      </c>
      <c r="Q20" s="78">
        <f t="shared" si="8"/>
        <v>0.78086605685760013</v>
      </c>
      <c r="R20" s="35" t="str">
        <f t="shared" si="11"/>
        <v>One Guide Vanes</v>
      </c>
      <c r="S20" s="1">
        <f>IF(C20="","",IF(C20&lt;20,8,INDEX([1]Data!$R$34:$T$38,MATCH(C20,Max_Width__Inch,1),3)))</f>
        <v>8</v>
      </c>
      <c r="T20" s="35" t="str">
        <f>IF(C20="","",IF(C20&lt;20,"25x25x2",INDEX([1]Data!$R$34:$T$38,MATCH(C20,Max_Width__Inch,1),2)))</f>
        <v>25x25x2</v>
      </c>
      <c r="U20" s="35">
        <f>IF(C20="","",IF(C20&lt;20,3,INDEX([1]Data!$R$34:$T$38,MATCH(C20,Max_Width__Inch,1),1)))</f>
        <v>3</v>
      </c>
      <c r="V20" s="35">
        <f t="shared" si="9"/>
        <v>100</v>
      </c>
      <c r="X20" s="866" t="s">
        <v>738</v>
      </c>
      <c r="Y20" s="870">
        <f>SUM(N9:N55)</f>
        <v>134.288588928</v>
      </c>
    </row>
    <row r="21" spans="1:27" ht="15.75" thickBot="1">
      <c r="A21" s="856" t="s">
        <v>725</v>
      </c>
      <c r="B21" s="1" t="s">
        <v>726</v>
      </c>
      <c r="C21" s="1">
        <v>12</v>
      </c>
      <c r="D21" s="1">
        <v>10</v>
      </c>
      <c r="E21" s="41">
        <v>0.36576000000000003</v>
      </c>
      <c r="F21" s="35">
        <f t="shared" si="1"/>
        <v>0.40233600000000003</v>
      </c>
      <c r="G21" s="35">
        <f t="shared" si="10"/>
        <v>26</v>
      </c>
      <c r="H21" s="857">
        <f>IF(C21="","",IF($C$6="Galvanized Steel",VLOOKUP(G21,[1]Data!$A$5:$K$30,11,FALSE),IF($C$6="Stainless Steel",VLOOKUP(G21,[1]Data!$M$5:$W$28,9,FALSE),IF($C$6="Aluminum",VLOOKUP(G21,[1]Data!$A$40:$L$73,9,FALSE)))))</f>
        <v>0.55120000000000002</v>
      </c>
      <c r="I21" s="857">
        <f>IF(C21="","",IF($C$6="Galvanized Steel",VLOOKUP(G21,[1]Data!$A$5:$K$30,8,FALSE),IF($C$6="Stainless Steel",VLOOKUP(G21,[1]Data!$M$5:$W$28,7,FALSE),IF($C$6="Aluminum",VLOOKUP(G21,[1]Data!$A$40:$L$73,7,FALSE)))))</f>
        <v>4.42</v>
      </c>
      <c r="J21" s="35">
        <f t="shared" si="2"/>
        <v>1.7783251200000001</v>
      </c>
      <c r="K21" s="35">
        <f t="shared" si="3"/>
        <v>2.0450738880000001</v>
      </c>
      <c r="L21" s="35">
        <f t="shared" si="4"/>
        <v>0.47548800000000008</v>
      </c>
      <c r="M21" s="35">
        <f t="shared" si="0"/>
        <v>0.48024288000000009</v>
      </c>
      <c r="N21" s="35">
        <f t="shared" si="5"/>
        <v>0.47724364800000013</v>
      </c>
      <c r="O21" s="35">
        <f t="shared" si="6"/>
        <v>2.8634618880000003E-4</v>
      </c>
      <c r="P21" s="35">
        <f t="shared" si="7"/>
        <v>0.77313470976000009</v>
      </c>
      <c r="Q21" s="78">
        <f t="shared" si="8"/>
        <v>0.78086605685760013</v>
      </c>
      <c r="R21" s="35" t="str">
        <f t="shared" si="11"/>
        <v>One Guide Vanes</v>
      </c>
      <c r="S21" s="1">
        <f>IF(C21="","",IF(C21&lt;20,8,INDEX([1]Data!$R$34:$T$38,MATCH(C21,Max_Width__Inch,1),3)))</f>
        <v>8</v>
      </c>
      <c r="T21" s="35" t="str">
        <f>IF(C21="","",IF(C21&lt;20,"25x25x2",INDEX([1]Data!$R$34:$T$38,MATCH(C21,Max_Width__Inch,1),2)))</f>
        <v>25x25x2</v>
      </c>
      <c r="U21" s="35">
        <f>IF(C21="","",IF(C21&lt;20,3,INDEX([1]Data!$R$34:$T$38,MATCH(C21,Max_Width__Inch,1),1)))</f>
        <v>3</v>
      </c>
      <c r="V21" s="35">
        <f t="shared" si="9"/>
        <v>100</v>
      </c>
      <c r="X21" s="868" t="s">
        <v>739</v>
      </c>
      <c r="Y21" s="870">
        <f>SUM(P9:P53)</f>
        <v>186.76117299456001</v>
      </c>
    </row>
    <row r="22" spans="1:27" ht="15.75" thickBot="1">
      <c r="A22" s="856" t="s">
        <v>725</v>
      </c>
      <c r="B22" s="1" t="s">
        <v>726</v>
      </c>
      <c r="C22" s="1">
        <v>12</v>
      </c>
      <c r="D22" s="1">
        <v>10</v>
      </c>
      <c r="E22" s="41">
        <v>0.36576000000000003</v>
      </c>
      <c r="F22" s="35">
        <f t="shared" si="1"/>
        <v>0.40233600000000003</v>
      </c>
      <c r="G22" s="35">
        <f t="shared" si="10"/>
        <v>26</v>
      </c>
      <c r="H22" s="857">
        <f>IF(C22="","",IF($C$6="Galvanized Steel",VLOOKUP(G22,[1]Data!$A$5:$K$30,11,FALSE),IF($C$6="Stainless Steel",VLOOKUP(G22,[1]Data!$M$5:$W$28,9,FALSE),IF($C$6="Aluminum",VLOOKUP(G22,[1]Data!$A$40:$L$73,9,FALSE)))))</f>
        <v>0.55120000000000002</v>
      </c>
      <c r="I22" s="857">
        <f>IF(C22="","",IF($C$6="Galvanized Steel",VLOOKUP(G22,[1]Data!$A$5:$K$30,8,FALSE),IF($C$6="Stainless Steel",VLOOKUP(G22,[1]Data!$M$5:$W$28,7,FALSE),IF($C$6="Aluminum",VLOOKUP(G22,[1]Data!$A$40:$L$73,7,FALSE)))))</f>
        <v>4.42</v>
      </c>
      <c r="J22" s="35">
        <f t="shared" si="2"/>
        <v>1.7783251200000001</v>
      </c>
      <c r="K22" s="35">
        <f t="shared" si="3"/>
        <v>2.0450738880000001</v>
      </c>
      <c r="L22" s="35">
        <f t="shared" si="4"/>
        <v>0.47548800000000008</v>
      </c>
      <c r="M22" s="35">
        <f t="shared" si="0"/>
        <v>0.48024288000000009</v>
      </c>
      <c r="N22" s="35">
        <f t="shared" si="5"/>
        <v>0.47724364800000013</v>
      </c>
      <c r="O22" s="35">
        <f t="shared" si="6"/>
        <v>2.8634618880000003E-4</v>
      </c>
      <c r="P22" s="35">
        <f t="shared" si="7"/>
        <v>0.77313470976000009</v>
      </c>
      <c r="Q22" s="78">
        <f t="shared" si="8"/>
        <v>0.78086605685760013</v>
      </c>
      <c r="R22" s="35" t="str">
        <f t="shared" si="11"/>
        <v>One Guide Vanes</v>
      </c>
      <c r="S22" s="1">
        <f>IF(C22="","",IF(C22&lt;20,8,INDEX([1]Data!$R$34:$T$38,MATCH(C22,Max_Width__Inch,1),3)))</f>
        <v>8</v>
      </c>
      <c r="T22" s="35" t="str">
        <f>IF(C22="","",IF(C22&lt;20,"25x25x2",INDEX([1]Data!$R$34:$T$38,MATCH(C22,Max_Width__Inch,1),2)))</f>
        <v>25x25x2</v>
      </c>
      <c r="U22" s="35">
        <f>IF(C22="","",IF(C22&lt;20,3,INDEX([1]Data!$R$34:$T$38,MATCH(C22,Max_Width__Inch,1),1)))</f>
        <v>3</v>
      </c>
      <c r="V22" s="35">
        <f t="shared" si="9"/>
        <v>100</v>
      </c>
      <c r="X22" s="868" t="s">
        <v>740</v>
      </c>
      <c r="Y22" s="871">
        <f>SUM(Q9:Q48)</f>
        <v>131.24677949890557</v>
      </c>
    </row>
    <row r="23" spans="1:27" ht="15.75" thickBot="1">
      <c r="A23" s="856" t="s">
        <v>725</v>
      </c>
      <c r="B23" s="1" t="s">
        <v>726</v>
      </c>
      <c r="C23" s="1">
        <v>12</v>
      </c>
      <c r="D23" s="1">
        <v>8</v>
      </c>
      <c r="E23" s="41">
        <v>0.30480000000000002</v>
      </c>
      <c r="F23" s="35">
        <f t="shared" si="1"/>
        <v>0.30480000000000002</v>
      </c>
      <c r="G23" s="35">
        <f t="shared" si="10"/>
        <v>26</v>
      </c>
      <c r="H23" s="857">
        <f>IF(C23="","",IF($C$6="Galvanized Steel",VLOOKUP(G23,[1]Data!$A$5:$K$30,11,FALSE),IF($C$6="Stainless Steel",VLOOKUP(G23,[1]Data!$M$5:$W$28,9,FALSE),IF($C$6="Aluminum",VLOOKUP(G23,[1]Data!$A$40:$L$73,9,FALSE)))))</f>
        <v>0.55120000000000002</v>
      </c>
      <c r="I23" s="857">
        <f>IF(C23="","",IF($C$6="Galvanized Steel",VLOOKUP(G23,[1]Data!$A$5:$K$30,8,FALSE),IF($C$6="Stainless Steel",VLOOKUP(G23,[1]Data!$M$5:$W$28,7,FALSE),IF($C$6="Aluminum",VLOOKUP(G23,[1]Data!$A$40:$L$73,7,FALSE)))))</f>
        <v>4.42</v>
      </c>
      <c r="J23" s="35">
        <f t="shared" si="2"/>
        <v>1.347216</v>
      </c>
      <c r="K23" s="35">
        <f t="shared" si="3"/>
        <v>1.5492983999999999</v>
      </c>
      <c r="L23" s="35">
        <f t="shared" si="4"/>
        <v>0.36576000000000009</v>
      </c>
      <c r="M23" s="35">
        <f t="shared" si="0"/>
        <v>0.36941760000000007</v>
      </c>
      <c r="N23" s="35">
        <f t="shared" si="5"/>
        <v>0.36722304000000006</v>
      </c>
      <c r="O23" s="35">
        <f t="shared" si="6"/>
        <v>2.2033382400000001E-4</v>
      </c>
      <c r="P23" s="35">
        <f t="shared" si="7"/>
        <v>0.59490132480000002</v>
      </c>
      <c r="Q23" s="78">
        <f t="shared" si="8"/>
        <v>0.60085033804800003</v>
      </c>
      <c r="R23" s="35" t="str">
        <f t="shared" si="11"/>
        <v>One Guide Vanes</v>
      </c>
      <c r="S23" s="1">
        <f>IF(C23="","",IF(C23&lt;20,8,INDEX([1]Data!$R$34:$T$38,MATCH(C23,Max_Width__Inch,1),3)))</f>
        <v>8</v>
      </c>
      <c r="T23" s="35" t="str">
        <f>IF(C23="","",IF(C23&lt;20,"25x25x2",INDEX([1]Data!$R$34:$T$38,MATCH(C23,Max_Width__Inch,1),2)))</f>
        <v>25x25x2</v>
      </c>
      <c r="U23" s="35">
        <f>IF(C23="","",IF(C23&lt;20,3,INDEX([1]Data!$R$34:$T$38,MATCH(C23,Max_Width__Inch,1),1)))</f>
        <v>3</v>
      </c>
      <c r="V23" s="35">
        <f t="shared" si="9"/>
        <v>100</v>
      </c>
      <c r="X23" s="868" t="s">
        <v>741</v>
      </c>
      <c r="Y23" s="871">
        <f>3.2808399*SUM(E9:E282)</f>
        <v>348.60000052987215</v>
      </c>
    </row>
    <row r="24" spans="1:27">
      <c r="A24" s="856" t="s">
        <v>725</v>
      </c>
      <c r="B24" s="1" t="s">
        <v>726</v>
      </c>
      <c r="C24" s="1">
        <v>12</v>
      </c>
      <c r="D24" s="1">
        <v>8</v>
      </c>
      <c r="E24" s="41">
        <v>0.30480000000000002</v>
      </c>
      <c r="F24" s="35">
        <f t="shared" si="1"/>
        <v>0.30480000000000002</v>
      </c>
      <c r="G24" s="35">
        <f t="shared" si="10"/>
        <v>26</v>
      </c>
      <c r="H24" s="857">
        <f>IF(C24="","",IF($C$6="Galvanized Steel",VLOOKUP(G24,[1]Data!$A$5:$K$30,11,FALSE),IF($C$6="Stainless Steel",VLOOKUP(G24,[1]Data!$M$5:$W$28,9,FALSE),IF($C$6="Aluminum",VLOOKUP(G24,[1]Data!$A$40:$L$73,9,FALSE)))))</f>
        <v>0.55120000000000002</v>
      </c>
      <c r="I24" s="857">
        <f>IF(C24="","",IF($C$6="Galvanized Steel",VLOOKUP(G24,[1]Data!$A$5:$K$30,8,FALSE),IF($C$6="Stainless Steel",VLOOKUP(G24,[1]Data!$M$5:$W$28,7,FALSE),IF($C$6="Aluminum",VLOOKUP(G24,[1]Data!$A$40:$L$73,7,FALSE)))))</f>
        <v>4.42</v>
      </c>
      <c r="J24" s="35">
        <f t="shared" si="2"/>
        <v>1.347216</v>
      </c>
      <c r="K24" s="35">
        <f t="shared" si="3"/>
        <v>1.5492983999999999</v>
      </c>
      <c r="L24" s="35">
        <f t="shared" si="4"/>
        <v>0.36576000000000009</v>
      </c>
      <c r="M24" s="35">
        <f t="shared" si="0"/>
        <v>0.36941760000000007</v>
      </c>
      <c r="N24" s="35">
        <f t="shared" si="5"/>
        <v>0.36722304000000006</v>
      </c>
      <c r="O24" s="35">
        <f t="shared" si="6"/>
        <v>2.2033382400000001E-4</v>
      </c>
      <c r="P24" s="35">
        <f t="shared" si="7"/>
        <v>0.59490132480000002</v>
      </c>
      <c r="Q24" s="78">
        <f t="shared" si="8"/>
        <v>0.60085033804800003</v>
      </c>
      <c r="R24" s="35" t="str">
        <f t="shared" si="11"/>
        <v>One Guide Vanes</v>
      </c>
      <c r="S24" s="1">
        <f>IF(C24="","",IF(C24&lt;20,8,INDEX([1]Data!$R$34:$T$38,MATCH(C24,Max_Width__Inch,1),3)))</f>
        <v>8</v>
      </c>
      <c r="T24" s="35" t="str">
        <f>IF(C24="","",IF(C24&lt;20,"25x25x2",INDEX([1]Data!$R$34:$T$38,MATCH(C24,Max_Width__Inch,1),2)))</f>
        <v>25x25x2</v>
      </c>
      <c r="U24" s="35">
        <f>IF(C24="","",IF(C24&lt;20,3,INDEX([1]Data!$R$34:$T$38,MATCH(C24,Max_Width__Inch,1),1)))</f>
        <v>3</v>
      </c>
      <c r="V24" s="35">
        <f t="shared" si="9"/>
        <v>100</v>
      </c>
    </row>
    <row r="25" spans="1:27" ht="15.75" thickBot="1">
      <c r="A25" s="856" t="s">
        <v>725</v>
      </c>
      <c r="B25" s="1" t="s">
        <v>726</v>
      </c>
      <c r="C25" s="1">
        <v>12</v>
      </c>
      <c r="D25" s="1">
        <v>8</v>
      </c>
      <c r="E25" s="41">
        <v>0.30480000000000002</v>
      </c>
      <c r="F25" s="35">
        <f t="shared" si="1"/>
        <v>0.30480000000000002</v>
      </c>
      <c r="G25" s="35">
        <f t="shared" si="10"/>
        <v>26</v>
      </c>
      <c r="H25" s="857">
        <f>IF(C25="","",IF($C$6="Galvanized Steel",VLOOKUP(G25,[1]Data!$A$5:$K$30,11,FALSE),IF($C$6="Stainless Steel",VLOOKUP(G25,[1]Data!$M$5:$W$28,9,FALSE),IF($C$6="Aluminum",VLOOKUP(G25,[1]Data!$A$40:$L$73,9,FALSE)))))</f>
        <v>0.55120000000000002</v>
      </c>
      <c r="I25" s="857">
        <f>IF(C25="","",IF($C$6="Galvanized Steel",VLOOKUP(G25,[1]Data!$A$5:$K$30,8,FALSE),IF($C$6="Stainless Steel",VLOOKUP(G25,[1]Data!$M$5:$W$28,7,FALSE),IF($C$6="Aluminum",VLOOKUP(G25,[1]Data!$A$40:$L$73,7,FALSE)))))</f>
        <v>4.42</v>
      </c>
      <c r="J25" s="35">
        <f t="shared" si="2"/>
        <v>1.347216</v>
      </c>
      <c r="K25" s="35">
        <f t="shared" si="3"/>
        <v>1.5492983999999999</v>
      </c>
      <c r="L25" s="35">
        <f t="shared" si="4"/>
        <v>0.36576000000000009</v>
      </c>
      <c r="M25" s="35">
        <f t="shared" si="0"/>
        <v>0.36941760000000007</v>
      </c>
      <c r="N25" s="35">
        <f t="shared" si="5"/>
        <v>0.36722304000000006</v>
      </c>
      <c r="O25" s="35">
        <f t="shared" si="6"/>
        <v>2.2033382400000001E-4</v>
      </c>
      <c r="P25" s="35">
        <f t="shared" si="7"/>
        <v>0.59490132480000002</v>
      </c>
      <c r="Q25" s="78">
        <f t="shared" si="8"/>
        <v>0.60085033804800003</v>
      </c>
      <c r="R25" s="35" t="str">
        <f t="shared" si="11"/>
        <v>One Guide Vanes</v>
      </c>
      <c r="S25" s="1">
        <f>IF(C25="","",IF(C25&lt;20,8,INDEX([1]Data!$R$34:$T$38,MATCH(C25,Max_Width__Inch,1),3)))</f>
        <v>8</v>
      </c>
      <c r="T25" s="35" t="str">
        <f>IF(C25="","",IF(C25&lt;20,"25x25x2",INDEX([1]Data!$R$34:$T$38,MATCH(C25,Max_Width__Inch,1),2)))</f>
        <v>25x25x2</v>
      </c>
      <c r="U25" s="35">
        <f>IF(C25="","",IF(C25&lt;20,3,INDEX([1]Data!$R$34:$T$38,MATCH(C25,Max_Width__Inch,1),1)))</f>
        <v>3</v>
      </c>
      <c r="V25" s="35">
        <f t="shared" si="9"/>
        <v>100</v>
      </c>
    </row>
    <row r="26" spans="1:27">
      <c r="A26" s="856" t="s">
        <v>725</v>
      </c>
      <c r="B26" s="1" t="s">
        <v>726</v>
      </c>
      <c r="C26" s="1">
        <v>12</v>
      </c>
      <c r="D26" s="1">
        <v>8</v>
      </c>
      <c r="E26" s="41">
        <v>0.30480000000000002</v>
      </c>
      <c r="F26" s="35">
        <f t="shared" si="1"/>
        <v>0.30480000000000002</v>
      </c>
      <c r="G26" s="35">
        <f t="shared" si="10"/>
        <v>26</v>
      </c>
      <c r="H26" s="857">
        <f>IF(C26="","",IF($C$6="Galvanized Steel",VLOOKUP(G26,[1]Data!$A$5:$K$30,11,FALSE),IF($C$6="Stainless Steel",VLOOKUP(G26,[1]Data!$M$5:$W$28,9,FALSE),IF($C$6="Aluminum",VLOOKUP(G26,[1]Data!$A$40:$L$73,9,FALSE)))))</f>
        <v>0.55120000000000002</v>
      </c>
      <c r="I26" s="857">
        <f>IF(C26="","",IF($C$6="Galvanized Steel",VLOOKUP(G26,[1]Data!$A$5:$K$30,8,FALSE),IF($C$6="Stainless Steel",VLOOKUP(G26,[1]Data!$M$5:$W$28,7,FALSE),IF($C$6="Aluminum",VLOOKUP(G26,[1]Data!$A$40:$L$73,7,FALSE)))))</f>
        <v>4.42</v>
      </c>
      <c r="J26" s="35">
        <f t="shared" si="2"/>
        <v>1.347216</v>
      </c>
      <c r="K26" s="35">
        <f t="shared" si="3"/>
        <v>1.5492983999999999</v>
      </c>
      <c r="L26" s="35">
        <f t="shared" si="4"/>
        <v>0.36576000000000009</v>
      </c>
      <c r="M26" s="35">
        <f t="shared" si="0"/>
        <v>0.36941760000000007</v>
      </c>
      <c r="N26" s="35">
        <f t="shared" si="5"/>
        <v>0.36722304000000006</v>
      </c>
      <c r="O26" s="35">
        <f t="shared" si="6"/>
        <v>2.2033382400000001E-4</v>
      </c>
      <c r="P26" s="35">
        <f t="shared" si="7"/>
        <v>0.59490132480000002</v>
      </c>
      <c r="Q26" s="78">
        <f t="shared" si="8"/>
        <v>0.60085033804800003</v>
      </c>
      <c r="R26" s="35" t="str">
        <f t="shared" si="11"/>
        <v>One Guide Vanes</v>
      </c>
      <c r="S26" s="1">
        <f>IF(C26="","",IF(C26&lt;20,8,INDEX([1]Data!$R$34:$T$38,MATCH(C26,Max_Width__Inch,1),3)))</f>
        <v>8</v>
      </c>
      <c r="T26" s="35" t="str">
        <f>IF(C26="","",IF(C26&lt;20,"25x25x2",INDEX([1]Data!$R$34:$T$38,MATCH(C26,Max_Width__Inch,1),2)))</f>
        <v>25x25x2</v>
      </c>
      <c r="U26" s="35">
        <f>IF(C26="","",IF(C26&lt;20,3,INDEX([1]Data!$R$34:$T$38,MATCH(C26,Max_Width__Inch,1),1)))</f>
        <v>3</v>
      </c>
      <c r="V26" s="35">
        <f t="shared" si="9"/>
        <v>100</v>
      </c>
      <c r="X26" s="858" t="s">
        <v>742</v>
      </c>
      <c r="Y26" s="859" t="s">
        <v>743</v>
      </c>
      <c r="Z26" s="858" t="s">
        <v>744</v>
      </c>
      <c r="AA26" s="859" t="s">
        <v>745</v>
      </c>
    </row>
    <row r="27" spans="1:27" ht="15.75" thickBot="1">
      <c r="A27" s="856" t="s">
        <v>725</v>
      </c>
      <c r="B27" s="1" t="s">
        <v>746</v>
      </c>
      <c r="C27" s="1">
        <v>12</v>
      </c>
      <c r="D27" s="1">
        <v>8</v>
      </c>
      <c r="E27" s="41">
        <v>0.30480000000000002</v>
      </c>
      <c r="F27" s="35">
        <f t="shared" si="1"/>
        <v>0.30480000000000002</v>
      </c>
      <c r="G27" s="35">
        <f t="shared" si="10"/>
        <v>26</v>
      </c>
      <c r="H27" s="857">
        <f>IF(C27="","",IF($C$6="Galvanized Steel",VLOOKUP(G27,[1]Data!$A$5:$K$30,11,FALSE),IF($C$6="Stainless Steel",VLOOKUP(G27,[1]Data!$M$5:$W$28,9,FALSE),IF($C$6="Aluminum",VLOOKUP(G27,[1]Data!$A$40:$L$73,9,FALSE)))))</f>
        <v>0.55120000000000002</v>
      </c>
      <c r="I27" s="857">
        <f>IF(C27="","",IF($C$6="Galvanized Steel",VLOOKUP(G27,[1]Data!$A$5:$K$30,8,FALSE),IF($C$6="Stainless Steel",VLOOKUP(G27,[1]Data!$M$5:$W$28,7,FALSE),IF($C$6="Aluminum",VLOOKUP(G27,[1]Data!$A$40:$L$73,7,FALSE)))))</f>
        <v>4.42</v>
      </c>
      <c r="J27" s="35">
        <f t="shared" si="2"/>
        <v>1.347216</v>
      </c>
      <c r="K27" s="35">
        <f t="shared" si="3"/>
        <v>1.5492983999999999</v>
      </c>
      <c r="L27" s="35">
        <f t="shared" si="4"/>
        <v>0.36576000000000009</v>
      </c>
      <c r="M27" s="35">
        <f t="shared" si="0"/>
        <v>0.36941760000000007</v>
      </c>
      <c r="N27" s="35">
        <f t="shared" si="5"/>
        <v>0.36722304000000006</v>
      </c>
      <c r="O27" s="35">
        <f t="shared" si="6"/>
        <v>2.2033382400000001E-4</v>
      </c>
      <c r="P27" s="35">
        <f t="shared" si="7"/>
        <v>0.59490132480000002</v>
      </c>
      <c r="Q27" s="78">
        <f t="shared" si="8"/>
        <v>0.60085033804800003</v>
      </c>
      <c r="R27" s="35" t="str">
        <f t="shared" si="11"/>
        <v>One Guide Vanes</v>
      </c>
      <c r="S27" s="1">
        <f>IF(C27="","",IF(C27&lt;20,8,INDEX([1]Data!$R$34:$T$38,MATCH(C27,Max_Width__Inch,1),3)))</f>
        <v>8</v>
      </c>
      <c r="T27" s="35" t="str">
        <f>IF(C27="","",IF(C27&lt;20,"25x25x2",INDEX([1]Data!$R$34:$T$38,MATCH(C27,Max_Width__Inch,1),2)))</f>
        <v>25x25x2</v>
      </c>
      <c r="U27" s="35">
        <f>IF(C27="","",IF(C27&lt;20,3,INDEX([1]Data!$R$34:$T$38,MATCH(C27,Max_Width__Inch,1),1)))</f>
        <v>3</v>
      </c>
      <c r="V27" s="35">
        <f t="shared" si="9"/>
        <v>100</v>
      </c>
      <c r="X27" s="872">
        <v>4</v>
      </c>
      <c r="Y27" s="872">
        <v>1.3</v>
      </c>
      <c r="Z27" s="872">
        <v>20</v>
      </c>
      <c r="AA27" s="872">
        <v>2</v>
      </c>
    </row>
    <row r="28" spans="1:27" ht="15.75" thickBot="1">
      <c r="A28" s="856" t="s">
        <v>725</v>
      </c>
      <c r="B28" s="1" t="s">
        <v>746</v>
      </c>
      <c r="C28" s="1">
        <v>12</v>
      </c>
      <c r="D28" s="1">
        <v>8</v>
      </c>
      <c r="E28" s="41">
        <v>0.30480000000000002</v>
      </c>
      <c r="F28" s="35">
        <f t="shared" si="1"/>
        <v>0.30480000000000002</v>
      </c>
      <c r="G28" s="35">
        <f t="shared" si="10"/>
        <v>26</v>
      </c>
      <c r="H28" s="857">
        <f>IF(C28="","",IF($C$6="Galvanized Steel",VLOOKUP(G28,[1]Data!$A$5:$K$30,11,FALSE),IF($C$6="Stainless Steel",VLOOKUP(G28,[1]Data!$M$5:$W$28,9,FALSE),IF($C$6="Aluminum",VLOOKUP(G28,[1]Data!$A$40:$L$73,9,FALSE)))))</f>
        <v>0.55120000000000002</v>
      </c>
      <c r="I28" s="857">
        <f>IF(C28="","",IF($C$6="Galvanized Steel",VLOOKUP(G28,[1]Data!$A$5:$K$30,8,FALSE),IF($C$6="Stainless Steel",VLOOKUP(G28,[1]Data!$M$5:$W$28,7,FALSE),IF($C$6="Aluminum",VLOOKUP(G28,[1]Data!$A$40:$L$73,7,FALSE)))))</f>
        <v>4.42</v>
      </c>
      <c r="J28" s="35">
        <f t="shared" si="2"/>
        <v>1.347216</v>
      </c>
      <c r="K28" s="35">
        <f t="shared" si="3"/>
        <v>1.5492983999999999</v>
      </c>
      <c r="L28" s="35">
        <f t="shared" si="4"/>
        <v>0.36576000000000009</v>
      </c>
      <c r="M28" s="35">
        <f t="shared" si="0"/>
        <v>0.36941760000000007</v>
      </c>
      <c r="N28" s="35">
        <f t="shared" si="5"/>
        <v>0.36722304000000006</v>
      </c>
      <c r="O28" s="35">
        <f t="shared" si="6"/>
        <v>2.2033382400000001E-4</v>
      </c>
      <c r="P28" s="35">
        <f t="shared" si="7"/>
        <v>0.59490132480000002</v>
      </c>
      <c r="Q28" s="78">
        <f t="shared" si="8"/>
        <v>0.60085033804800003</v>
      </c>
      <c r="R28" s="35" t="str">
        <f t="shared" si="11"/>
        <v>One Guide Vanes</v>
      </c>
      <c r="S28" s="1">
        <f>IF(C28="","",IF(C28&lt;20,8,INDEX([1]Data!$R$34:$T$38,MATCH(C28,Max_Width__Inch,1),3)))</f>
        <v>8</v>
      </c>
      <c r="T28" s="35" t="str">
        <f>IF(C28="","",IF(C28&lt;20,"25x25x2",INDEX([1]Data!$R$34:$T$38,MATCH(C28,Max_Width__Inch,1),2)))</f>
        <v>25x25x2</v>
      </c>
      <c r="U28" s="35">
        <f>IF(C28="","",IF(C28&lt;20,3,INDEX([1]Data!$R$34:$T$38,MATCH(C28,Max_Width__Inch,1),1)))</f>
        <v>3</v>
      </c>
      <c r="V28" s="35">
        <f t="shared" si="9"/>
        <v>100</v>
      </c>
      <c r="X28" s="873" t="s">
        <v>747</v>
      </c>
      <c r="Y28" s="1">
        <f>X27*AA13</f>
        <v>9298.3347103263532</v>
      </c>
      <c r="Z28" s="874" t="s">
        <v>748</v>
      </c>
      <c r="AA28" s="1">
        <f>Y27*AA15</f>
        <v>2600.4120038371784</v>
      </c>
    </row>
    <row r="29" spans="1:27">
      <c r="A29" s="856" t="s">
        <v>725</v>
      </c>
      <c r="B29" s="1" t="s">
        <v>746</v>
      </c>
      <c r="C29" s="1">
        <v>30</v>
      </c>
      <c r="D29" s="1">
        <v>14</v>
      </c>
      <c r="E29" s="41">
        <v>0.30480000000000002</v>
      </c>
      <c r="F29" s="35">
        <f t="shared" si="1"/>
        <v>0.67056000000000004</v>
      </c>
      <c r="G29" s="35">
        <f t="shared" si="10"/>
        <v>24</v>
      </c>
      <c r="H29" s="857">
        <f>IF(C29="","",IF($C$6="Galvanized Steel",VLOOKUP(G29,[1]Data!$A$5:$K$30,11,FALSE),IF($C$6="Stainless Steel",VLOOKUP(G29,[1]Data!$M$5:$W$28,9,FALSE),IF($C$6="Aluminum",VLOOKUP(G29,[1]Data!$A$40:$L$73,9,FALSE)))))</f>
        <v>0.70099999999999996</v>
      </c>
      <c r="I29" s="857">
        <f>IF(C29="","",IF($C$6="Galvanized Steel",VLOOKUP(G29,[1]Data!$A$5:$K$30,8,FALSE),IF($C$6="Stainless Steel",VLOOKUP(G29,[1]Data!$M$5:$W$28,7,FALSE),IF($C$6="Aluminum",VLOOKUP(G29,[1]Data!$A$40:$L$73,7,FALSE)))))</f>
        <v>5.64</v>
      </c>
      <c r="J29" s="35">
        <f t="shared" si="2"/>
        <v>3.7819584000000002</v>
      </c>
      <c r="K29" s="35">
        <f t="shared" si="3"/>
        <v>4.3492521599999998</v>
      </c>
      <c r="L29" s="35">
        <f t="shared" si="4"/>
        <v>0.73152000000000017</v>
      </c>
      <c r="M29" s="35">
        <f t="shared" si="0"/>
        <v>0.73883520000000014</v>
      </c>
      <c r="N29" s="35">
        <f t="shared" si="5"/>
        <v>0.73298304000000003</v>
      </c>
      <c r="O29" s="35">
        <f t="shared" si="6"/>
        <v>4.3978982399999996E-4</v>
      </c>
      <c r="P29" s="35">
        <f t="shared" si="7"/>
        <v>1.1874325247999999</v>
      </c>
      <c r="Q29" s="78">
        <f t="shared" si="8"/>
        <v>1.199306850048</v>
      </c>
      <c r="R29" s="35" t="str">
        <f t="shared" si="11"/>
        <v>Three Guide Vanes</v>
      </c>
      <c r="S29" s="1">
        <f>IF(C29="","",IF(C29&lt;20,8,INDEX([1]Data!$R$34:$T$38,MATCH(C29,Max_Width__Inch,1),3)))</f>
        <v>8</v>
      </c>
      <c r="T29" s="35" t="str">
        <f>IF(C29="","",IF(C29&lt;20,"25x25x2",INDEX([1]Data!$R$34:$T$38,MATCH(C29,Max_Width__Inch,1),2)))</f>
        <v xml:space="preserve">25x25x2 </v>
      </c>
      <c r="U29" s="35">
        <f>IF(C29="","",IF(C29&lt;20,3,INDEX([1]Data!$R$34:$T$38,MATCH(C29,Max_Width__Inch,1),1)))</f>
        <v>3</v>
      </c>
      <c r="V29" s="35">
        <f t="shared" si="9"/>
        <v>188</v>
      </c>
      <c r="X29" s="873" t="s">
        <v>749</v>
      </c>
      <c r="Y29" s="1">
        <f>Y23*Z27</f>
        <v>6972.0000105974432</v>
      </c>
      <c r="Z29" s="874" t="s">
        <v>750</v>
      </c>
      <c r="AA29" s="1">
        <f>AA27*AA15</f>
        <v>4000.6338520571971</v>
      </c>
    </row>
    <row r="30" spans="1:27" ht="15.75" thickBot="1">
      <c r="A30" s="856" t="s">
        <v>725</v>
      </c>
      <c r="B30" s="1" t="s">
        <v>746</v>
      </c>
      <c r="C30" s="1">
        <v>30</v>
      </c>
      <c r="D30" s="1">
        <v>14</v>
      </c>
      <c r="E30" s="41">
        <v>3.048</v>
      </c>
      <c r="F30" s="35">
        <f t="shared" si="1"/>
        <v>6.7056000000000004</v>
      </c>
      <c r="G30" s="35">
        <f t="shared" si="10"/>
        <v>24</v>
      </c>
      <c r="H30" s="857">
        <f>IF(C30="","",IF($C$6="Galvanized Steel",VLOOKUP(G30,[1]Data!$A$5:$K$30,11,FALSE),IF($C$6="Stainless Steel",VLOOKUP(G30,[1]Data!$M$5:$W$28,9,FALSE),IF($C$6="Aluminum",VLOOKUP(G30,[1]Data!$A$40:$L$73,9,FALSE)))))</f>
        <v>0.70099999999999996</v>
      </c>
      <c r="I30" s="857">
        <f>IF(C30="","",IF($C$6="Galvanized Steel",VLOOKUP(G30,[1]Data!$A$5:$K$30,8,FALSE),IF($C$6="Stainless Steel",VLOOKUP(G30,[1]Data!$M$5:$W$28,7,FALSE),IF($C$6="Aluminum",VLOOKUP(G30,[1]Data!$A$40:$L$73,7,FALSE)))))</f>
        <v>5.64</v>
      </c>
      <c r="J30" s="35">
        <f t="shared" si="2"/>
        <v>37.819583999999999</v>
      </c>
      <c r="K30" s="35">
        <f t="shared" si="3"/>
        <v>43.492521599999996</v>
      </c>
      <c r="L30" s="35">
        <f t="shared" si="4"/>
        <v>7.3152000000000008</v>
      </c>
      <c r="M30" s="35">
        <f t="shared" si="0"/>
        <v>7.3883520000000011</v>
      </c>
      <c r="N30" s="35">
        <f t="shared" si="5"/>
        <v>7.3298303999999996</v>
      </c>
      <c r="O30" s="35">
        <f t="shared" si="6"/>
        <v>4.3978982399999998E-3</v>
      </c>
      <c r="P30" s="35">
        <f t="shared" si="7"/>
        <v>11.874325248</v>
      </c>
      <c r="Q30" s="78">
        <f t="shared" si="8"/>
        <v>11.99306850048</v>
      </c>
      <c r="R30" s="35" t="str">
        <f t="shared" si="11"/>
        <v>Three Guide Vanes</v>
      </c>
      <c r="S30" s="1">
        <f>IF(C30="","",IF(C30&lt;20,8,INDEX([1]Data!$R$34:$T$38,MATCH(C30,Max_Width__Inch,1),3)))</f>
        <v>8</v>
      </c>
      <c r="T30" s="35" t="str">
        <f>IF(C30="","",IF(C30&lt;20,"25x25x2",INDEX([1]Data!$R$34:$T$38,MATCH(C30,Max_Width__Inch,1),2)))</f>
        <v xml:space="preserve">25x25x2 </v>
      </c>
      <c r="U30" s="35">
        <f>IF(C30="","",IF(C30&lt;20,3,INDEX([1]Data!$R$34:$T$38,MATCH(C30,Max_Width__Inch,1),1)))</f>
        <v>3</v>
      </c>
      <c r="V30" s="35">
        <f t="shared" si="9"/>
        <v>188</v>
      </c>
    </row>
    <row r="31" spans="1:27">
      <c r="A31" s="856" t="s">
        <v>725</v>
      </c>
      <c r="B31" s="1" t="s">
        <v>746</v>
      </c>
      <c r="C31" s="1">
        <v>20</v>
      </c>
      <c r="D31" s="1">
        <v>14</v>
      </c>
      <c r="E31" s="41">
        <v>5.2730400000000008</v>
      </c>
      <c r="F31" s="35">
        <f t="shared" si="1"/>
        <v>8.9641680000000026</v>
      </c>
      <c r="G31" s="35">
        <f t="shared" si="10"/>
        <v>24</v>
      </c>
      <c r="H31" s="857">
        <f>IF(C31="","",IF($C$6="Galvanized Steel",VLOOKUP(G31,[1]Data!$A$5:$K$30,11,FALSE),IF($C$6="Stainless Steel",VLOOKUP(G31,[1]Data!$M$5:$W$28,9,FALSE),IF($C$6="Aluminum",VLOOKUP(G31,[1]Data!$A$40:$L$73,9,FALSE)))))</f>
        <v>0.70099999999999996</v>
      </c>
      <c r="I31" s="857">
        <f>IF(C31="","",IF($C$6="Galvanized Steel",VLOOKUP(G31,[1]Data!$A$5:$K$30,8,FALSE),IF($C$6="Stainless Steel",VLOOKUP(G31,[1]Data!$M$5:$W$28,7,FALSE),IF($C$6="Aluminum",VLOOKUP(G31,[1]Data!$A$40:$L$73,7,FALSE)))))</f>
        <v>5.64</v>
      </c>
      <c r="J31" s="35">
        <f t="shared" si="2"/>
        <v>50.557907520000015</v>
      </c>
      <c r="K31" s="35">
        <f t="shared" si="3"/>
        <v>58.141593648000011</v>
      </c>
      <c r="L31" s="35">
        <f t="shared" si="4"/>
        <v>10.018776000000003</v>
      </c>
      <c r="M31" s="35">
        <f t="shared" si="0"/>
        <v>10.118963760000003</v>
      </c>
      <c r="N31" s="35">
        <f t="shared" si="5"/>
        <v>10.044086592000001</v>
      </c>
      <c r="O31" s="35">
        <f t="shared" si="6"/>
        <v>6.0264519552000002E-3</v>
      </c>
      <c r="P31" s="35">
        <f t="shared" si="7"/>
        <v>16.271420279040001</v>
      </c>
      <c r="Q31" s="78">
        <f t="shared" si="8"/>
        <v>16.434134481830402</v>
      </c>
      <c r="R31" s="35" t="str">
        <f t="shared" si="11"/>
        <v>Two Guide Vanes</v>
      </c>
      <c r="S31" s="1">
        <f>IF(C31="","",IF(C31&lt;20,8,INDEX([1]Data!$R$34:$T$38,MATCH(C31,Max_Width__Inch,1),3)))</f>
        <v>8</v>
      </c>
      <c r="T31" s="35" t="str">
        <f>IF(C31="","",IF(C31&lt;20,"25x25x2",INDEX([1]Data!$R$34:$T$38,MATCH(C31,Max_Width__Inch,1),2)))</f>
        <v xml:space="preserve">25x25x2 </v>
      </c>
      <c r="U31" s="35">
        <f>IF(C31="","",IF(C31&lt;20,3,INDEX([1]Data!$R$34:$T$38,MATCH(C31,Max_Width__Inch,1),1)))</f>
        <v>3</v>
      </c>
      <c r="V31" s="35">
        <f t="shared" si="9"/>
        <v>125</v>
      </c>
      <c r="X31" s="875" t="s">
        <v>751</v>
      </c>
      <c r="Y31" s="1">
        <f>Y28+AA28</f>
        <v>11898.746714163532</v>
      </c>
      <c r="Z31" s="873" t="s">
        <v>752</v>
      </c>
      <c r="AA31" s="1">
        <f>Y29+AA29</f>
        <v>10972.63386265464</v>
      </c>
    </row>
    <row r="32" spans="1:27">
      <c r="A32" s="856" t="s">
        <v>725</v>
      </c>
      <c r="B32" s="1" t="s">
        <v>746</v>
      </c>
      <c r="C32" s="1">
        <v>24</v>
      </c>
      <c r="D32" s="1">
        <v>20</v>
      </c>
      <c r="E32" s="41">
        <v>4.4196</v>
      </c>
      <c r="F32" s="35">
        <f t="shared" si="1"/>
        <v>9.7231199999999998</v>
      </c>
      <c r="G32" s="35">
        <f t="shared" si="10"/>
        <v>24</v>
      </c>
      <c r="H32" s="857">
        <f>IF(C32="","",IF($C$6="Galvanized Steel",VLOOKUP(G32,[1]Data!$A$5:$K$30,11,FALSE),IF($C$6="Stainless Steel",VLOOKUP(G32,[1]Data!$M$5:$W$28,9,FALSE),IF($C$6="Aluminum",VLOOKUP(G32,[1]Data!$A$40:$L$73,9,FALSE)))))</f>
        <v>0.70099999999999996</v>
      </c>
      <c r="I32" s="857">
        <f>IF(C32="","",IF($C$6="Galvanized Steel",VLOOKUP(G32,[1]Data!$A$5:$K$30,8,FALSE),IF($C$6="Stainless Steel",VLOOKUP(G32,[1]Data!$M$5:$W$28,7,FALSE),IF($C$6="Aluminum",VLOOKUP(G32,[1]Data!$A$40:$L$73,7,FALSE)))))</f>
        <v>5.64</v>
      </c>
      <c r="J32" s="35">
        <f t="shared" si="2"/>
        <v>54.838396799999998</v>
      </c>
      <c r="K32" s="35">
        <f t="shared" si="3"/>
        <v>63.064156319999995</v>
      </c>
      <c r="L32" s="35">
        <f t="shared" si="4"/>
        <v>10.607040000000001</v>
      </c>
      <c r="M32" s="35">
        <f t="shared" si="0"/>
        <v>10.713110400000001</v>
      </c>
      <c r="N32" s="35">
        <f t="shared" si="5"/>
        <v>10.62825408</v>
      </c>
      <c r="O32" s="35">
        <f t="shared" si="6"/>
        <v>6.376952447999999E-3</v>
      </c>
      <c r="P32" s="35">
        <f t="shared" si="7"/>
        <v>17.217771609599996</v>
      </c>
      <c r="Q32" s="78">
        <f t="shared" si="8"/>
        <v>17.389949325695998</v>
      </c>
      <c r="R32" s="35" t="str">
        <f t="shared" si="11"/>
        <v>Two Guide Vanes</v>
      </c>
      <c r="S32" s="1">
        <f>IF(C32="","",IF(C32&lt;20,8,INDEX([1]Data!$R$34:$T$38,MATCH(C32,Max_Width__Inch,1),3)))</f>
        <v>8</v>
      </c>
      <c r="T32" s="35" t="str">
        <f>IF(C32="","",IF(C32&lt;20,"25x25x2",INDEX([1]Data!$R$34:$T$38,MATCH(C32,Max_Width__Inch,1),2)))</f>
        <v xml:space="preserve">25x25x2 </v>
      </c>
      <c r="U32" s="35">
        <f>IF(C32="","",IF(C32&lt;20,3,INDEX([1]Data!$R$34:$T$38,MATCH(C32,Max_Width__Inch,1),1)))</f>
        <v>3</v>
      </c>
      <c r="V32" s="35">
        <f t="shared" si="9"/>
        <v>150</v>
      </c>
      <c r="W32" s="895"/>
      <c r="X32" s="895"/>
    </row>
    <row r="33" spans="1:25">
      <c r="A33" s="856" t="s">
        <v>725</v>
      </c>
      <c r="B33" s="1" t="s">
        <v>746</v>
      </c>
      <c r="C33" s="1">
        <v>24</v>
      </c>
      <c r="D33" s="1">
        <v>20</v>
      </c>
      <c r="E33" s="41">
        <v>3.048</v>
      </c>
      <c r="F33" s="35">
        <f t="shared" si="1"/>
        <v>6.7056000000000004</v>
      </c>
      <c r="G33" s="35">
        <f t="shared" si="10"/>
        <v>24</v>
      </c>
      <c r="H33" s="857">
        <f>IF(C33="","",IF($C$6="Galvanized Steel",VLOOKUP(G33,[1]Data!$A$5:$K$30,11,FALSE),IF($C$6="Stainless Steel",VLOOKUP(G33,[1]Data!$M$5:$W$28,9,FALSE),IF($C$6="Aluminum",VLOOKUP(G33,[1]Data!$A$40:$L$73,9,FALSE)))))</f>
        <v>0.70099999999999996</v>
      </c>
      <c r="I33" s="857">
        <f>IF(C33="","",IF($C$6="Galvanized Steel",VLOOKUP(G33,[1]Data!$A$5:$K$30,8,FALSE),IF($C$6="Stainless Steel",VLOOKUP(G33,[1]Data!$M$5:$W$28,7,FALSE),IF($C$6="Aluminum",VLOOKUP(G33,[1]Data!$A$40:$L$73,7,FALSE)))))</f>
        <v>5.64</v>
      </c>
      <c r="J33" s="35">
        <f t="shared" si="2"/>
        <v>37.819583999999999</v>
      </c>
      <c r="K33" s="35">
        <f t="shared" si="3"/>
        <v>43.492521599999996</v>
      </c>
      <c r="L33" s="35">
        <f t="shared" si="4"/>
        <v>7.3152000000000008</v>
      </c>
      <c r="M33" s="35">
        <f t="shared" si="0"/>
        <v>7.3883520000000011</v>
      </c>
      <c r="N33" s="35">
        <f t="shared" si="5"/>
        <v>7.3298303999999996</v>
      </c>
      <c r="O33" s="35">
        <f t="shared" si="6"/>
        <v>4.3978982399999998E-3</v>
      </c>
      <c r="P33" s="35">
        <f t="shared" si="7"/>
        <v>11.874325248</v>
      </c>
      <c r="Q33" s="78">
        <f t="shared" si="8"/>
        <v>11.99306850048</v>
      </c>
      <c r="R33" s="35" t="str">
        <f t="shared" si="11"/>
        <v>Two Guide Vanes</v>
      </c>
      <c r="S33" s="1">
        <f>IF(C33="","",IF(C33&lt;20,8,INDEX([1]Data!$R$34:$T$38,MATCH(C33,Max_Width__Inch,1),3)))</f>
        <v>8</v>
      </c>
      <c r="T33" s="35" t="str">
        <f>IF(C33="","",IF(C33&lt;20,"25x25x2",INDEX([1]Data!$R$34:$T$38,MATCH(C33,Max_Width__Inch,1),2)))</f>
        <v xml:space="preserve">25x25x2 </v>
      </c>
      <c r="U33" s="35">
        <f>IF(C33="","",IF(C33&lt;20,3,INDEX([1]Data!$R$34:$T$38,MATCH(C33,Max_Width__Inch,1),1)))</f>
        <v>3</v>
      </c>
      <c r="V33" s="35">
        <f t="shared" si="9"/>
        <v>150</v>
      </c>
      <c r="X33" s="876" t="s">
        <v>235</v>
      </c>
      <c r="Y33" s="1">
        <f>Y31+AA31</f>
        <v>22871.38057681817</v>
      </c>
    </row>
    <row r="34" spans="1:25">
      <c r="A34" s="856" t="s">
        <v>725</v>
      </c>
      <c r="B34" s="1" t="s">
        <v>746</v>
      </c>
      <c r="C34" s="1">
        <v>16</v>
      </c>
      <c r="D34" s="1">
        <v>20</v>
      </c>
      <c r="E34" s="41">
        <v>1.8288000000000002</v>
      </c>
      <c r="F34" s="35">
        <f t="shared" si="1"/>
        <v>3.2918400000000005</v>
      </c>
      <c r="G34" s="35">
        <f t="shared" si="10"/>
        <v>24</v>
      </c>
      <c r="H34" s="857">
        <f>IF(C34="","",IF($C$6="Galvanized Steel",VLOOKUP(G34,[1]Data!$A$5:$K$30,11,FALSE),IF($C$6="Stainless Steel",VLOOKUP(G34,[1]Data!$M$5:$W$28,9,FALSE),IF($C$6="Aluminum",VLOOKUP(G34,[1]Data!$A$40:$L$73,9,FALSE)))))</f>
        <v>0.70099999999999996</v>
      </c>
      <c r="I34" s="857">
        <f>IF(C34="","",IF($C$6="Galvanized Steel",VLOOKUP(G34,[1]Data!$A$5:$K$30,8,FALSE),IF($C$6="Stainless Steel",VLOOKUP(G34,[1]Data!$M$5:$W$28,7,FALSE),IF($C$6="Aluminum",VLOOKUP(G34,[1]Data!$A$40:$L$73,7,FALSE)))))</f>
        <v>5.64</v>
      </c>
      <c r="J34" s="35">
        <f t="shared" si="2"/>
        <v>18.565977600000004</v>
      </c>
      <c r="K34" s="35">
        <f t="shared" si="3"/>
        <v>21.350874240000003</v>
      </c>
      <c r="L34" s="35">
        <f t="shared" si="4"/>
        <v>3.6576000000000004</v>
      </c>
      <c r="M34" s="35">
        <f t="shared" si="0"/>
        <v>3.6941760000000006</v>
      </c>
      <c r="N34" s="35">
        <f t="shared" si="5"/>
        <v>3.6663782400000002</v>
      </c>
      <c r="O34" s="35">
        <f t="shared" si="6"/>
        <v>2.1998269439999999E-3</v>
      </c>
      <c r="P34" s="35">
        <f t="shared" si="7"/>
        <v>5.9395327487999996</v>
      </c>
      <c r="Q34" s="78">
        <f t="shared" si="8"/>
        <v>5.9989280762879993</v>
      </c>
      <c r="R34" s="35" t="str">
        <f t="shared" si="11"/>
        <v>One Guide Vanes</v>
      </c>
      <c r="S34" s="1">
        <f>IF(C34="","",IF(C34&lt;20,8,INDEX([1]Data!$R$34:$T$38,MATCH(C34,Max_Width__Inch,1),3)))</f>
        <v>8</v>
      </c>
      <c r="T34" s="35" t="str">
        <f>IF(C34="","",IF(C34&lt;20,"25x25x2",INDEX([1]Data!$R$34:$T$38,MATCH(C34,Max_Width__Inch,1),2)))</f>
        <v>25x25x2</v>
      </c>
      <c r="U34" s="35">
        <f>IF(C34="","",IF(C34&lt;20,3,INDEX([1]Data!$R$34:$T$38,MATCH(C34,Max_Width__Inch,1),1)))</f>
        <v>3</v>
      </c>
      <c r="V34" s="35">
        <f t="shared" si="9"/>
        <v>100</v>
      </c>
    </row>
    <row r="35" spans="1:25">
      <c r="A35" s="856" t="s">
        <v>725</v>
      </c>
      <c r="B35" s="1" t="s">
        <v>746</v>
      </c>
      <c r="C35" s="1">
        <v>12</v>
      </c>
      <c r="D35" s="1">
        <v>10</v>
      </c>
      <c r="E35" s="41">
        <v>3.9624000000000001</v>
      </c>
      <c r="F35" s="35">
        <f t="shared" si="1"/>
        <v>4.3586400000000003</v>
      </c>
      <c r="G35" s="35">
        <f t="shared" si="10"/>
        <v>26</v>
      </c>
      <c r="H35" s="857">
        <f>IF(C35="","",IF($C$6="Galvanized Steel",VLOOKUP(G35,[1]Data!$A$5:$K$30,11,FALSE),IF($C$6="Stainless Steel",VLOOKUP(G35,[1]Data!$M$5:$W$28,9,FALSE),IF($C$6="Aluminum",VLOOKUP(G35,[1]Data!$A$40:$L$73,9,FALSE)))))</f>
        <v>0.55120000000000002</v>
      </c>
      <c r="I35" s="857">
        <f>IF(C35="","",IF($C$6="Galvanized Steel",VLOOKUP(G35,[1]Data!$A$5:$K$30,8,FALSE),IF($C$6="Stainless Steel",VLOOKUP(G35,[1]Data!$M$5:$W$28,7,FALSE),IF($C$6="Aluminum",VLOOKUP(G35,[1]Data!$A$40:$L$73,7,FALSE)))))</f>
        <v>4.42</v>
      </c>
      <c r="J35" s="35">
        <f t="shared" si="2"/>
        <v>19.265188800000001</v>
      </c>
      <c r="K35" s="35">
        <f t="shared" si="3"/>
        <v>22.154967119999998</v>
      </c>
      <c r="L35" s="35">
        <f t="shared" si="4"/>
        <v>5.1511200000000006</v>
      </c>
      <c r="M35" s="35">
        <f t="shared" si="0"/>
        <v>5.2026312000000008</v>
      </c>
      <c r="N35" s="35">
        <f t="shared" si="5"/>
        <v>5.1701395200000011</v>
      </c>
      <c r="O35" s="35">
        <f t="shared" si="6"/>
        <v>3.1020837120000005E-3</v>
      </c>
      <c r="P35" s="35">
        <f t="shared" si="7"/>
        <v>8.3756260224000005</v>
      </c>
      <c r="Q35" s="78">
        <f t="shared" si="8"/>
        <v>8.4593822826240004</v>
      </c>
      <c r="R35" s="35" t="str">
        <f t="shared" si="11"/>
        <v>One Guide Vanes</v>
      </c>
      <c r="S35" s="1">
        <f>IF(C35="","",IF(C35&lt;20,8,INDEX([1]Data!$R$34:$T$38,MATCH(C35,Max_Width__Inch,1),3)))</f>
        <v>8</v>
      </c>
      <c r="T35" s="35" t="str">
        <f>IF(C35="","",IF(C35&lt;20,"25x25x2",INDEX([1]Data!$R$34:$T$38,MATCH(C35,Max_Width__Inch,1),2)))</f>
        <v>25x25x2</v>
      </c>
      <c r="U35" s="35">
        <f>IF(C35="","",IF(C35&lt;20,3,INDEX([1]Data!$R$34:$T$38,MATCH(C35,Max_Width__Inch,1),1)))</f>
        <v>3</v>
      </c>
      <c r="V35" s="35">
        <f t="shared" si="9"/>
        <v>100</v>
      </c>
    </row>
    <row r="36" spans="1:25">
      <c r="A36" s="856" t="s">
        <v>725</v>
      </c>
      <c r="B36" s="1" t="s">
        <v>746</v>
      </c>
      <c r="C36" s="1">
        <v>12</v>
      </c>
      <c r="D36" s="1">
        <v>10</v>
      </c>
      <c r="E36" s="41">
        <v>1.3716000000000002</v>
      </c>
      <c r="F36" s="35">
        <f t="shared" si="1"/>
        <v>1.5087600000000003</v>
      </c>
      <c r="G36" s="35">
        <f t="shared" si="10"/>
        <v>26</v>
      </c>
      <c r="H36" s="857">
        <f>IF(C36="","",IF($C$6="Galvanized Steel",VLOOKUP(G36,[1]Data!$A$5:$K$30,11,FALSE),IF($C$6="Stainless Steel",VLOOKUP(G36,[1]Data!$M$5:$W$28,9,FALSE),IF($C$6="Aluminum",VLOOKUP(G36,[1]Data!$A$40:$L$73,9,FALSE)))))</f>
        <v>0.55120000000000002</v>
      </c>
      <c r="I36" s="857">
        <f>IF(C36="","",IF($C$6="Galvanized Steel",VLOOKUP(G36,[1]Data!$A$5:$K$30,8,FALSE),IF($C$6="Stainless Steel",VLOOKUP(G36,[1]Data!$M$5:$W$28,7,FALSE),IF($C$6="Aluminum",VLOOKUP(G36,[1]Data!$A$40:$L$73,7,FALSE)))))</f>
        <v>4.42</v>
      </c>
      <c r="J36" s="35">
        <f t="shared" si="2"/>
        <v>6.6687192000000017</v>
      </c>
      <c r="K36" s="35">
        <f t="shared" si="3"/>
        <v>7.6690270800000011</v>
      </c>
      <c r="L36" s="35">
        <f t="shared" si="4"/>
        <v>1.7830800000000002</v>
      </c>
      <c r="M36" s="35">
        <f t="shared" si="0"/>
        <v>1.8009108000000003</v>
      </c>
      <c r="N36" s="35">
        <f t="shared" si="5"/>
        <v>1.7896636800000005</v>
      </c>
      <c r="O36" s="35">
        <f t="shared" si="6"/>
        <v>1.0737982080000002E-3</v>
      </c>
      <c r="P36" s="35">
        <f t="shared" si="7"/>
        <v>2.8992551616000006</v>
      </c>
      <c r="Q36" s="78">
        <f t="shared" si="8"/>
        <v>2.9282477132160007</v>
      </c>
      <c r="R36" s="35" t="str">
        <f t="shared" si="11"/>
        <v>One Guide Vanes</v>
      </c>
      <c r="S36" s="1">
        <f>IF(C36="","",IF(C36&lt;20,8,INDEX([1]Data!$R$34:$T$38,MATCH(C36,Max_Width__Inch,1),3)))</f>
        <v>8</v>
      </c>
      <c r="T36" s="35" t="str">
        <f>IF(C36="","",IF(C36&lt;20,"25x25x2",INDEX([1]Data!$R$34:$T$38,MATCH(C36,Max_Width__Inch,1),2)))</f>
        <v>25x25x2</v>
      </c>
      <c r="U36" s="35">
        <f>IF(C36="","",IF(C36&lt;20,3,INDEX([1]Data!$R$34:$T$38,MATCH(C36,Max_Width__Inch,1),1)))</f>
        <v>3</v>
      </c>
      <c r="V36" s="35">
        <f t="shared" si="9"/>
        <v>100</v>
      </c>
    </row>
    <row r="37" spans="1:25">
      <c r="A37" s="856" t="s">
        <v>725</v>
      </c>
      <c r="B37" s="1" t="s">
        <v>753</v>
      </c>
      <c r="C37" s="1">
        <v>12</v>
      </c>
      <c r="D37" s="1">
        <v>10</v>
      </c>
      <c r="E37" s="41">
        <v>0.30480000000000002</v>
      </c>
      <c r="F37" s="35">
        <f t="shared" si="1"/>
        <v>0.33528000000000002</v>
      </c>
      <c r="G37" s="35">
        <f t="shared" si="10"/>
        <v>26</v>
      </c>
      <c r="H37" s="857">
        <v>1.25</v>
      </c>
      <c r="I37" s="857">
        <v>10.52</v>
      </c>
      <c r="J37" s="35">
        <f t="shared" si="2"/>
        <v>3.5271455999999999</v>
      </c>
      <c r="K37" s="35">
        <f t="shared" si="3"/>
        <v>4.0562174399999993</v>
      </c>
      <c r="L37" s="35">
        <f t="shared" si="4"/>
        <v>0.39624000000000004</v>
      </c>
      <c r="M37" s="35">
        <f t="shared" si="0"/>
        <v>0.40020240000000001</v>
      </c>
      <c r="N37" s="35">
        <f t="shared" si="5"/>
        <v>0.39770304000000006</v>
      </c>
      <c r="O37" s="35">
        <f t="shared" si="6"/>
        <v>2.3862182400000002E-4</v>
      </c>
      <c r="P37" s="35">
        <f t="shared" si="7"/>
        <v>0.64427892480000004</v>
      </c>
      <c r="Q37" s="78">
        <f t="shared" si="8"/>
        <v>0.65072171404800006</v>
      </c>
      <c r="R37" s="35" t="str">
        <f t="shared" si="11"/>
        <v>One Guide Vanes</v>
      </c>
      <c r="S37" s="1">
        <f>IF(C37="","",IF(C37&lt;20,8,INDEX([1]Data!$R$34:$T$38,MATCH(C37,Max_Width__Inch,1),3)))</f>
        <v>8</v>
      </c>
      <c r="T37" s="35" t="str">
        <f>IF(C37="","",IF(C37&lt;20,"25x25x2",INDEX([1]Data!$R$34:$T$38,MATCH(C37,Max_Width__Inch,1),2)))</f>
        <v>25x25x2</v>
      </c>
      <c r="U37" s="35">
        <f>IF(C37="","",IF(C37&lt;20,3,INDEX([1]Data!$R$34:$T$38,MATCH(C37,Max_Width__Inch,1),1)))</f>
        <v>3</v>
      </c>
      <c r="V37" s="35">
        <f t="shared" si="9"/>
        <v>100</v>
      </c>
    </row>
    <row r="38" spans="1:25">
      <c r="A38" s="856" t="s">
        <v>725</v>
      </c>
      <c r="B38" s="1" t="s">
        <v>753</v>
      </c>
      <c r="C38" s="1">
        <v>12</v>
      </c>
      <c r="D38" s="1">
        <v>10</v>
      </c>
      <c r="E38" s="41">
        <v>0.30480000000000002</v>
      </c>
      <c r="F38" s="35">
        <f t="shared" si="1"/>
        <v>0.33528000000000002</v>
      </c>
      <c r="G38" s="35">
        <f t="shared" si="10"/>
        <v>26</v>
      </c>
      <c r="H38" s="857">
        <v>1.25</v>
      </c>
      <c r="I38" s="857">
        <v>10.52</v>
      </c>
      <c r="J38" s="35">
        <f t="shared" si="2"/>
        <v>3.5271455999999999</v>
      </c>
      <c r="K38" s="35">
        <f t="shared" si="3"/>
        <v>4.0562174399999993</v>
      </c>
      <c r="L38" s="35">
        <f t="shared" si="4"/>
        <v>0.39624000000000004</v>
      </c>
      <c r="M38" s="35">
        <f t="shared" si="0"/>
        <v>0.40020240000000001</v>
      </c>
      <c r="N38" s="35">
        <f t="shared" si="5"/>
        <v>0.39770304000000006</v>
      </c>
      <c r="O38" s="35">
        <f t="shared" si="6"/>
        <v>2.3862182400000002E-4</v>
      </c>
      <c r="P38" s="35">
        <f t="shared" si="7"/>
        <v>0.64427892480000004</v>
      </c>
      <c r="Q38" s="78">
        <f t="shared" si="8"/>
        <v>0.65072171404800006</v>
      </c>
      <c r="R38" s="35" t="str">
        <f t="shared" si="11"/>
        <v>One Guide Vanes</v>
      </c>
      <c r="S38" s="1">
        <f>IF(C38="","",IF(C38&lt;20,8,INDEX([1]Data!$R$34:$T$38,MATCH(C38,Max_Width__Inch,1),3)))</f>
        <v>8</v>
      </c>
      <c r="T38" s="35" t="str">
        <f>IF(C38="","",IF(C38&lt;20,"25x25x2",INDEX([1]Data!$R$34:$T$38,MATCH(C38,Max_Width__Inch,1),2)))</f>
        <v>25x25x2</v>
      </c>
      <c r="U38" s="35">
        <f>IF(C38="","",IF(C38&lt;20,3,INDEX([1]Data!$R$34:$T$38,MATCH(C38,Max_Width__Inch,1),1)))</f>
        <v>3</v>
      </c>
      <c r="V38" s="35">
        <f t="shared" si="9"/>
        <v>100</v>
      </c>
    </row>
    <row r="39" spans="1:25">
      <c r="A39" s="856" t="s">
        <v>725</v>
      </c>
      <c r="B39" s="1" t="s">
        <v>754</v>
      </c>
      <c r="C39" s="1">
        <v>12</v>
      </c>
      <c r="D39" s="1">
        <v>10</v>
      </c>
      <c r="E39" s="41">
        <v>0.30480000000000002</v>
      </c>
      <c r="F39" s="35">
        <f t="shared" si="1"/>
        <v>0.33528000000000002</v>
      </c>
      <c r="G39" s="35">
        <f t="shared" si="10"/>
        <v>26</v>
      </c>
      <c r="H39" s="857">
        <f>IF(C39="","",IF($C$6="Galvanized Steel",VLOOKUP(G39,[1]Data!$A$5:$K$30,11,FALSE),IF($C$6="Stainless Steel",VLOOKUP(G39,[1]Data!$M$5:$W$28,9,FALSE),IF($C$6="Aluminum",VLOOKUP(G39,[1]Data!$A$40:$L$73,9,FALSE)))))</f>
        <v>0.55120000000000002</v>
      </c>
      <c r="I39" s="857">
        <f>IF(C39="","",IF($C$6="Galvanized Steel",VLOOKUP(G39,[1]Data!$A$5:$K$30,8,FALSE),IF($C$6="Stainless Steel",VLOOKUP(G39,[1]Data!$M$5:$W$28,7,FALSE),IF($C$6="Aluminum",VLOOKUP(G39,[1]Data!$A$40:$L$73,7,FALSE)))))</f>
        <v>4.42</v>
      </c>
      <c r="J39" s="35">
        <f t="shared" si="2"/>
        <v>1.4819376</v>
      </c>
      <c r="K39" s="35">
        <f t="shared" si="3"/>
        <v>1.7042282399999997</v>
      </c>
      <c r="L39" s="35">
        <f t="shared" si="4"/>
        <v>0.39624000000000004</v>
      </c>
      <c r="M39" s="35">
        <f t="shared" si="0"/>
        <v>0.40020240000000001</v>
      </c>
      <c r="N39" s="35">
        <f t="shared" si="5"/>
        <v>0.39770304000000006</v>
      </c>
      <c r="O39" s="35">
        <f t="shared" si="6"/>
        <v>2.3862182400000002E-4</v>
      </c>
      <c r="P39" s="35">
        <f t="shared" si="7"/>
        <v>0.64427892480000004</v>
      </c>
      <c r="Q39" s="78">
        <f t="shared" si="8"/>
        <v>0.65072171404800006</v>
      </c>
      <c r="R39" s="35" t="str">
        <f t="shared" si="11"/>
        <v>One Guide Vanes</v>
      </c>
      <c r="S39" s="1">
        <f>IF(C39="","",IF(C39&lt;20,8,INDEX([1]Data!$R$34:$T$38,MATCH(C39,Max_Width__Inch,1),3)))</f>
        <v>8</v>
      </c>
      <c r="T39" s="35" t="str">
        <f>IF(C39="","",IF(C39&lt;20,"25x25x2",INDEX([1]Data!$R$34:$T$38,MATCH(C39,Max_Width__Inch,1),2)))</f>
        <v>25x25x2</v>
      </c>
      <c r="U39" s="35">
        <f>IF(C39="","",IF(C39&lt;20,3,INDEX([1]Data!$R$34:$T$38,MATCH(C39,Max_Width__Inch,1),1)))</f>
        <v>3</v>
      </c>
      <c r="V39" s="35">
        <f t="shared" si="9"/>
        <v>100</v>
      </c>
    </row>
    <row r="40" spans="1:25">
      <c r="A40" s="856" t="s">
        <v>725</v>
      </c>
      <c r="B40" s="1" t="s">
        <v>754</v>
      </c>
      <c r="C40" s="1">
        <v>10</v>
      </c>
      <c r="D40" s="1">
        <v>10</v>
      </c>
      <c r="E40" s="41">
        <v>0.30480000000000002</v>
      </c>
      <c r="F40" s="35">
        <f t="shared" si="1"/>
        <v>0.30480000000000002</v>
      </c>
      <c r="G40" s="35">
        <f t="shared" si="10"/>
        <v>26</v>
      </c>
      <c r="H40" s="857">
        <f>IF(C40="","",IF($C$6="Galvanized Steel",VLOOKUP(G40,[1]Data!$A$5:$K$30,11,FALSE),IF($C$6="Stainless Steel",VLOOKUP(G40,[1]Data!$M$5:$W$28,9,FALSE),IF($C$6="Aluminum",VLOOKUP(G40,[1]Data!$A$40:$L$73,9,FALSE)))))</f>
        <v>0.55120000000000002</v>
      </c>
      <c r="I40" s="857">
        <f>IF(C40="","",IF($C$6="Galvanized Steel",VLOOKUP(G40,[1]Data!$A$5:$K$30,8,FALSE),IF($C$6="Stainless Steel",VLOOKUP(G40,[1]Data!$M$5:$W$28,7,FALSE),IF($C$6="Aluminum",VLOOKUP(G40,[1]Data!$A$40:$L$73,7,FALSE)))))</f>
        <v>4.42</v>
      </c>
      <c r="J40" s="35">
        <f t="shared" si="2"/>
        <v>1.347216</v>
      </c>
      <c r="K40" s="35">
        <f t="shared" si="3"/>
        <v>1.5492983999999999</v>
      </c>
      <c r="L40" s="35">
        <f t="shared" si="4"/>
        <v>0.36576000000000009</v>
      </c>
      <c r="M40" s="35">
        <f t="shared" si="0"/>
        <v>0.36941760000000007</v>
      </c>
      <c r="N40" s="35">
        <f t="shared" si="5"/>
        <v>0.36722304000000006</v>
      </c>
      <c r="O40" s="35">
        <f t="shared" si="6"/>
        <v>2.2033382400000001E-4</v>
      </c>
      <c r="P40" s="35">
        <f t="shared" si="7"/>
        <v>0.59490132480000002</v>
      </c>
      <c r="Q40" s="78">
        <f t="shared" si="8"/>
        <v>0.60085033804800003</v>
      </c>
      <c r="R40" s="35" t="str">
        <f t="shared" si="11"/>
        <v>No Guide Vanes</v>
      </c>
      <c r="S40" s="1">
        <f>IF(C40="","",IF(C40&lt;20,8,INDEX([1]Data!$R$34:$T$38,MATCH(C40,Max_Width__Inch,1),3)))</f>
        <v>8</v>
      </c>
      <c r="T40" s="35" t="str">
        <f>IF(C40="","",IF(C40&lt;20,"25x25x2",INDEX([1]Data!$R$34:$T$38,MATCH(C40,Max_Width__Inch,1),2)))</f>
        <v>25x25x2</v>
      </c>
      <c r="U40" s="35">
        <f>IF(C40="","",IF(C40&lt;20,3,INDEX([1]Data!$R$34:$T$38,MATCH(C40,Max_Width__Inch,1),1)))</f>
        <v>3</v>
      </c>
      <c r="V40" s="35">
        <f t="shared" si="9"/>
        <v>100</v>
      </c>
    </row>
    <row r="41" spans="1:25">
      <c r="A41" s="856" t="s">
        <v>755</v>
      </c>
      <c r="B41" s="1" t="s">
        <v>753</v>
      </c>
      <c r="C41" s="1">
        <v>8</v>
      </c>
      <c r="D41" s="1">
        <v>8</v>
      </c>
      <c r="E41" s="41">
        <v>6.2484000000000002</v>
      </c>
      <c r="F41" s="35">
        <f t="shared" si="1"/>
        <v>4.9987200000000005</v>
      </c>
      <c r="G41" s="35">
        <f t="shared" si="10"/>
        <v>26</v>
      </c>
      <c r="H41" s="857">
        <f>IF(C41="","",IF($C$6="Galvanized Steel",VLOOKUP(G41,[1]Data!$A$5:$K$30,11,FALSE),IF($C$6="Stainless Steel",VLOOKUP(G41,[1]Data!$M$5:$W$28,9,FALSE),IF($C$6="Aluminum",VLOOKUP(G41,[1]Data!$A$40:$L$73,9,FALSE)))))</f>
        <v>0.55120000000000002</v>
      </c>
      <c r="I41" s="857">
        <f>IF(C41="","",IF($C$6="Galvanized Steel",VLOOKUP(G41,[1]Data!$A$5:$K$30,8,FALSE),IF($C$6="Stainless Steel",VLOOKUP(G41,[1]Data!$M$5:$W$28,7,FALSE),IF($C$6="Aluminum",VLOOKUP(G41,[1]Data!$A$40:$L$73,7,FALSE)))))</f>
        <v>4.42</v>
      </c>
      <c r="J41" s="35">
        <f t="shared" si="2"/>
        <v>22.094342400000002</v>
      </c>
      <c r="K41" s="35">
        <f t="shared" si="3"/>
        <v>25.408493759999999</v>
      </c>
      <c r="L41" s="35">
        <f t="shared" si="4"/>
        <v>6.2484000000000002</v>
      </c>
      <c r="M41" s="35">
        <f t="shared" si="0"/>
        <v>6.3108840000000006</v>
      </c>
      <c r="N41" s="35">
        <f t="shared" si="5"/>
        <v>6.2783923200000009</v>
      </c>
      <c r="O41" s="35">
        <f t="shared" si="6"/>
        <v>3.7670353920000003E-3</v>
      </c>
      <c r="P41" s="35">
        <f t="shared" si="7"/>
        <v>10.170995558400001</v>
      </c>
      <c r="Q41" s="78">
        <f t="shared" si="8"/>
        <v>10.272705513984002</v>
      </c>
      <c r="R41" s="35" t="str">
        <f t="shared" si="11"/>
        <v>No Guide Vanes</v>
      </c>
      <c r="S41" s="1">
        <f>IF(C41="","",IF(C41&lt;20,8,INDEX([1]Data!$R$34:$T$38,MATCH(C41,Max_Width__Inch,1),3)))</f>
        <v>8</v>
      </c>
      <c r="T41" s="35" t="str">
        <f>IF(C41="","",IF(C41&lt;20,"25x25x2",INDEX([1]Data!$R$34:$T$38,MATCH(C41,Max_Width__Inch,1),2)))</f>
        <v>25x25x2</v>
      </c>
      <c r="U41" s="35">
        <f>IF(C41="","",IF(C41&lt;20,3,INDEX([1]Data!$R$34:$T$38,MATCH(C41,Max_Width__Inch,1),1)))</f>
        <v>3</v>
      </c>
      <c r="V41" s="35">
        <f t="shared" si="9"/>
        <v>100</v>
      </c>
    </row>
    <row r="42" spans="1:25">
      <c r="A42" s="856" t="s">
        <v>756</v>
      </c>
      <c r="B42" s="1" t="s">
        <v>753</v>
      </c>
      <c r="C42" s="1">
        <v>16</v>
      </c>
      <c r="D42" s="1">
        <v>20</v>
      </c>
      <c r="E42" s="41">
        <v>1.8288000000000002</v>
      </c>
      <c r="F42" s="35">
        <f t="shared" si="1"/>
        <v>3.2918400000000005</v>
      </c>
      <c r="G42" s="35">
        <f t="shared" si="10"/>
        <v>24</v>
      </c>
      <c r="H42" s="857">
        <f>IF(C42="","",IF($C$6="Galvanized Steel",VLOOKUP(G42,[1]Data!$A$5:$K$30,11,FALSE),IF($C$6="Stainless Steel",VLOOKUP(G42,[1]Data!$M$5:$W$28,9,FALSE),IF($C$6="Aluminum",VLOOKUP(G42,[1]Data!$A$40:$L$73,9,FALSE)))))</f>
        <v>0.70099999999999996</v>
      </c>
      <c r="I42" s="857">
        <f>IF(C42="","",IF($C$6="Galvanized Steel",VLOOKUP(G42,[1]Data!$A$5:$K$30,8,FALSE),IF($C$6="Stainless Steel",VLOOKUP(G42,[1]Data!$M$5:$W$28,7,FALSE),IF($C$6="Aluminum",VLOOKUP(G42,[1]Data!$A$40:$L$73,7,FALSE)))))</f>
        <v>5.64</v>
      </c>
      <c r="J42" s="35">
        <f t="shared" si="2"/>
        <v>18.565977600000004</v>
      </c>
      <c r="K42" s="35">
        <f t="shared" si="3"/>
        <v>21.350874240000003</v>
      </c>
      <c r="L42" s="35">
        <f t="shared" si="4"/>
        <v>3.6576000000000004</v>
      </c>
      <c r="M42" s="35">
        <f t="shared" si="0"/>
        <v>3.6941760000000006</v>
      </c>
      <c r="N42" s="35">
        <f t="shared" si="5"/>
        <v>3.6663782400000002</v>
      </c>
      <c r="O42" s="35">
        <f t="shared" si="6"/>
        <v>2.1998269439999999E-3</v>
      </c>
      <c r="P42" s="35">
        <f t="shared" si="7"/>
        <v>5.9395327487999996</v>
      </c>
      <c r="Q42" s="78">
        <f t="shared" si="8"/>
        <v>5.9989280762879993</v>
      </c>
      <c r="R42" s="35" t="str">
        <f t="shared" si="11"/>
        <v>One Guide Vanes</v>
      </c>
      <c r="S42" s="1">
        <f>IF(C42="","",IF(C42&lt;20,8,INDEX([1]Data!$R$34:$T$38,MATCH(C42,Max_Width__Inch,1),3)))</f>
        <v>8</v>
      </c>
      <c r="T42" s="35" t="str">
        <f>IF(C42="","",IF(C42&lt;20,"25x25x2",INDEX([1]Data!$R$34:$T$38,MATCH(C42,Max_Width__Inch,1),2)))</f>
        <v>25x25x2</v>
      </c>
      <c r="U42" s="35">
        <f>IF(C42="","",IF(C42&lt;20,3,INDEX([1]Data!$R$34:$T$38,MATCH(C42,Max_Width__Inch,1),1)))</f>
        <v>3</v>
      </c>
      <c r="V42" s="35">
        <f t="shared" si="9"/>
        <v>100</v>
      </c>
    </row>
    <row r="43" spans="1:25">
      <c r="A43" s="856" t="s">
        <v>757</v>
      </c>
      <c r="B43" s="1" t="s">
        <v>753</v>
      </c>
      <c r="C43" s="1">
        <v>12</v>
      </c>
      <c r="D43" s="1">
        <v>10</v>
      </c>
      <c r="E43" s="41">
        <v>6.5532000000000004</v>
      </c>
      <c r="F43" s="35">
        <f t="shared" si="1"/>
        <v>7.2085200000000018</v>
      </c>
      <c r="G43" s="35">
        <f t="shared" si="10"/>
        <v>26</v>
      </c>
      <c r="H43" s="857">
        <f>IF(C43="","",IF($C$6="Galvanized Steel",VLOOKUP(G43,[1]Data!$A$5:$K$30,11,FALSE),IF($C$6="Stainless Steel",VLOOKUP(G43,[1]Data!$M$5:$W$28,9,FALSE),IF($C$6="Aluminum",VLOOKUP(G43,[1]Data!$A$40:$L$73,9,FALSE)))))</f>
        <v>0.55120000000000002</v>
      </c>
      <c r="I43" s="857">
        <f>IF(C43="","",IF($C$6="Galvanized Steel",VLOOKUP(G43,[1]Data!$A$5:$K$30,8,FALSE),IF($C$6="Stainless Steel",VLOOKUP(G43,[1]Data!$M$5:$W$28,7,FALSE),IF($C$6="Aluminum",VLOOKUP(G43,[1]Data!$A$40:$L$73,7,FALSE)))))</f>
        <v>4.42</v>
      </c>
      <c r="J43" s="35">
        <f t="shared" si="2"/>
        <v>31.861658400000007</v>
      </c>
      <c r="K43" s="35">
        <f t="shared" si="3"/>
        <v>36.640907160000005</v>
      </c>
      <c r="L43" s="35">
        <f t="shared" si="4"/>
        <v>8.5191600000000012</v>
      </c>
      <c r="M43" s="35">
        <f t="shared" si="0"/>
        <v>8.6043516000000011</v>
      </c>
      <c r="N43" s="35">
        <f t="shared" si="5"/>
        <v>8.5506153600000019</v>
      </c>
      <c r="O43" s="35">
        <f t="shared" ref="O43:O63" si="12">IF(E43="","",N43*0.0006)</f>
        <v>5.1303692160000009E-3</v>
      </c>
      <c r="P43" s="195">
        <f t="shared" si="7"/>
        <v>13.851996883200002</v>
      </c>
      <c r="Q43" s="78">
        <f t="shared" si="8"/>
        <v>13.990516852032002</v>
      </c>
      <c r="R43" s="35" t="str">
        <f t="shared" si="11"/>
        <v>One Guide Vanes</v>
      </c>
      <c r="S43" s="1">
        <f>IF(C43="","",IF(C43&lt;20,8,INDEX([1]Data!$R$34:$T$38,MATCH(C43,Max_Width__Inch,1),3)))</f>
        <v>8</v>
      </c>
      <c r="T43" s="35" t="str">
        <f>IF(C43="","",IF(C43&lt;20,"25x25x2",INDEX([1]Data!$R$34:$T$38,MATCH(C43,Max_Width__Inch,1),2)))</f>
        <v>25x25x2</v>
      </c>
      <c r="U43" s="35">
        <f>IF(C43="","",IF(C43&lt;20,3,INDEX([1]Data!$R$34:$T$38,MATCH(C43,Max_Width__Inch,1),1)))</f>
        <v>3</v>
      </c>
      <c r="V43" s="35">
        <f t="shared" si="9"/>
        <v>100</v>
      </c>
    </row>
    <row r="44" spans="1:25">
      <c r="A44" s="856" t="s">
        <v>758</v>
      </c>
      <c r="B44" s="1" t="s">
        <v>753</v>
      </c>
      <c r="C44" s="1">
        <v>12</v>
      </c>
      <c r="D44" s="1">
        <v>10</v>
      </c>
      <c r="E44" s="41">
        <v>1.3716000000000002</v>
      </c>
      <c r="F44" s="35">
        <f t="shared" si="1"/>
        <v>1.5087600000000003</v>
      </c>
      <c r="G44" s="35">
        <f t="shared" si="10"/>
        <v>26</v>
      </c>
      <c r="H44" s="857">
        <f>IF(C44="","",IF($C$6="Galvanized Steel",VLOOKUP(G44,[1]Data!$A$5:$K$30,11,FALSE),IF($C$6="Stainless Steel",VLOOKUP(G44,[1]Data!$M$5:$W$28,9,FALSE),IF($C$6="Aluminum",VLOOKUP(G44,[1]Data!$A$40:$L$73,9,FALSE)))))</f>
        <v>0.55120000000000002</v>
      </c>
      <c r="I44" s="857">
        <f>IF(C44="","",IF($C$6="Galvanized Steel",VLOOKUP(G44,[1]Data!$A$5:$K$30,8,FALSE),IF($C$6="Stainless Steel",VLOOKUP(G44,[1]Data!$M$5:$W$28,7,FALSE),IF($C$6="Aluminum",VLOOKUP(G44,[1]Data!$A$40:$L$73,7,FALSE)))))</f>
        <v>4.42</v>
      </c>
      <c r="J44" s="35">
        <f t="shared" si="2"/>
        <v>6.6687192000000017</v>
      </c>
      <c r="K44" s="35">
        <f t="shared" si="3"/>
        <v>7.6690270800000011</v>
      </c>
      <c r="L44" s="35">
        <f t="shared" si="4"/>
        <v>1.7830800000000002</v>
      </c>
      <c r="M44" s="35">
        <f t="shared" si="0"/>
        <v>1.8009108000000003</v>
      </c>
      <c r="N44" s="35">
        <f t="shared" si="5"/>
        <v>1.7896636800000005</v>
      </c>
      <c r="O44" s="35">
        <f t="shared" si="12"/>
        <v>1.0737982080000002E-3</v>
      </c>
      <c r="P44" s="195">
        <f t="shared" si="7"/>
        <v>2.8992551616000006</v>
      </c>
      <c r="Q44" s="78">
        <f t="shared" si="8"/>
        <v>2.9282477132160007</v>
      </c>
      <c r="R44" s="35" t="str">
        <f t="shared" si="11"/>
        <v>One Guide Vanes</v>
      </c>
      <c r="S44" s="1">
        <f>IF(C44="","",IF(C44&lt;20,8,INDEX([1]Data!$R$34:$T$38,MATCH(C44,Max_Width__Inch,1),3)))</f>
        <v>8</v>
      </c>
      <c r="T44" s="35" t="str">
        <f>IF(C44="","",IF(C44&lt;20,"25x25x2",INDEX([1]Data!$R$34:$T$38,MATCH(C44,Max_Width__Inch,1),2)))</f>
        <v>25x25x2</v>
      </c>
      <c r="U44" s="35">
        <f>IF(C44="","",IF(C44&lt;20,3,INDEX([1]Data!$R$34:$T$38,MATCH(C44,Max_Width__Inch,1),1)))</f>
        <v>3</v>
      </c>
      <c r="V44" s="35">
        <f t="shared" si="9"/>
        <v>100</v>
      </c>
    </row>
    <row r="45" spans="1:25">
      <c r="A45" s="856" t="s">
        <v>759</v>
      </c>
      <c r="B45" s="1" t="s">
        <v>753</v>
      </c>
      <c r="C45" s="1">
        <v>12</v>
      </c>
      <c r="D45" s="1">
        <v>10</v>
      </c>
      <c r="E45" s="41">
        <v>0.30480000000000002</v>
      </c>
      <c r="F45" s="35">
        <f t="shared" si="1"/>
        <v>0.33528000000000002</v>
      </c>
      <c r="G45" s="35">
        <f t="shared" si="10"/>
        <v>26</v>
      </c>
      <c r="H45" s="857">
        <f>IF(C45="","",IF($C$6="Galvanized Steel",VLOOKUP(G45,[1]Data!$A$5:$K$30,11,FALSE),IF($C$6="Stainless Steel",VLOOKUP(G45,[1]Data!$M$5:$W$28,9,FALSE),IF($C$6="Aluminum",VLOOKUP(G45,[1]Data!$A$40:$L$73,9,FALSE)))))</f>
        <v>0.55120000000000002</v>
      </c>
      <c r="I45" s="857">
        <f>IF(C45="","",IF($C$6="Galvanized Steel",VLOOKUP(G45,[1]Data!$A$5:$K$30,8,FALSE),IF($C$6="Stainless Steel",VLOOKUP(G45,[1]Data!$M$5:$W$28,7,FALSE),IF($C$6="Aluminum",VLOOKUP(G45,[1]Data!$A$40:$L$73,7,FALSE)))))</f>
        <v>4.42</v>
      </c>
      <c r="J45" s="35">
        <f t="shared" si="2"/>
        <v>1.4819376</v>
      </c>
      <c r="K45" s="35">
        <f t="shared" si="3"/>
        <v>1.7042282399999997</v>
      </c>
      <c r="L45" s="35">
        <f t="shared" si="4"/>
        <v>0.39624000000000004</v>
      </c>
      <c r="M45" s="35">
        <f t="shared" si="0"/>
        <v>0.40020240000000001</v>
      </c>
      <c r="N45" s="35">
        <f t="shared" si="5"/>
        <v>0.39770304000000006</v>
      </c>
      <c r="O45" s="35">
        <f t="shared" si="12"/>
        <v>2.3862182400000002E-4</v>
      </c>
      <c r="P45" s="195">
        <f t="shared" si="7"/>
        <v>0.64427892480000004</v>
      </c>
      <c r="Q45" s="78">
        <f t="shared" si="8"/>
        <v>0.65072171404800006</v>
      </c>
      <c r="R45" s="35" t="str">
        <f t="shared" si="11"/>
        <v>One Guide Vanes</v>
      </c>
      <c r="S45" s="1">
        <f>IF(C45="","",IF(C45&lt;20,8,INDEX([1]Data!$R$34:$T$38,MATCH(C45,Max_Width__Inch,1),3)))</f>
        <v>8</v>
      </c>
      <c r="T45" s="35" t="str">
        <f>IF(C45="","",IF(C45&lt;20,"25x25x2",INDEX([1]Data!$R$34:$T$38,MATCH(C45,Max_Width__Inch,1),2)))</f>
        <v>25x25x2</v>
      </c>
      <c r="U45" s="35">
        <f>IF(C45="","",IF(C45&lt;20,3,INDEX([1]Data!$R$34:$T$38,MATCH(C45,Max_Width__Inch,1),1)))</f>
        <v>3</v>
      </c>
      <c r="V45" s="35">
        <f t="shared" si="9"/>
        <v>100</v>
      </c>
      <c r="W45" s="1"/>
    </row>
    <row r="46" spans="1:25">
      <c r="A46" s="856" t="s">
        <v>760</v>
      </c>
      <c r="B46" s="1" t="s">
        <v>753</v>
      </c>
      <c r="C46" s="1">
        <v>12</v>
      </c>
      <c r="D46" s="1">
        <v>10</v>
      </c>
      <c r="E46" s="41">
        <v>0.30480000000000002</v>
      </c>
      <c r="F46" s="35">
        <f t="shared" si="1"/>
        <v>0.33528000000000002</v>
      </c>
      <c r="G46" s="35">
        <f t="shared" si="10"/>
        <v>26</v>
      </c>
      <c r="H46" s="857">
        <f>IF(C46="","",IF($C$6="Galvanized Steel",VLOOKUP(G46,[1]Data!$A$5:$K$30,11,FALSE),IF($C$6="Stainless Steel",VLOOKUP(G46,[1]Data!$M$5:$W$28,9,FALSE),IF($C$6="Aluminum",VLOOKUP(G46,[1]Data!$A$40:$L$73,9,FALSE)))))</f>
        <v>0.55120000000000002</v>
      </c>
      <c r="I46" s="857">
        <f>IF(C46="","",IF($C$6="Galvanized Steel",VLOOKUP(G46,[1]Data!$A$5:$K$30,8,FALSE),IF($C$6="Stainless Steel",VLOOKUP(G46,[1]Data!$M$5:$W$28,7,FALSE),IF($C$6="Aluminum",VLOOKUP(G46,[1]Data!$A$40:$L$73,7,FALSE)))))</f>
        <v>4.42</v>
      </c>
      <c r="J46" s="35">
        <f t="shared" si="2"/>
        <v>1.4819376</v>
      </c>
      <c r="K46" s="35">
        <f t="shared" si="3"/>
        <v>1.7042282399999997</v>
      </c>
      <c r="L46" s="35">
        <f t="shared" si="4"/>
        <v>0.39624000000000004</v>
      </c>
      <c r="M46" s="35">
        <f t="shared" si="0"/>
        <v>0.40020240000000001</v>
      </c>
      <c r="N46" s="35">
        <f t="shared" si="5"/>
        <v>0.39770304000000006</v>
      </c>
      <c r="O46" s="35">
        <f t="shared" si="12"/>
        <v>2.3862182400000002E-4</v>
      </c>
      <c r="P46" s="195">
        <f t="shared" si="7"/>
        <v>0.64427892480000004</v>
      </c>
      <c r="Q46" s="78">
        <f t="shared" si="8"/>
        <v>0.65072171404800006</v>
      </c>
      <c r="R46" s="35" t="str">
        <f t="shared" si="11"/>
        <v>One Guide Vanes</v>
      </c>
      <c r="S46" s="1">
        <f>IF(C46="","",IF(C46&lt;20,8,INDEX([1]Data!$R$34:$T$38,MATCH(C46,Max_Width__Inch,1),3)))</f>
        <v>8</v>
      </c>
      <c r="T46" s="1" t="str">
        <f>IF(C46="","",IF(C46&lt;20,"25x25x2",INDEX([1]Data!$R$34:$T$38,MATCH(C46,Max_Width__Inch,1),2)))</f>
        <v>25x25x2</v>
      </c>
      <c r="U46" s="1">
        <f>IF(C46="","",IF(C46&lt;20,3,INDEX([1]Data!$R$34:$T$38,MATCH(C46,Max_Width__Inch,1),1)))</f>
        <v>3</v>
      </c>
      <c r="V46" s="1">
        <f t="shared" si="9"/>
        <v>100</v>
      </c>
    </row>
    <row r="47" spans="1:25">
      <c r="A47" s="856" t="s">
        <v>761</v>
      </c>
      <c r="B47" s="1" t="s">
        <v>754</v>
      </c>
      <c r="C47" s="1">
        <v>12</v>
      </c>
      <c r="D47" s="1">
        <v>10</v>
      </c>
      <c r="E47" s="41">
        <v>0.30480000000000002</v>
      </c>
      <c r="F47" s="35">
        <f t="shared" si="1"/>
        <v>0.33528000000000002</v>
      </c>
      <c r="G47" s="35">
        <f t="shared" si="10"/>
        <v>26</v>
      </c>
      <c r="H47" s="857">
        <f>IF(C47="","",IF($C$6="Galvanized Steel",VLOOKUP(G47,[1]Data!$A$5:$K$30,11,FALSE),IF($C$6="Stainless Steel",VLOOKUP(G47,[1]Data!$M$5:$W$28,9,FALSE),IF($C$6="Aluminum",VLOOKUP(G47,[1]Data!$A$40:$L$73,9,FALSE)))))</f>
        <v>0.55120000000000002</v>
      </c>
      <c r="I47" s="857">
        <f>IF(C47="","",IF($C$6="Galvanized Steel",VLOOKUP(G47,[1]Data!$A$5:$K$30,8,FALSE),IF($C$6="Stainless Steel",VLOOKUP(G47,[1]Data!$M$5:$W$28,7,FALSE),IF($C$6="Aluminum",VLOOKUP(G47,[1]Data!$A$40:$L$73,7,FALSE)))))</f>
        <v>4.42</v>
      </c>
      <c r="J47" s="35">
        <f t="shared" si="2"/>
        <v>1.4819376</v>
      </c>
      <c r="K47" s="35">
        <f t="shared" si="3"/>
        <v>1.7042282399999997</v>
      </c>
      <c r="L47" s="35">
        <f t="shared" si="4"/>
        <v>0.39624000000000004</v>
      </c>
      <c r="M47" s="35">
        <f t="shared" si="0"/>
        <v>0.40020240000000001</v>
      </c>
      <c r="N47" s="35">
        <f t="shared" si="5"/>
        <v>0.39770304000000006</v>
      </c>
      <c r="O47" s="35">
        <f t="shared" si="12"/>
        <v>2.3862182400000002E-4</v>
      </c>
      <c r="P47" s="195">
        <f t="shared" si="7"/>
        <v>0.64427892480000004</v>
      </c>
      <c r="Q47" s="78">
        <f t="shared" si="8"/>
        <v>0.65072171404800006</v>
      </c>
      <c r="R47" s="35" t="str">
        <f t="shared" si="11"/>
        <v>One Guide Vanes</v>
      </c>
      <c r="S47" s="1">
        <f>IF(C47="","",IF(C47&lt;20,8,INDEX([1]Data!$R$34:$T$38,MATCH(C47,Max_Width__Inch,1),3)))</f>
        <v>8</v>
      </c>
      <c r="T47" s="1" t="str">
        <f>IF(C47="","",IF(C47&lt;20,"25x25x2",INDEX([1]Data!$R$34:$T$38,MATCH(C47,Max_Width__Inch,1),2)))</f>
        <v>25x25x2</v>
      </c>
      <c r="U47" s="1">
        <f>IF(C47="","",IF(C47&lt;20,3,INDEX([1]Data!$R$34:$T$38,MATCH(C47,Max_Width__Inch,1),1)))</f>
        <v>3</v>
      </c>
      <c r="V47" s="1">
        <f t="shared" si="9"/>
        <v>100</v>
      </c>
    </row>
    <row r="48" spans="1:25">
      <c r="A48" s="856" t="s">
        <v>762</v>
      </c>
      <c r="B48" s="1" t="s">
        <v>753</v>
      </c>
      <c r="C48" s="1">
        <v>10</v>
      </c>
      <c r="D48" s="1">
        <v>10</v>
      </c>
      <c r="E48" s="41">
        <v>0.30480000000000002</v>
      </c>
      <c r="F48" s="877">
        <f t="shared" si="1"/>
        <v>0.30480000000000002</v>
      </c>
      <c r="G48" s="35">
        <f t="shared" si="10"/>
        <v>26</v>
      </c>
      <c r="H48" s="857">
        <f>IF(C48="","",IF($C$6="Galvanized Steel",VLOOKUP(G48,[1]Data!$A$5:$K$30,11,FALSE),IF($C$6="Stainless Steel",VLOOKUP(G48,[1]Data!$M$5:$W$28,9,FALSE),IF($C$6="Aluminum",VLOOKUP(G48,[1]Data!$A$40:$L$73,9,FALSE)))))</f>
        <v>0.55120000000000002</v>
      </c>
      <c r="I48" s="857">
        <f>IF(C48="","",IF($C$6="Galvanized Steel",VLOOKUP(G48,[1]Data!$A$5:$K$30,8,FALSE),IF($C$6="Stainless Steel",VLOOKUP(G48,[1]Data!$M$5:$W$28,7,FALSE),IF($C$6="Aluminum",VLOOKUP(G48,[1]Data!$A$40:$L$73,7,FALSE)))))</f>
        <v>4.42</v>
      </c>
      <c r="J48" s="35">
        <f t="shared" si="2"/>
        <v>1.347216</v>
      </c>
      <c r="K48" s="35">
        <f t="shared" si="3"/>
        <v>1.5492983999999999</v>
      </c>
      <c r="L48" s="35">
        <f t="shared" si="4"/>
        <v>0.36576000000000009</v>
      </c>
      <c r="M48" s="35">
        <f t="shared" si="0"/>
        <v>0.36941760000000007</v>
      </c>
      <c r="N48" s="35">
        <f t="shared" si="5"/>
        <v>0.36722304000000006</v>
      </c>
      <c r="O48" s="35">
        <f t="shared" si="12"/>
        <v>2.2033382400000001E-4</v>
      </c>
      <c r="P48" s="195">
        <f t="shared" si="7"/>
        <v>0.59490132480000002</v>
      </c>
      <c r="Q48" s="78">
        <f t="shared" si="8"/>
        <v>0.60085033804800003</v>
      </c>
      <c r="R48" s="35" t="str">
        <f t="shared" si="11"/>
        <v>No Guide Vanes</v>
      </c>
      <c r="S48" s="1">
        <f>IF(C48="","",IF(C48&lt;20,8,INDEX([1]Data!$R$34:$T$38,MATCH(C48,Max_Width__Inch,1),3)))</f>
        <v>8</v>
      </c>
      <c r="T48" s="1" t="str">
        <f>IF(C48="","",IF(C48&lt;20,"25x25x2",INDEX([1]Data!$R$34:$T$38,MATCH(C48,Max_Width__Inch,1),2)))</f>
        <v>25x25x2</v>
      </c>
      <c r="U48" s="1">
        <f>IF(C48="","",IF(C48&lt;20,3,INDEX([1]Data!$R$34:$T$38,MATCH(C48,Max_Width__Inch,1),1)))</f>
        <v>3</v>
      </c>
      <c r="V48" s="1">
        <f t="shared" si="9"/>
        <v>100</v>
      </c>
    </row>
    <row r="49" spans="1:26">
      <c r="A49" s="856" t="s">
        <v>763</v>
      </c>
      <c r="B49" s="1" t="s">
        <v>726</v>
      </c>
      <c r="C49" s="1">
        <v>8</v>
      </c>
      <c r="D49" s="1">
        <v>8</v>
      </c>
      <c r="E49" s="41">
        <v>6.2484000000000002</v>
      </c>
      <c r="F49" s="877">
        <f t="shared" si="1"/>
        <v>4.9987200000000005</v>
      </c>
      <c r="G49" s="35">
        <f t="shared" si="10"/>
        <v>26</v>
      </c>
      <c r="H49" s="857">
        <f>IF(C49="","",IF($C$6="Galvanized Steel",VLOOKUP(G49,[1]Data!$A$5:$K$30,11,FALSE),IF($C$6="Stainless Steel",VLOOKUP(G49,[1]Data!$M$5:$W$28,9,FALSE),IF($C$6="Aluminum",VLOOKUP(G49,[1]Data!$A$40:$L$73,9,FALSE)))))</f>
        <v>0.55120000000000002</v>
      </c>
      <c r="I49" s="857">
        <f>IF(C49="","",IF($C$6="Galvanized Steel",VLOOKUP(G49,[1]Data!$A$5:$K$30,8,FALSE),IF($C$6="Stainless Steel",VLOOKUP(G49,[1]Data!$M$5:$W$28,7,FALSE),IF($C$6="Aluminum",VLOOKUP(G49,[1]Data!$A$40:$L$73,7,FALSE)))))</f>
        <v>4.42</v>
      </c>
      <c r="J49" s="35">
        <f t="shared" si="2"/>
        <v>22.094342400000002</v>
      </c>
      <c r="K49" s="35">
        <f t="shared" si="3"/>
        <v>25.408493759999999</v>
      </c>
      <c r="L49" s="35">
        <f t="shared" si="4"/>
        <v>6.2484000000000002</v>
      </c>
      <c r="M49" s="35">
        <f t="shared" si="0"/>
        <v>6.3108840000000006</v>
      </c>
      <c r="N49" s="35">
        <f t="shared" si="5"/>
        <v>6.2783923200000009</v>
      </c>
      <c r="O49" s="35">
        <f t="shared" si="12"/>
        <v>3.7670353920000003E-3</v>
      </c>
      <c r="P49" s="195">
        <f t="shared" si="7"/>
        <v>10.170995558400001</v>
      </c>
      <c r="Q49" s="78">
        <f t="shared" si="8"/>
        <v>10.272705513984002</v>
      </c>
      <c r="R49" s="35" t="str">
        <f t="shared" si="11"/>
        <v>No Guide Vanes</v>
      </c>
      <c r="S49" s="1">
        <f>IF(C49="","",IF(C49&lt;20,8,INDEX([1]Data!$R$34:$T$38,MATCH(C49,Max_Width__Inch,1),3)))</f>
        <v>8</v>
      </c>
      <c r="T49" s="1" t="str">
        <f>IF(C49="","",IF(C49&lt;20,"25x25x2",INDEX([1]Data!$R$34:$T$38,MATCH(C49,Max_Width__Inch,1),2)))</f>
        <v>25x25x2</v>
      </c>
      <c r="U49" s="1">
        <f>IF(C49="","",IF(C49&lt;20,3,INDEX([1]Data!$R$34:$T$38,MATCH(C49,Max_Width__Inch,1),1)))</f>
        <v>3</v>
      </c>
      <c r="V49" s="1">
        <f t="shared" si="9"/>
        <v>100</v>
      </c>
    </row>
    <row r="50" spans="1:26">
      <c r="A50" s="856" t="s">
        <v>763</v>
      </c>
      <c r="B50" s="1" t="s">
        <v>726</v>
      </c>
      <c r="C50" s="1">
        <v>38</v>
      </c>
      <c r="D50" s="1">
        <v>18</v>
      </c>
      <c r="E50" s="41">
        <v>1.8288000000000002</v>
      </c>
      <c r="F50" s="877">
        <f t="shared" si="1"/>
        <v>5.1206400000000016</v>
      </c>
      <c r="G50" s="35">
        <f t="shared" si="10"/>
        <v>22</v>
      </c>
      <c r="H50" s="857">
        <f>IF(C50="","",IF($C$6="Galvanized Steel",VLOOKUP(G50,[1]Data!$A$5:$K$30,11,FALSE),IF($C$6="Stainless Steel",VLOOKUP(G50,[1]Data!$M$5:$W$28,9,FALSE),IF($C$6="Aluminum",VLOOKUP(G50,[1]Data!$A$40:$L$73,9,FALSE)))))</f>
        <v>0.85340000000000005</v>
      </c>
      <c r="I50" s="857">
        <f>IF(C50="","",IF($C$6="Galvanized Steel",VLOOKUP(G50,[1]Data!$A$5:$K$30,8,FALSE),IF($C$6="Stainless Steel",VLOOKUP(G50,[1]Data!$M$5:$W$28,7,FALSE),IF($C$6="Aluminum",VLOOKUP(G50,[1]Data!$A$40:$L$73,7,FALSE)))))</f>
        <v>6.86</v>
      </c>
      <c r="J50" s="35">
        <f t="shared" si="2"/>
        <v>35.12759040000001</v>
      </c>
      <c r="K50" s="35">
        <f t="shared" si="3"/>
        <v>40.396728960000011</v>
      </c>
      <c r="L50" s="35">
        <f t="shared" si="4"/>
        <v>5.4864000000000006</v>
      </c>
      <c r="M50" s="35">
        <f t="shared" si="0"/>
        <v>5.5412640000000009</v>
      </c>
      <c r="N50" s="35">
        <f t="shared" si="5"/>
        <v>5.4951782400000004</v>
      </c>
      <c r="O50" s="35">
        <f t="shared" si="12"/>
        <v>3.2971069439999999E-3</v>
      </c>
      <c r="P50" s="195">
        <f t="shared" si="7"/>
        <v>8.9021887488000004</v>
      </c>
      <c r="Q50" s="78">
        <f t="shared" si="8"/>
        <v>8.9912106362880007</v>
      </c>
      <c r="R50" s="35" t="str">
        <f t="shared" si="11"/>
        <v>Three Guide Vanes</v>
      </c>
      <c r="S50" s="1">
        <f>IF(C50="","",IF(C50&lt;20,8,INDEX([1]Data!$R$34:$T$38,MATCH(C50,Max_Width__Inch,1),3)))</f>
        <v>10</v>
      </c>
      <c r="T50" s="1" t="str">
        <f>IF(C50="","",IF(C50&lt;20,"25x25x2",INDEX([1]Data!$R$34:$T$38,MATCH(C50,Max_Width__Inch,1),2)))</f>
        <v xml:space="preserve">35x35x2.5 </v>
      </c>
      <c r="U50" s="1">
        <f>IF(C50="","",IF(C50&lt;20,3,INDEX([1]Data!$R$34:$T$38,MATCH(C50,Max_Width__Inch,1),1)))</f>
        <v>2.5</v>
      </c>
      <c r="V50" s="1">
        <f t="shared" si="9"/>
        <v>238</v>
      </c>
    </row>
    <row r="51" spans="1:26">
      <c r="A51" s="856" t="s">
        <v>763</v>
      </c>
      <c r="B51" s="1" t="s">
        <v>746</v>
      </c>
      <c r="C51" s="1">
        <v>38</v>
      </c>
      <c r="D51" s="1">
        <v>18</v>
      </c>
      <c r="E51" s="41">
        <v>3.048</v>
      </c>
      <c r="F51" s="877">
        <f t="shared" si="1"/>
        <v>8.5343999999999998</v>
      </c>
      <c r="G51" s="35">
        <f t="shared" si="10"/>
        <v>22</v>
      </c>
      <c r="H51" s="857">
        <f>IF(C51="","",IF($C$6="Galvanized Steel",VLOOKUP(G51,[1]Data!$A$5:$K$30,11,FALSE),IF($C$6="Stainless Steel",VLOOKUP(G51,[1]Data!$M$5:$W$28,9,FALSE),IF($C$6="Aluminum",VLOOKUP(G51,[1]Data!$A$40:$L$73,9,FALSE)))))</f>
        <v>0.85340000000000005</v>
      </c>
      <c r="I51" s="857">
        <f>IF(C51="","",IF($C$6="Galvanized Steel",VLOOKUP(G51,[1]Data!$A$5:$K$30,8,FALSE),IF($C$6="Stainless Steel",VLOOKUP(G51,[1]Data!$M$5:$W$28,7,FALSE),IF($C$6="Aluminum",VLOOKUP(G51,[1]Data!$A$40:$L$73,7,FALSE)))))</f>
        <v>6.86</v>
      </c>
      <c r="J51" s="35">
        <f t="shared" si="2"/>
        <v>58.545984000000004</v>
      </c>
      <c r="K51" s="35">
        <f t="shared" si="3"/>
        <v>67.327881599999998</v>
      </c>
      <c r="L51" s="35">
        <f t="shared" si="4"/>
        <v>9.1440000000000001</v>
      </c>
      <c r="M51" s="35">
        <f t="shared" si="0"/>
        <v>9.2354400000000005</v>
      </c>
      <c r="N51" s="35">
        <f t="shared" si="5"/>
        <v>9.1586303999999998</v>
      </c>
      <c r="O51" s="35">
        <f t="shared" si="12"/>
        <v>5.4951782399999998E-3</v>
      </c>
      <c r="P51" s="195">
        <f t="shared" si="7"/>
        <v>14.836981247999999</v>
      </c>
      <c r="Q51" s="78">
        <f t="shared" si="8"/>
        <v>14.985351060479999</v>
      </c>
      <c r="R51" s="35" t="str">
        <f t="shared" si="11"/>
        <v>Three Guide Vanes</v>
      </c>
      <c r="S51" s="1">
        <f>IF(C51="","",IF(C51&lt;20,8,INDEX([1]Data!$R$34:$T$38,MATCH(C51,Max_Width__Inch,1),3)))</f>
        <v>10</v>
      </c>
      <c r="T51" s="1" t="str">
        <f>IF(C51="","",IF(C51&lt;20,"25x25x2",INDEX([1]Data!$R$34:$T$38,MATCH(C51,Max_Width__Inch,1),2)))</f>
        <v xml:space="preserve">35x35x2.5 </v>
      </c>
      <c r="U51" s="1">
        <f>IF(C51="","",IF(C51&lt;20,3,INDEX([1]Data!$R$34:$T$38,MATCH(C51,Max_Width__Inch,1),1)))</f>
        <v>2.5</v>
      </c>
      <c r="V51" s="1">
        <f t="shared" si="9"/>
        <v>238</v>
      </c>
    </row>
    <row r="52" spans="1:26">
      <c r="A52" s="856" t="s">
        <v>764</v>
      </c>
      <c r="B52" s="1" t="s">
        <v>726</v>
      </c>
      <c r="C52" s="1">
        <v>10</v>
      </c>
      <c r="D52" s="1">
        <v>10</v>
      </c>
      <c r="E52" s="41">
        <v>2.1335999999999999</v>
      </c>
      <c r="F52" s="877">
        <f t="shared" si="1"/>
        <v>2.1335999999999999</v>
      </c>
      <c r="G52" s="35">
        <f t="shared" si="10"/>
        <v>26</v>
      </c>
      <c r="H52" s="857">
        <f>IF(C52="","",IF($C$6="Galvanized Steel",VLOOKUP(G52,[1]Data!$A$5:$K$30,11,FALSE),IF($C$6="Stainless Steel",VLOOKUP(G52,[1]Data!$M$5:$W$28,9,FALSE),IF($C$6="Aluminum",VLOOKUP(G52,[1]Data!$A$40:$L$73,9,FALSE)))))</f>
        <v>0.55120000000000002</v>
      </c>
      <c r="I52" s="857">
        <f>IF(C52="","",IF($C$6="Galvanized Steel",VLOOKUP(G52,[1]Data!$A$5:$K$30,8,FALSE),IF($C$6="Stainless Steel",VLOOKUP(G52,[1]Data!$M$5:$W$28,7,FALSE),IF($C$6="Aluminum",VLOOKUP(G52,[1]Data!$A$40:$L$73,7,FALSE)))))</f>
        <v>4.42</v>
      </c>
      <c r="J52" s="35">
        <f t="shared" si="2"/>
        <v>9.4305120000000002</v>
      </c>
      <c r="K52" s="35">
        <f t="shared" si="3"/>
        <v>10.845088799999999</v>
      </c>
      <c r="L52" s="35">
        <f t="shared" si="4"/>
        <v>2.5603200000000004</v>
      </c>
      <c r="M52" s="35">
        <f t="shared" si="0"/>
        <v>2.5859232000000003</v>
      </c>
      <c r="N52" s="35">
        <f t="shared" si="5"/>
        <v>2.5705612800000002</v>
      </c>
      <c r="O52" s="35">
        <f t="shared" si="12"/>
        <v>1.542336768E-3</v>
      </c>
      <c r="P52" s="195">
        <f t="shared" si="7"/>
        <v>4.1643092735999998</v>
      </c>
      <c r="Q52" s="78">
        <f t="shared" si="8"/>
        <v>4.2059523663359997</v>
      </c>
      <c r="R52" s="35" t="str">
        <f t="shared" si="11"/>
        <v>No Guide Vanes</v>
      </c>
      <c r="S52" s="1">
        <f>IF(C52="","",IF(C52&lt;20,8,INDEX([1]Data!$R$34:$T$38,MATCH(C52,Max_Width__Inch,1),3)))</f>
        <v>8</v>
      </c>
      <c r="T52" s="1" t="str">
        <f>IF(C52="","",IF(C52&lt;20,"25x25x2",INDEX([1]Data!$R$34:$T$38,MATCH(C52,Max_Width__Inch,1),2)))</f>
        <v>25x25x2</v>
      </c>
      <c r="U52" s="1">
        <f>IF(C52="","",IF(C52&lt;20,3,INDEX([1]Data!$R$34:$T$38,MATCH(C52,Max_Width__Inch,1),1)))</f>
        <v>3</v>
      </c>
      <c r="V52" s="1">
        <f t="shared" si="9"/>
        <v>100</v>
      </c>
    </row>
    <row r="53" spans="1:26">
      <c r="A53" s="856" t="s">
        <v>764</v>
      </c>
      <c r="B53" s="1" t="s">
        <v>726</v>
      </c>
      <c r="C53" s="1">
        <v>10</v>
      </c>
      <c r="D53" s="1">
        <v>10</v>
      </c>
      <c r="E53" s="41">
        <v>9.6012000000000004</v>
      </c>
      <c r="F53" s="877">
        <f t="shared" si="1"/>
        <v>9.6012000000000004</v>
      </c>
      <c r="G53" s="35">
        <f t="shared" si="10"/>
        <v>26</v>
      </c>
      <c r="H53" s="857">
        <f>IF(C53="","",IF($C$6="Galvanized Steel",VLOOKUP(G53,[1]Data!$A$5:$K$30,11,FALSE),IF($C$6="Stainless Steel",VLOOKUP(G53,[1]Data!$M$5:$W$28,9,FALSE),IF($C$6="Aluminum",VLOOKUP(G53,[1]Data!$A$40:$L$73,9,FALSE)))))</f>
        <v>0.55120000000000002</v>
      </c>
      <c r="I53" s="857">
        <f>IF(C53="","",IF($C$6="Galvanized Steel",VLOOKUP(G53,[1]Data!$A$5:$K$30,8,FALSE),IF($C$6="Stainless Steel",VLOOKUP(G53,[1]Data!$M$5:$W$28,7,FALSE),IF($C$6="Aluminum",VLOOKUP(G53,[1]Data!$A$40:$L$73,7,FALSE)))))</f>
        <v>4.42</v>
      </c>
      <c r="J53" s="35">
        <f t="shared" si="2"/>
        <v>42.437304000000005</v>
      </c>
      <c r="K53" s="35">
        <f t="shared" si="3"/>
        <v>48.802899600000003</v>
      </c>
      <c r="L53" s="35">
        <f t="shared" si="4"/>
        <v>11.521440000000002</v>
      </c>
      <c r="M53" s="35">
        <f t="shared" si="0"/>
        <v>11.636654400000001</v>
      </c>
      <c r="N53" s="35">
        <f t="shared" si="5"/>
        <v>11.567525760000001</v>
      </c>
      <c r="O53" s="35">
        <f t="shared" si="12"/>
        <v>6.9405154559999994E-3</v>
      </c>
      <c r="P53" s="195">
        <f t="shared" si="7"/>
        <v>18.739391731199998</v>
      </c>
      <c r="Q53" s="78">
        <f t="shared" si="8"/>
        <v>18.926785648511999</v>
      </c>
      <c r="R53" s="35" t="str">
        <f t="shared" si="11"/>
        <v>No Guide Vanes</v>
      </c>
      <c r="S53" s="1">
        <f>IF(C53="","",IF(C53&lt;20,8,INDEX([1]Data!$R$34:$T$38,MATCH(C53,Max_Width__Inch,1),3)))</f>
        <v>8</v>
      </c>
      <c r="T53" s="1" t="str">
        <f>IF(C53="","",IF(C53&lt;20,"25x25x2",INDEX([1]Data!$R$34:$T$38,MATCH(C53,Max_Width__Inch,1),2)))</f>
        <v>25x25x2</v>
      </c>
      <c r="U53" s="1">
        <f>IF(C53="","",IF(C53&lt;20,3,INDEX([1]Data!$R$34:$T$38,MATCH(C53,Max_Width__Inch,1),1)))</f>
        <v>3</v>
      </c>
      <c r="V53" s="1">
        <f t="shared" si="9"/>
        <v>100</v>
      </c>
    </row>
    <row r="54" spans="1:26">
      <c r="A54" s="856" t="s">
        <v>764</v>
      </c>
      <c r="B54" s="1" t="s">
        <v>746</v>
      </c>
      <c r="C54" s="1">
        <v>8</v>
      </c>
      <c r="D54" s="1">
        <v>8</v>
      </c>
      <c r="E54" s="41">
        <v>1.524</v>
      </c>
      <c r="F54" s="877">
        <f t="shared" si="1"/>
        <v>1.2192000000000001</v>
      </c>
      <c r="G54" s="35">
        <f t="shared" si="10"/>
        <v>26</v>
      </c>
      <c r="H54" s="857">
        <f>IF(C54="","",IF($C$6="Galvanized Steel",VLOOKUP(G54,[1]Data!$A$5:$K$30,11,FALSE),IF($C$6="Stainless Steel",VLOOKUP(G54,[1]Data!$M$5:$W$28,9,FALSE),IF($C$6="Aluminum",VLOOKUP(G54,[1]Data!$A$40:$L$73,9,FALSE)))))</f>
        <v>0.55120000000000002</v>
      </c>
      <c r="I54" s="857">
        <f>IF(C54="","",IF($C$6="Galvanized Steel",VLOOKUP(G54,[1]Data!$A$5:$K$30,8,FALSE),IF($C$6="Stainless Steel",VLOOKUP(G54,[1]Data!$M$5:$W$28,7,FALSE),IF($C$6="Aluminum",VLOOKUP(G54,[1]Data!$A$40:$L$73,7,FALSE)))))</f>
        <v>4.42</v>
      </c>
      <c r="J54" s="35">
        <f t="shared" si="2"/>
        <v>5.3888639999999999</v>
      </c>
      <c r="K54" s="35">
        <f t="shared" si="3"/>
        <v>6.1971935999999994</v>
      </c>
      <c r="L54" s="35">
        <f t="shared" si="4"/>
        <v>1.524</v>
      </c>
      <c r="M54" s="35">
        <f t="shared" si="0"/>
        <v>1.5392399999999999</v>
      </c>
      <c r="N54" s="35">
        <f t="shared" si="5"/>
        <v>1.5313152000000003</v>
      </c>
      <c r="O54" s="35">
        <f t="shared" si="12"/>
        <v>9.187891200000001E-4</v>
      </c>
      <c r="P54" s="195">
        <f t="shared" si="7"/>
        <v>2.4807306240000004</v>
      </c>
      <c r="Q54" s="78">
        <f t="shared" si="8"/>
        <v>2.5055379302400005</v>
      </c>
      <c r="R54" s="35" t="str">
        <f t="shared" si="11"/>
        <v>No Guide Vanes</v>
      </c>
      <c r="S54" s="1">
        <f>IF(C54="","",IF(C54&lt;20,8,INDEX([1]Data!$R$34:$T$38,MATCH(C54,Max_Width__Inch,1),3)))</f>
        <v>8</v>
      </c>
      <c r="T54" s="1" t="str">
        <f>IF(C54="","",IF(C54&lt;20,"25x25x2",INDEX([1]Data!$R$34:$T$38,MATCH(C54,Max_Width__Inch,1),2)))</f>
        <v>25x25x2</v>
      </c>
      <c r="U54" s="1">
        <f>IF(C54="","",IF(C54&lt;20,3,INDEX([1]Data!$R$34:$T$38,MATCH(C54,Max_Width__Inch,1),1)))</f>
        <v>3</v>
      </c>
      <c r="V54" s="1">
        <f t="shared" si="9"/>
        <v>100</v>
      </c>
    </row>
    <row r="55" spans="1:26">
      <c r="A55" s="856" t="s">
        <v>765</v>
      </c>
      <c r="B55" s="1" t="s">
        <v>754</v>
      </c>
      <c r="C55" s="1">
        <v>24</v>
      </c>
      <c r="D55" s="1">
        <v>16</v>
      </c>
      <c r="E55" s="41">
        <v>7.9248000000000003</v>
      </c>
      <c r="F55" s="877">
        <f t="shared" si="1"/>
        <v>15.849600000000002</v>
      </c>
      <c r="G55" s="35">
        <f t="shared" si="10"/>
        <v>24</v>
      </c>
      <c r="H55" s="857">
        <f>IF(C55="","",IF($C$6="Galvanized Steel",VLOOKUP(G55,[1]Data!$A$5:$K$30,11,FALSE),IF($C$6="Stainless Steel",VLOOKUP(G55,[1]Data!$M$5:$W$28,9,FALSE),IF($C$6="Aluminum",VLOOKUP(G55,[1]Data!$A$40:$L$73,9,FALSE)))))</f>
        <v>0.70099999999999996</v>
      </c>
      <c r="I55" s="857">
        <f>IF(C55="","",IF($C$6="Galvanized Steel",VLOOKUP(G55,[1]Data!$A$5:$K$30,8,FALSE),IF($C$6="Stainless Steel",VLOOKUP(G55,[1]Data!$M$5:$W$28,7,FALSE),IF($C$6="Aluminum",VLOOKUP(G55,[1]Data!$A$40:$L$73,7,FALSE)))))</f>
        <v>5.64</v>
      </c>
      <c r="J55" s="35">
        <f t="shared" si="2"/>
        <v>89.391744000000003</v>
      </c>
      <c r="K55" s="35">
        <f t="shared" si="3"/>
        <v>102.80050559999999</v>
      </c>
      <c r="L55" s="35">
        <f t="shared" si="4"/>
        <v>17.434560000000001</v>
      </c>
      <c r="M55" s="35">
        <f t="shared" si="0"/>
        <v>17.6089056</v>
      </c>
      <c r="N55" s="35">
        <f t="shared" si="5"/>
        <v>17.472599040000002</v>
      </c>
      <c r="O55" s="195">
        <f t="shared" si="12"/>
        <v>1.0483559424E-2</v>
      </c>
      <c r="P55" s="195">
        <f t="shared" si="7"/>
        <v>28.305610444799999</v>
      </c>
      <c r="Q55" s="78">
        <f t="shared" si="8"/>
        <v>28.588666549248</v>
      </c>
      <c r="R55" s="35" t="str">
        <f t="shared" si="11"/>
        <v>Two Guide Vanes</v>
      </c>
      <c r="S55" s="1">
        <f>IF(C55="","",IF(C55&lt;20,8,INDEX([1]Data!$R$34:$T$38,MATCH(C55,Max_Width__Inch,1),3)))</f>
        <v>8</v>
      </c>
      <c r="T55" s="1" t="str">
        <f>IF(C55="","",IF(C55&lt;20,"25x25x2",INDEX([1]Data!$R$34:$T$38,MATCH(C55,Max_Width__Inch,1),2)))</f>
        <v xml:space="preserve">25x25x2 </v>
      </c>
      <c r="U55" s="1">
        <f>IF(C55="","",IF(C55&lt;20,3,INDEX([1]Data!$R$34:$T$38,MATCH(C55,Max_Width__Inch,1),1)))</f>
        <v>3</v>
      </c>
      <c r="V55" s="1">
        <f t="shared" si="9"/>
        <v>150</v>
      </c>
    </row>
    <row r="56" spans="1:26">
      <c r="A56" s="856" t="s">
        <v>765</v>
      </c>
      <c r="B56" s="1" t="s">
        <v>754</v>
      </c>
      <c r="C56" s="1">
        <v>24</v>
      </c>
      <c r="D56" s="1">
        <v>16</v>
      </c>
      <c r="E56" s="41">
        <v>3.048</v>
      </c>
      <c r="F56" s="35">
        <f t="shared" si="1"/>
        <v>6.0960000000000001</v>
      </c>
      <c r="G56" s="35">
        <f t="shared" si="10"/>
        <v>24</v>
      </c>
      <c r="H56" s="857">
        <f>IF(C56="","",IF($C$6="Galvanized Steel",VLOOKUP(G56,[1]Data!$A$5:$K$30,11,FALSE),IF($C$6="Stainless Steel",VLOOKUP(G56,[1]Data!$M$5:$W$28,9,FALSE),IF($C$6="Aluminum",VLOOKUP(G56,[1]Data!$A$40:$L$73,9,FALSE)))))</f>
        <v>0.70099999999999996</v>
      </c>
      <c r="I56" s="857">
        <f>IF(C56="","",IF($C$6="Galvanized Steel",VLOOKUP(G56,[1]Data!$A$5:$K$30,8,FALSE),IF($C$6="Stainless Steel",VLOOKUP(G56,[1]Data!$M$5:$W$28,7,FALSE),IF($C$6="Aluminum",VLOOKUP(G56,[1]Data!$A$40:$L$73,7,FALSE)))))</f>
        <v>5.64</v>
      </c>
      <c r="J56" s="35">
        <f t="shared" si="2"/>
        <v>34.381439999999998</v>
      </c>
      <c r="K56" s="35">
        <f t="shared" si="3"/>
        <v>39.538655999999996</v>
      </c>
      <c r="L56" s="35">
        <f t="shared" si="4"/>
        <v>6.7056000000000004</v>
      </c>
      <c r="M56" s="35">
        <f t="shared" si="0"/>
        <v>6.7726560000000005</v>
      </c>
      <c r="N56" s="35">
        <f t="shared" si="5"/>
        <v>6.7202304000000002</v>
      </c>
      <c r="O56" s="195">
        <f t="shared" si="12"/>
        <v>4.0321382400000001E-3</v>
      </c>
      <c r="P56" s="195">
        <f t="shared" si="7"/>
        <v>10.886773248000001</v>
      </c>
      <c r="Q56" s="78">
        <f t="shared" si="8"/>
        <v>10.995640980480001</v>
      </c>
      <c r="R56" s="35" t="str">
        <f t="shared" si="11"/>
        <v>Two Guide Vanes</v>
      </c>
      <c r="S56" s="1">
        <f>IF(C56="","",IF(C56&lt;20,8,INDEX([1]Data!$R$34:$T$38,MATCH(C56,Max_Width__Inch,1),3)))</f>
        <v>8</v>
      </c>
      <c r="T56" s="1" t="str">
        <f>IF(C56="","",IF(C56&lt;20,"25x25x2",INDEX([1]Data!$R$34:$T$38,MATCH(C56,Max_Width__Inch,1),2)))</f>
        <v xml:space="preserve">25x25x2 </v>
      </c>
      <c r="U56" s="1">
        <f>IF(C56="","",IF(C56&lt;20,3,INDEX([1]Data!$R$34:$T$38,MATCH(C56,Max_Width__Inch,1),1)))</f>
        <v>3</v>
      </c>
      <c r="V56" s="1">
        <f t="shared" si="9"/>
        <v>150</v>
      </c>
      <c r="X56" s="1"/>
    </row>
    <row r="57" spans="1:26">
      <c r="A57" s="856" t="s">
        <v>765</v>
      </c>
      <c r="B57" s="1" t="s">
        <v>726</v>
      </c>
      <c r="C57" s="1">
        <v>36</v>
      </c>
      <c r="D57" s="1">
        <v>16</v>
      </c>
      <c r="E57" s="41">
        <v>2.1945600000000001</v>
      </c>
      <c r="F57" s="35">
        <f t="shared" si="1"/>
        <v>5.7058560000000007</v>
      </c>
      <c r="G57" s="35">
        <f t="shared" si="10"/>
        <v>22</v>
      </c>
      <c r="H57" s="857">
        <f>IF(C57="","",IF($C$6="Galvanized Steel",VLOOKUP(G57,[1]Data!$A$5:$K$30,11,FALSE),IF($C$6="Stainless Steel",VLOOKUP(G57,[1]Data!$M$5:$W$28,9,FALSE),IF($C$6="Aluminum",VLOOKUP(G57,[1]Data!$A$40:$L$73,9,FALSE)))))</f>
        <v>0.85340000000000005</v>
      </c>
      <c r="I57" s="857">
        <f>IF(C57="","",IF($C$6="Galvanized Steel",VLOOKUP(G57,[1]Data!$A$5:$K$30,8,FALSE),IF($C$6="Stainless Steel",VLOOKUP(G57,[1]Data!$M$5:$W$28,7,FALSE),IF($C$6="Aluminum",VLOOKUP(G57,[1]Data!$A$40:$L$73,7,FALSE)))))</f>
        <v>6.86</v>
      </c>
      <c r="J57" s="35">
        <f t="shared" si="2"/>
        <v>39.142172160000008</v>
      </c>
      <c r="K57" s="35">
        <f t="shared" si="3"/>
        <v>45.013497984000004</v>
      </c>
      <c r="L57" s="35">
        <f t="shared" si="4"/>
        <v>6.1447680000000009</v>
      </c>
      <c r="M57" s="35">
        <f t="shared" si="0"/>
        <v>6.2062156800000006</v>
      </c>
      <c r="N57" s="35">
        <f t="shared" si="5"/>
        <v>6.1553018880000003</v>
      </c>
      <c r="O57" s="195">
        <f t="shared" si="12"/>
        <v>3.6931811328E-3</v>
      </c>
      <c r="P57" s="195">
        <f t="shared" si="7"/>
        <v>9.9715890585599993</v>
      </c>
      <c r="Q57" s="78">
        <f t="shared" si="8"/>
        <v>10.071304949145599</v>
      </c>
      <c r="R57" s="35" t="str">
        <f t="shared" si="11"/>
        <v>Three Guide Vanes</v>
      </c>
      <c r="S57" s="1">
        <f>IF(C57="","",IF(C57&lt;20,8,INDEX([1]Data!$R$34:$T$38,MATCH(C57,Max_Width__Inch,1),3)))</f>
        <v>10</v>
      </c>
      <c r="T57" s="1" t="str">
        <f>IF(C57="","",IF(C57&lt;20,"25x25x2",INDEX([1]Data!$R$34:$T$38,MATCH(C57,Max_Width__Inch,1),2)))</f>
        <v xml:space="preserve">35x35x2.5 </v>
      </c>
      <c r="U57" s="1">
        <f>IF(C57="","",IF(C57&lt;20,3,INDEX([1]Data!$R$34:$T$38,MATCH(C57,Max_Width__Inch,1),1)))</f>
        <v>2.5</v>
      </c>
      <c r="V57" s="1">
        <f t="shared" si="9"/>
        <v>225</v>
      </c>
    </row>
    <row r="58" spans="1:26">
      <c r="A58" s="856" t="s">
        <v>765</v>
      </c>
      <c r="B58" s="1" t="s">
        <v>726</v>
      </c>
      <c r="C58" s="1">
        <v>36</v>
      </c>
      <c r="D58" s="1">
        <v>16</v>
      </c>
      <c r="E58" s="41">
        <v>8.5343999999999998</v>
      </c>
      <c r="F58" s="35">
        <f t="shared" si="1"/>
        <v>22.189439999999998</v>
      </c>
      <c r="G58" s="35">
        <f t="shared" si="10"/>
        <v>22</v>
      </c>
      <c r="H58" s="857">
        <f>IF(C58="","",IF($C$6="Galvanized Steel",VLOOKUP(G58,[1]Data!$A$5:$K$30,11,FALSE),IF($C$6="Stainless Steel",VLOOKUP(G58,[1]Data!$M$5:$W$28,9,FALSE),IF($C$6="Aluminum",VLOOKUP(G58,[1]Data!$A$40:$L$73,9,FALSE)))))</f>
        <v>0.85340000000000005</v>
      </c>
      <c r="I58" s="857">
        <f>IF(C58="","",IF($C$6="Galvanized Steel",VLOOKUP(G58,[1]Data!$A$5:$K$30,8,FALSE),IF($C$6="Stainless Steel",VLOOKUP(G58,[1]Data!$M$5:$W$28,7,FALSE),IF($C$6="Aluminum",VLOOKUP(G58,[1]Data!$A$40:$L$73,7,FALSE)))))</f>
        <v>6.86</v>
      </c>
      <c r="J58" s="35">
        <f t="shared" si="2"/>
        <v>152.21955839999998</v>
      </c>
      <c r="K58" s="35">
        <f t="shared" si="3"/>
        <v>175.05249215999996</v>
      </c>
      <c r="L58" s="35">
        <f t="shared" si="4"/>
        <v>23.896320000000003</v>
      </c>
      <c r="M58" s="35">
        <f t="shared" si="0"/>
        <v>24.135283200000003</v>
      </c>
      <c r="N58" s="35">
        <f t="shared" si="5"/>
        <v>23.937285120000002</v>
      </c>
      <c r="O58" s="195">
        <f t="shared" si="12"/>
        <v>1.4362371072E-2</v>
      </c>
      <c r="P58" s="195">
        <f t="shared" si="7"/>
        <v>38.778401894399998</v>
      </c>
      <c r="Q58" s="214">
        <f t="shared" si="8"/>
        <v>39.166185913344002</v>
      </c>
      <c r="R58" s="35" t="str">
        <f t="shared" si="11"/>
        <v>Three Guide Vanes</v>
      </c>
      <c r="S58" s="1">
        <f>IF(C58="","",IF(C58&lt;20,8,INDEX([1]Data!$R$34:$T$38,MATCH(C58,Max_Width__Inch,1),3)))</f>
        <v>10</v>
      </c>
      <c r="T58" s="1" t="str">
        <f>IF(C58="","",IF(C58&lt;20,"25x25x2",INDEX([1]Data!$R$34:$T$38,MATCH(C58,Max_Width__Inch,1),2)))</f>
        <v xml:space="preserve">35x35x2.5 </v>
      </c>
      <c r="U58" s="1">
        <f>IF(C58="","",IF(C58&lt;20,3,INDEX([1]Data!$R$34:$T$38,MATCH(C58,Max_Width__Inch,1),1)))</f>
        <v>2.5</v>
      </c>
      <c r="V58" s="1">
        <f t="shared" si="9"/>
        <v>225</v>
      </c>
      <c r="X58" s="878"/>
      <c r="Y58" s="878"/>
      <c r="Z58" s="879"/>
    </row>
    <row r="59" spans="1:26">
      <c r="A59" s="856" t="s">
        <v>766</v>
      </c>
      <c r="B59" s="1" t="s">
        <v>726</v>
      </c>
      <c r="C59" s="1">
        <v>24</v>
      </c>
      <c r="D59" s="1">
        <v>14</v>
      </c>
      <c r="E59" s="41">
        <v>3.048</v>
      </c>
      <c r="F59" s="35">
        <f t="shared" si="1"/>
        <v>5.7911999999999999</v>
      </c>
      <c r="G59" s="35">
        <f t="shared" si="10"/>
        <v>24</v>
      </c>
      <c r="H59" s="857">
        <f>IF(C59="","",IF($C$6="Galvanized Steel",VLOOKUP(G59,[1]Data!$A$5:$K$30,11,FALSE),IF($C$6="Stainless Steel",VLOOKUP(G59,[1]Data!$M$5:$W$28,9,FALSE),IF($C$6="Aluminum",VLOOKUP(G59,[1]Data!$A$40:$L$73,9,FALSE)))))</f>
        <v>0.70099999999999996</v>
      </c>
      <c r="I59" s="857">
        <f>IF(C59="","",IF($C$6="Galvanized Steel",VLOOKUP(G59,[1]Data!$A$5:$K$30,8,FALSE),IF($C$6="Stainless Steel",VLOOKUP(G59,[1]Data!$M$5:$W$28,7,FALSE),IF($C$6="Aluminum",VLOOKUP(G59,[1]Data!$A$40:$L$73,7,FALSE)))))</f>
        <v>5.64</v>
      </c>
      <c r="J59" s="35">
        <f t="shared" si="2"/>
        <v>32.662368000000001</v>
      </c>
      <c r="K59" s="35">
        <f t="shared" si="3"/>
        <v>37.561723199999996</v>
      </c>
      <c r="L59" s="35">
        <f t="shared" si="4"/>
        <v>6.4008000000000003</v>
      </c>
      <c r="M59" s="35">
        <f t="shared" si="0"/>
        <v>6.4648080000000006</v>
      </c>
      <c r="N59" s="35">
        <f t="shared" si="5"/>
        <v>6.4154304</v>
      </c>
      <c r="O59" s="195">
        <f t="shared" si="12"/>
        <v>3.8492582399999998E-3</v>
      </c>
      <c r="P59" s="195">
        <f t="shared" si="7"/>
        <v>10.392997248</v>
      </c>
      <c r="Q59" s="214">
        <f t="shared" si="8"/>
        <v>10.49692722048</v>
      </c>
      <c r="R59" s="35" t="str">
        <f t="shared" si="11"/>
        <v>Two Guide Vanes</v>
      </c>
      <c r="S59" s="1">
        <f>IF(C59="","",IF(C59&lt;20,8,INDEX([1]Data!$R$34:$T$38,MATCH(C59,Max_Width__Inch,1),3)))</f>
        <v>8</v>
      </c>
      <c r="T59" s="1" t="str">
        <f>IF(C59="","",IF(C59&lt;20,"25x25x2",INDEX([1]Data!$R$34:$T$38,MATCH(C59,Max_Width__Inch,1),2)))</f>
        <v xml:space="preserve">25x25x2 </v>
      </c>
      <c r="U59" s="1">
        <f>IF(C59="","",IF(C59&lt;20,3,INDEX([1]Data!$R$34:$T$38,MATCH(C59,Max_Width__Inch,1),1)))</f>
        <v>3</v>
      </c>
      <c r="V59" s="1">
        <f t="shared" si="9"/>
        <v>150</v>
      </c>
      <c r="X59" s="879"/>
      <c r="Y59" s="878"/>
      <c r="Z59" s="880"/>
    </row>
    <row r="60" spans="1:26">
      <c r="A60" s="856" t="s">
        <v>767</v>
      </c>
      <c r="B60" s="1" t="s">
        <v>726</v>
      </c>
      <c r="C60" s="1">
        <v>24</v>
      </c>
      <c r="D60" s="1">
        <v>14</v>
      </c>
      <c r="E60" s="41">
        <v>1.524</v>
      </c>
      <c r="F60" s="35">
        <f t="shared" si="1"/>
        <v>2.8956</v>
      </c>
      <c r="G60" s="35">
        <f t="shared" si="10"/>
        <v>24</v>
      </c>
      <c r="H60" s="857">
        <f>IF(C60="","",IF($C$6="Galvanized Steel",VLOOKUP(G60,[1]Data!$A$5:$K$30,11,FALSE),IF($C$6="Stainless Steel",VLOOKUP(G60,[1]Data!$M$5:$W$28,9,FALSE),IF($C$6="Aluminum",VLOOKUP(G60,[1]Data!$A$40:$L$73,9,FALSE)))))</f>
        <v>0.70099999999999996</v>
      </c>
      <c r="I60" s="857">
        <f>IF(C60="","",IF($C$6="Galvanized Steel",VLOOKUP(G60,[1]Data!$A$5:$K$30,8,FALSE),IF($C$6="Stainless Steel",VLOOKUP(G60,[1]Data!$M$5:$W$28,7,FALSE),IF($C$6="Aluminum",VLOOKUP(G60,[1]Data!$A$40:$L$73,7,FALSE)))))</f>
        <v>5.64</v>
      </c>
      <c r="J60" s="35">
        <f t="shared" si="2"/>
        <v>16.331184</v>
      </c>
      <c r="K60" s="35">
        <f t="shared" si="3"/>
        <v>18.780861599999998</v>
      </c>
      <c r="L60" s="35">
        <f t="shared" si="4"/>
        <v>3.2004000000000001</v>
      </c>
      <c r="M60" s="35">
        <f t="shared" si="0"/>
        <v>3.2324040000000003</v>
      </c>
      <c r="N60" s="35">
        <f t="shared" si="5"/>
        <v>3.2077152</v>
      </c>
      <c r="O60" s="195">
        <f t="shared" si="12"/>
        <v>1.9246291199999999E-3</v>
      </c>
      <c r="P60" s="195">
        <f t="shared" si="7"/>
        <v>5.1964986240000002</v>
      </c>
      <c r="Q60" s="214">
        <f t="shared" si="8"/>
        <v>5.24846361024</v>
      </c>
      <c r="R60" s="35" t="str">
        <f t="shared" si="11"/>
        <v>Two Guide Vanes</v>
      </c>
      <c r="S60" s="1">
        <f>IF(C60="","",IF(C60&lt;20,8,INDEX([1]Data!$R$34:$T$38,MATCH(C60,Max_Width__Inch,1),3)))</f>
        <v>8</v>
      </c>
      <c r="T60" s="1" t="str">
        <f>IF(C60="","",IF(C60&lt;20,"25x25x2",INDEX([1]Data!$R$34:$T$38,MATCH(C60,Max_Width__Inch,1),2)))</f>
        <v xml:space="preserve">25x25x2 </v>
      </c>
      <c r="U60" s="1">
        <f>IF(C60="","",IF(C60&lt;20,3,INDEX([1]Data!$R$34:$T$38,MATCH(C60,Max_Width__Inch,1),1)))</f>
        <v>3</v>
      </c>
      <c r="V60" s="1">
        <f t="shared" si="9"/>
        <v>150</v>
      </c>
      <c r="X60" s="879"/>
      <c r="Z60" s="880"/>
    </row>
    <row r="61" spans="1:26">
      <c r="A61" s="856" t="s">
        <v>768</v>
      </c>
      <c r="B61" s="1" t="s">
        <v>726</v>
      </c>
      <c r="C61" s="1">
        <v>14</v>
      </c>
      <c r="D61" s="1">
        <v>14</v>
      </c>
      <c r="E61" s="41">
        <v>1.524</v>
      </c>
      <c r="F61" s="35">
        <f t="shared" si="1"/>
        <v>2.1335999999999999</v>
      </c>
      <c r="G61" s="35">
        <f t="shared" si="10"/>
        <v>24</v>
      </c>
      <c r="H61" s="857">
        <f>IF(C61="","",IF($C$6="Galvanized Steel",VLOOKUP(G61,[1]Data!$A$5:$K$30,11,FALSE),IF($C$6="Stainless Steel",VLOOKUP(G61,[1]Data!$M$5:$W$28,9,FALSE),IF($C$6="Aluminum",VLOOKUP(G61,[1]Data!$A$40:$L$73,9,FALSE)))))</f>
        <v>0.70099999999999996</v>
      </c>
      <c r="I61" s="857">
        <f>IF(C61="","",IF($C$6="Galvanized Steel",VLOOKUP(G61,[1]Data!$A$5:$K$30,8,FALSE),IF($C$6="Stainless Steel",VLOOKUP(G61,[1]Data!$M$5:$W$28,7,FALSE),IF($C$6="Aluminum",VLOOKUP(G61,[1]Data!$A$40:$L$73,7,FALSE)))))</f>
        <v>5.64</v>
      </c>
      <c r="J61" s="35">
        <f t="shared" si="2"/>
        <v>12.033503999999999</v>
      </c>
      <c r="K61" s="35">
        <f t="shared" si="3"/>
        <v>13.838529599999998</v>
      </c>
      <c r="L61" s="35">
        <f t="shared" si="4"/>
        <v>2.4384000000000001</v>
      </c>
      <c r="M61" s="35">
        <f t="shared" si="0"/>
        <v>2.4627840000000001</v>
      </c>
      <c r="N61" s="35">
        <f t="shared" si="5"/>
        <v>2.4457152</v>
      </c>
      <c r="O61" s="195">
        <f t="shared" si="12"/>
        <v>1.4674291199999999E-3</v>
      </c>
      <c r="P61" s="195">
        <f t="shared" si="7"/>
        <v>3.9620586239999995</v>
      </c>
      <c r="Q61" s="214">
        <f t="shared" si="8"/>
        <v>4.0016792102399998</v>
      </c>
      <c r="R61" s="35" t="str">
        <f t="shared" si="11"/>
        <v>One Guide Vanes</v>
      </c>
      <c r="S61" s="1">
        <f>IF(C61="","",IF(C61&lt;20,8,INDEX([1]Data!$R$34:$T$38,MATCH(C61,Max_Width__Inch,1),3)))</f>
        <v>8</v>
      </c>
      <c r="T61" s="1" t="str">
        <f>IF(C61="","",IF(C61&lt;20,"25x25x2",INDEX([1]Data!$R$34:$T$38,MATCH(C61,Max_Width__Inch,1),2)))</f>
        <v>25x25x2</v>
      </c>
      <c r="U61" s="1">
        <f>IF(C61="","",IF(C61&lt;20,3,INDEX([1]Data!$R$34:$T$38,MATCH(C61,Max_Width__Inch,1),1)))</f>
        <v>3</v>
      </c>
      <c r="V61" s="1">
        <f t="shared" si="9"/>
        <v>100</v>
      </c>
      <c r="X61" s="879"/>
      <c r="Z61" s="879"/>
    </row>
    <row r="62" spans="1:26">
      <c r="A62" s="856" t="s">
        <v>769</v>
      </c>
      <c r="B62" s="1" t="s">
        <v>726</v>
      </c>
      <c r="C62" s="1">
        <v>14</v>
      </c>
      <c r="D62" s="1">
        <v>14</v>
      </c>
      <c r="E62" s="41">
        <v>0.82296000000000014</v>
      </c>
      <c r="F62" s="35">
        <f t="shared" si="1"/>
        <v>1.1521440000000003</v>
      </c>
      <c r="G62" s="35">
        <f t="shared" si="10"/>
        <v>24</v>
      </c>
      <c r="H62" s="857">
        <f>IF(C62="","",IF($C$6="Galvanized Steel",VLOOKUP(G62,[1]Data!$A$5:$K$30,11,FALSE),IF($C$6="Stainless Steel",VLOOKUP(G62,[1]Data!$M$5:$W$28,9,FALSE),IF($C$6="Aluminum",VLOOKUP(G62,[1]Data!$A$40:$L$73,9,FALSE)))))</f>
        <v>0.70099999999999996</v>
      </c>
      <c r="I62" s="857">
        <f>IF(C62="","",IF($C$6="Galvanized Steel",VLOOKUP(G62,[1]Data!$A$5:$K$30,8,FALSE),IF($C$6="Stainless Steel",VLOOKUP(G62,[1]Data!$M$5:$W$28,7,FALSE),IF($C$6="Aluminum",VLOOKUP(G62,[1]Data!$A$40:$L$73,7,FALSE)))))</f>
        <v>5.64</v>
      </c>
      <c r="J62" s="35">
        <f t="shared" si="2"/>
        <v>6.4980921600000014</v>
      </c>
      <c r="K62" s="35">
        <f t="shared" si="3"/>
        <v>7.4728059840000007</v>
      </c>
      <c r="L62" s="35">
        <f t="shared" si="4"/>
        <v>1.3167360000000004</v>
      </c>
      <c r="M62" s="35">
        <f t="shared" si="0"/>
        <v>1.3299033600000003</v>
      </c>
      <c r="N62" s="35">
        <f t="shared" si="5"/>
        <v>1.3206862080000001</v>
      </c>
      <c r="O62" s="195">
        <f t="shared" si="12"/>
        <v>7.9241172479999999E-4</v>
      </c>
      <c r="P62" s="195">
        <f t="shared" si="7"/>
        <v>2.1395116569599999</v>
      </c>
      <c r="Q62" s="214">
        <f t="shared" si="8"/>
        <v>2.1609067735295997</v>
      </c>
      <c r="R62" s="35" t="str">
        <f t="shared" si="11"/>
        <v>One Guide Vanes</v>
      </c>
      <c r="S62" s="1">
        <f>IF(C62="","",IF(C62&lt;20,8,INDEX([1]Data!$R$34:$T$38,MATCH(C62,Max_Width__Inch,1),3)))</f>
        <v>8</v>
      </c>
      <c r="T62" s="1" t="str">
        <f>IF(C62="","",IF(C62&lt;20,"25x25x2",INDEX([1]Data!$R$34:$T$38,MATCH(C62,Max_Width__Inch,1),2)))</f>
        <v>25x25x2</v>
      </c>
      <c r="U62" s="1">
        <f>IF(C62="","",IF(C62&lt;20,3,INDEX([1]Data!$R$34:$T$38,MATCH(C62,Max_Width__Inch,1),1)))</f>
        <v>3</v>
      </c>
      <c r="V62" s="1">
        <f t="shared" si="9"/>
        <v>100</v>
      </c>
      <c r="X62" s="879"/>
      <c r="Y62" s="878"/>
      <c r="Z62" s="879"/>
    </row>
    <row r="63" spans="1:26">
      <c r="A63" s="856" t="s">
        <v>770</v>
      </c>
      <c r="B63" s="1" t="s">
        <v>726</v>
      </c>
      <c r="C63" s="1"/>
      <c r="D63" s="1"/>
      <c r="E63" s="41">
        <v>3.048</v>
      </c>
      <c r="F63" s="35" t="str">
        <f t="shared" si="1"/>
        <v/>
      </c>
      <c r="G63" s="35" t="str">
        <f t="shared" si="10"/>
        <v/>
      </c>
      <c r="H63" s="857" t="str">
        <f>IF(C63="","",IF($C$6="Galvanized Steel",VLOOKUP(G63,[1]Data!$A$5:$K$30,11,FALSE),IF($C$6="Stainless Steel",VLOOKUP(G63,[1]Data!$M$5:$W$28,9,FALSE),IF($C$6="Aluminum",VLOOKUP(G63,[1]Data!$A$40:$L$73,9,FALSE)))))</f>
        <v/>
      </c>
      <c r="I63" s="857" t="str">
        <f>IF(C63="","",IF($C$6="Galvanized Steel",VLOOKUP(G63,[1]Data!$A$5:$K$30,8,FALSE),IF($C$6="Stainless Steel",VLOOKUP(G63,[1]Data!$M$5:$W$28,7,FALSE),IF($C$6="Aluminum",VLOOKUP(G63,[1]Data!$A$40:$L$73,7,FALSE)))))</f>
        <v/>
      </c>
      <c r="J63" s="35" t="str">
        <f t="shared" si="2"/>
        <v/>
      </c>
      <c r="K63" s="35" t="str">
        <f t="shared" si="3"/>
        <v/>
      </c>
      <c r="L63" s="35" t="str">
        <f t="shared" si="4"/>
        <v/>
      </c>
      <c r="M63" s="35" t="str">
        <f t="shared" si="0"/>
        <v/>
      </c>
      <c r="N63" s="35" t="str">
        <f t="shared" si="5"/>
        <v/>
      </c>
      <c r="O63" s="195" t="e">
        <f t="shared" si="12"/>
        <v>#VALUE!</v>
      </c>
      <c r="P63" s="195" t="str">
        <f t="shared" si="7"/>
        <v/>
      </c>
      <c r="Q63" s="214" t="str">
        <f t="shared" si="8"/>
        <v/>
      </c>
      <c r="R63" s="35" t="str">
        <f t="shared" si="11"/>
        <v/>
      </c>
      <c r="S63" s="1" t="str">
        <f>IF(C63="","",IF(C63&lt;20,8,INDEX([1]Data!$R$34:$T$38,MATCH(C63,Max_Width__Inch,1),3)))</f>
        <v/>
      </c>
      <c r="T63" s="1" t="str">
        <f>IF(C63="","",IF(C63&lt;20,"25x25x2",INDEX([1]Data!$R$34:$T$38,MATCH(C63,Max_Width__Inch,1),2)))</f>
        <v/>
      </c>
      <c r="U63" s="1" t="str">
        <f>IF(C63="","",IF(C63&lt;20,3,INDEX([1]Data!$R$34:$T$38,MATCH(C63,Max_Width__Inch,1),1)))</f>
        <v/>
      </c>
      <c r="V63" s="1" t="str">
        <f t="shared" si="9"/>
        <v/>
      </c>
      <c r="X63" s="879"/>
      <c r="Y63" s="878"/>
      <c r="Z63" s="879"/>
    </row>
    <row r="64" spans="1:26">
      <c r="C64" s="1"/>
      <c r="D64" s="1"/>
      <c r="E64" s="41" t="s">
        <v>771</v>
      </c>
      <c r="F64" s="17"/>
      <c r="G64" s="1"/>
      <c r="H64" s="599"/>
      <c r="I64" s="599"/>
      <c r="J64" s="1"/>
      <c r="K64" s="1"/>
      <c r="L64" s="1"/>
      <c r="M64" s="1"/>
      <c r="N64" s="35" t="str">
        <f t="shared" si="5"/>
        <v/>
      </c>
      <c r="S64" s="1" t="str">
        <f>IF(C64="","",IF(C64&lt;20,8,INDEX([1]Data!$R$34:$T$38,MATCH(C64,Max_Width__Inch,1),3)))</f>
        <v/>
      </c>
      <c r="T64" s="1" t="str">
        <f>IF(C64="","",IF(C64&lt;20,"25x25x2",INDEX([1]Data!$R$34:$T$38,MATCH(C64,Max_Width__Inch,1),2)))</f>
        <v/>
      </c>
      <c r="U64" s="1" t="str">
        <f>IF(C64="","",IF(C64&lt;20,3,INDEX([1]Data!$R$34:$T$38,MATCH(C64,Max_Width__Inch,1),1)))</f>
        <v/>
      </c>
      <c r="V64" s="1" t="str">
        <f t="shared" si="9"/>
        <v/>
      </c>
      <c r="X64" s="879"/>
      <c r="Y64" s="878"/>
      <c r="Z64" s="879"/>
    </row>
    <row r="65" spans="3:26">
      <c r="C65" s="1"/>
      <c r="D65" s="1"/>
      <c r="E65" s="41" t="s">
        <v>771</v>
      </c>
      <c r="F65" s="17"/>
      <c r="G65" s="1"/>
      <c r="H65" s="599"/>
      <c r="I65" s="599"/>
      <c r="J65" s="1"/>
      <c r="K65" s="1"/>
      <c r="L65" s="1"/>
      <c r="M65" s="1"/>
      <c r="N65" s="35" t="str">
        <f t="shared" si="5"/>
        <v/>
      </c>
      <c r="S65" s="1" t="str">
        <f>IF(C65="","",IF(C65&lt;20,8,INDEX([1]Data!$R$34:$T$38,MATCH(C65,Max_Width__Inch,1),3)))</f>
        <v/>
      </c>
      <c r="T65" s="1" t="str">
        <f>IF(C65="","",IF(C65&lt;20,"25x25x2",INDEX([1]Data!$R$34:$T$38,MATCH(C65,Max_Width__Inch,1),2)))</f>
        <v/>
      </c>
      <c r="U65" s="1" t="str">
        <f>IF(C65="","",IF(C65&lt;20,3,INDEX([1]Data!$R$34:$T$38,MATCH(C65,Max_Width__Inch,1),1)))</f>
        <v/>
      </c>
      <c r="V65" s="1" t="str">
        <f t="shared" si="9"/>
        <v/>
      </c>
      <c r="X65" s="879"/>
      <c r="Y65" s="878"/>
      <c r="Z65" s="879"/>
    </row>
    <row r="66" spans="3:26">
      <c r="C66" s="1"/>
      <c r="D66" s="1"/>
      <c r="F66" s="17"/>
      <c r="G66" s="1"/>
      <c r="H66" s="599"/>
      <c r="I66" s="599"/>
      <c r="J66" s="1"/>
      <c r="K66" s="1"/>
      <c r="L66" s="1"/>
      <c r="M66" s="1"/>
      <c r="N66" s="35" t="str">
        <f t="shared" si="5"/>
        <v/>
      </c>
      <c r="S66" s="1" t="str">
        <f>IF(C66="","",IF(C66&lt;20,8,INDEX([1]Data!$R$34:$T$38,MATCH(C66,Max_Width__Inch,1),3)))</f>
        <v/>
      </c>
      <c r="T66" s="1" t="str">
        <f>IF(C66="","",IF(C66&lt;20,"25x25x2",INDEX([1]Data!$R$34:$T$38,MATCH(C66,Max_Width__Inch,1),2)))</f>
        <v/>
      </c>
      <c r="U66" s="1" t="str">
        <f>IF(C66="","",IF(C66&lt;20,3,INDEX([1]Data!$R$34:$T$38,MATCH(C66,Max_Width__Inch,1),1)))</f>
        <v/>
      </c>
      <c r="V66" s="1" t="str">
        <f t="shared" si="9"/>
        <v/>
      </c>
      <c r="X66" s="879"/>
      <c r="Y66" s="879"/>
      <c r="Z66" s="879"/>
    </row>
    <row r="67" spans="3:26">
      <c r="C67" s="1"/>
      <c r="D67" s="1"/>
      <c r="F67" s="17"/>
      <c r="G67" s="1"/>
      <c r="H67" s="599"/>
      <c r="I67" s="599"/>
      <c r="J67" s="1"/>
      <c r="K67" s="1"/>
      <c r="L67" s="1"/>
      <c r="M67" s="1"/>
      <c r="S67" s="1" t="str">
        <f>IF(C67="","",IF(C67&lt;20,8,INDEX([1]Data!$R$34:$T$38,MATCH(C67,Max_Width__Inch,1),3)))</f>
        <v/>
      </c>
      <c r="T67" s="1" t="str">
        <f>IF(C67="","",IF(C67&lt;20,"25x25x2",INDEX([1]Data!$R$34:$T$38,MATCH(C67,Max_Width__Inch,1),2)))</f>
        <v/>
      </c>
      <c r="U67" s="1" t="str">
        <f>IF(C67="","",IF(C67&lt;20,3,INDEX([1]Data!$R$34:$T$38,MATCH(C67,Max_Width__Inch,1),1)))</f>
        <v/>
      </c>
      <c r="V67" s="1" t="str">
        <f t="shared" si="9"/>
        <v/>
      </c>
      <c r="X67" s="879"/>
      <c r="Y67" s="879"/>
      <c r="Z67" s="879"/>
    </row>
    <row r="68" spans="3:26">
      <c r="C68" s="1"/>
      <c r="D68" s="1"/>
      <c r="F68" s="17"/>
      <c r="G68" s="1"/>
      <c r="H68" s="599"/>
      <c r="I68" s="599"/>
      <c r="J68" s="1"/>
      <c r="K68" s="1"/>
      <c r="L68" s="1"/>
      <c r="M68" s="1"/>
      <c r="S68" s="1" t="str">
        <f>IF(C68="","",IF(C68&lt;20,8,INDEX([1]Data!$R$34:$T$38,MATCH(C68,Max_Width__Inch,1),3)))</f>
        <v/>
      </c>
      <c r="T68" s="1" t="str">
        <f>IF(C68="","",IF(C68&lt;20,"25x25x2",INDEX([1]Data!$R$34:$T$38,MATCH(C68,Max_Width__Inch,1),2)))</f>
        <v/>
      </c>
      <c r="U68" s="1" t="str">
        <f>IF(C68="","",IF(C68&lt;20,3,INDEX([1]Data!$R$34:$T$38,MATCH(C68,Max_Width__Inch,1),1)))</f>
        <v/>
      </c>
      <c r="V68" s="1" t="str">
        <f t="shared" si="9"/>
        <v/>
      </c>
    </row>
    <row r="69" spans="3:26">
      <c r="C69" s="1"/>
      <c r="D69" s="1"/>
      <c r="E69" s="1"/>
      <c r="F69" s="17"/>
      <c r="G69" s="1"/>
      <c r="H69" s="599"/>
      <c r="I69" s="599"/>
      <c r="J69" s="1"/>
      <c r="K69" s="1"/>
      <c r="L69" s="1"/>
      <c r="M69" s="1"/>
      <c r="S69" s="1" t="str">
        <f>IF(C69="","",IF(C69&lt;20,8,INDEX([1]Data!$R$34:$T$38,MATCH(C69,Max_Width__Inch,1),3)))</f>
        <v/>
      </c>
      <c r="T69" s="1" t="str">
        <f>IF(C69="","",IF(C69&lt;20,"25x25x2",INDEX([1]Data!$R$34:$T$38,MATCH(C69,Max_Width__Inch,1),2)))</f>
        <v/>
      </c>
      <c r="U69" s="1" t="str">
        <f>IF(C69="","",IF(C69&lt;20,3,INDEX([1]Data!$R$34:$T$38,MATCH(C69,Max_Width__Inch,1),1)))</f>
        <v/>
      </c>
      <c r="V69" s="1" t="str">
        <f t="shared" si="9"/>
        <v/>
      </c>
    </row>
    <row r="70" spans="3:26">
      <c r="C70" s="1"/>
      <c r="D70" s="1"/>
      <c r="E70" s="1"/>
      <c r="F70" s="17"/>
      <c r="G70" s="1"/>
      <c r="H70" s="599"/>
      <c r="I70" s="599"/>
      <c r="J70" s="1"/>
      <c r="K70" s="1"/>
      <c r="L70" s="1"/>
      <c r="M70" s="1"/>
    </row>
    <row r="71" spans="3:26">
      <c r="C71" s="1"/>
      <c r="D71" s="1"/>
      <c r="E71" s="1"/>
      <c r="F71" s="17"/>
      <c r="G71" s="1"/>
      <c r="H71" s="599"/>
      <c r="I71" s="599"/>
      <c r="J71" s="1"/>
      <c r="K71" s="1"/>
      <c r="L71" s="1"/>
      <c r="M71" s="1"/>
    </row>
    <row r="72" spans="3:26">
      <c r="C72" s="1"/>
      <c r="D72" s="1"/>
      <c r="E72" s="1"/>
      <c r="F72" s="17"/>
      <c r="G72" s="1"/>
      <c r="H72" s="599"/>
      <c r="I72" s="599"/>
      <c r="J72" s="1"/>
      <c r="K72" s="1"/>
      <c r="L72" s="1"/>
      <c r="M72" s="1"/>
    </row>
    <row r="73" spans="3:26">
      <c r="C73" s="1"/>
      <c r="D73" s="1"/>
      <c r="E73" s="1"/>
      <c r="F73" s="17"/>
      <c r="G73" s="1"/>
      <c r="H73" s="599"/>
      <c r="I73" s="599"/>
      <c r="J73" s="1"/>
      <c r="K73" s="1"/>
      <c r="L73" s="1"/>
      <c r="M73" s="1"/>
    </row>
    <row r="74" spans="3:26">
      <c r="C74" s="1"/>
      <c r="D74" s="1"/>
      <c r="E74" s="1"/>
      <c r="F74" s="17"/>
      <c r="G74" s="1"/>
      <c r="H74" s="599"/>
      <c r="I74" s="599"/>
      <c r="J74" s="1"/>
      <c r="K74" s="1"/>
      <c r="L74" s="1"/>
      <c r="M74" s="1"/>
    </row>
    <row r="75" spans="3:26">
      <c r="C75" s="1"/>
      <c r="D75" s="1"/>
      <c r="E75" s="1"/>
      <c r="F75" s="17"/>
      <c r="G75" s="1"/>
      <c r="H75" s="599"/>
      <c r="I75" s="599"/>
      <c r="J75" s="1"/>
      <c r="K75" s="1"/>
      <c r="L75" s="1"/>
      <c r="M75" s="1"/>
    </row>
    <row r="76" spans="3:26">
      <c r="C76" s="1"/>
      <c r="D76" s="1"/>
      <c r="E76" s="1"/>
      <c r="F76" s="17"/>
      <c r="G76" s="1"/>
      <c r="H76" s="599"/>
      <c r="I76" s="599"/>
      <c r="J76" s="1"/>
      <c r="K76" s="1"/>
      <c r="L76" s="1"/>
      <c r="M76" s="1"/>
    </row>
    <row r="77" spans="3:26">
      <c r="C77" s="1"/>
      <c r="D77" s="1"/>
      <c r="E77" s="1"/>
      <c r="F77" s="17"/>
      <c r="G77" s="1"/>
      <c r="H77" s="599"/>
      <c r="I77" s="599"/>
      <c r="J77" s="1"/>
      <c r="K77" s="1"/>
      <c r="L77" s="1"/>
      <c r="M77" s="1"/>
    </row>
    <row r="78" spans="3:26">
      <c r="C78" s="1"/>
      <c r="D78" s="1"/>
      <c r="E78" s="1"/>
      <c r="F78" s="17"/>
      <c r="G78" s="1"/>
      <c r="H78" s="599"/>
      <c r="I78" s="599"/>
      <c r="J78" s="1"/>
      <c r="K78" s="1"/>
      <c r="L78" s="1"/>
      <c r="M78" s="1"/>
    </row>
    <row r="79" spans="3:26">
      <c r="C79" s="1"/>
      <c r="D79" s="1"/>
      <c r="E79" s="1"/>
      <c r="F79" s="17"/>
      <c r="G79" s="1"/>
      <c r="H79" s="599"/>
      <c r="I79" s="599"/>
      <c r="J79" s="1"/>
      <c r="K79" s="1"/>
      <c r="L79" s="1"/>
      <c r="M79" s="1"/>
    </row>
    <row r="80" spans="3:26">
      <c r="C80" s="1"/>
      <c r="D80" s="1"/>
      <c r="E80" s="1"/>
      <c r="F80" s="17"/>
      <c r="G80" s="1"/>
      <c r="H80" s="599"/>
      <c r="I80" s="599"/>
      <c r="J80" s="1"/>
      <c r="K80" s="1"/>
      <c r="L80" s="1"/>
      <c r="M80" s="1"/>
    </row>
    <row r="81" spans="3:13">
      <c r="C81" s="1"/>
      <c r="D81" s="1"/>
      <c r="E81" s="1"/>
      <c r="F81" s="17"/>
      <c r="G81" s="1"/>
      <c r="H81" s="599"/>
      <c r="I81" s="599"/>
      <c r="J81" s="1"/>
      <c r="K81" s="1"/>
      <c r="L81" s="1"/>
      <c r="M81" s="1"/>
    </row>
    <row r="82" spans="3:13">
      <c r="C82" s="1"/>
      <c r="D82" s="1"/>
      <c r="E82" s="1"/>
      <c r="F82" s="17"/>
      <c r="G82" s="1"/>
      <c r="H82" s="599"/>
      <c r="I82" s="599"/>
      <c r="J82" s="1"/>
      <c r="K82" s="1"/>
      <c r="L82" s="1"/>
      <c r="M82" s="1"/>
    </row>
    <row r="83" spans="3:13">
      <c r="C83" s="1"/>
      <c r="D83" s="1"/>
      <c r="E83" s="1"/>
      <c r="F83" s="17"/>
      <c r="G83" s="1"/>
      <c r="H83" s="599"/>
      <c r="I83" s="599"/>
      <c r="J83" s="1"/>
      <c r="K83" s="1"/>
      <c r="L83" s="1"/>
      <c r="M83" s="1"/>
    </row>
    <row r="84" spans="3:13">
      <c r="C84" s="1"/>
      <c r="D84" s="1"/>
      <c r="E84" s="1"/>
      <c r="F84" s="17"/>
      <c r="G84" s="1"/>
      <c r="H84" s="599"/>
      <c r="I84" s="599"/>
      <c r="J84" s="1"/>
      <c r="K84" s="1"/>
      <c r="L84" s="1"/>
      <c r="M84" s="1"/>
    </row>
    <row r="85" spans="3:13">
      <c r="C85" s="1"/>
      <c r="D85" s="1"/>
      <c r="E85" s="1"/>
      <c r="F85" s="17"/>
      <c r="G85" s="1"/>
      <c r="H85" s="599"/>
      <c r="I85" s="599"/>
      <c r="J85" s="1"/>
      <c r="K85" s="1"/>
      <c r="L85" s="1"/>
      <c r="M85" s="1"/>
    </row>
    <row r="86" spans="3:13">
      <c r="C86" s="1"/>
      <c r="D86" s="1"/>
      <c r="E86" s="1"/>
      <c r="F86" s="17"/>
      <c r="G86" s="1"/>
      <c r="H86" s="599"/>
      <c r="I86" s="599"/>
      <c r="J86" s="1"/>
      <c r="K86" s="1"/>
      <c r="L86" s="1"/>
      <c r="M86" s="1"/>
    </row>
    <row r="87" spans="3:13">
      <c r="C87" s="1"/>
      <c r="D87" s="1"/>
      <c r="E87" s="1"/>
      <c r="F87" s="17"/>
      <c r="G87" s="1"/>
      <c r="H87" s="599"/>
      <c r="I87" s="599"/>
      <c r="J87" s="1"/>
      <c r="K87" s="1"/>
      <c r="L87" s="1"/>
      <c r="M87" s="1"/>
    </row>
    <row r="88" spans="3:13">
      <c r="C88" s="1"/>
      <c r="D88" s="1"/>
      <c r="E88" s="1"/>
      <c r="F88" s="17"/>
      <c r="G88" s="1"/>
      <c r="H88" s="599"/>
      <c r="I88" s="599"/>
      <c r="J88" s="1"/>
      <c r="K88" s="1"/>
      <c r="L88" s="1"/>
      <c r="M88" s="1"/>
    </row>
    <row r="89" spans="3:13">
      <c r="C89" s="1"/>
      <c r="D89" s="1"/>
      <c r="E89" s="1"/>
      <c r="F89" s="17"/>
      <c r="G89" s="1"/>
      <c r="H89" s="599"/>
      <c r="I89" s="599"/>
      <c r="J89" s="1"/>
      <c r="K89" s="1"/>
      <c r="L89" s="1"/>
      <c r="M89" s="1"/>
    </row>
    <row r="90" spans="3:13">
      <c r="C90" s="1"/>
      <c r="D90" s="1"/>
      <c r="E90" s="1"/>
      <c r="F90" s="17"/>
      <c r="G90" s="1"/>
      <c r="H90" s="599"/>
      <c r="I90" s="599"/>
      <c r="J90" s="1"/>
      <c r="K90" s="1"/>
      <c r="L90" s="1"/>
      <c r="M90" s="1"/>
    </row>
    <row r="91" spans="3:13">
      <c r="C91" s="1"/>
      <c r="D91" s="1"/>
      <c r="E91" s="1"/>
      <c r="F91" s="17"/>
      <c r="G91" s="1"/>
      <c r="H91" s="599"/>
      <c r="I91" s="599"/>
      <c r="J91" s="1"/>
      <c r="K91" s="1"/>
      <c r="L91" s="1"/>
      <c r="M91" s="1"/>
    </row>
    <row r="92" spans="3:13">
      <c r="C92" s="1"/>
      <c r="D92" s="1"/>
      <c r="E92" s="1"/>
      <c r="F92" s="17"/>
      <c r="G92" s="1"/>
      <c r="H92" s="599"/>
      <c r="I92" s="599"/>
      <c r="J92" s="1"/>
      <c r="K92" s="1"/>
      <c r="L92" s="1"/>
      <c r="M92" s="1"/>
    </row>
    <row r="93" spans="3:13">
      <c r="C93" s="1"/>
      <c r="D93" s="1"/>
      <c r="E93" s="1"/>
      <c r="F93" s="17"/>
      <c r="G93" s="1"/>
      <c r="H93" s="599"/>
      <c r="I93" s="599"/>
      <c r="J93" s="1"/>
      <c r="K93" s="1"/>
      <c r="L93" s="1"/>
      <c r="M93" s="1"/>
    </row>
    <row r="94" spans="3:13">
      <c r="C94" s="1"/>
      <c r="D94" s="1"/>
      <c r="E94" s="1"/>
      <c r="F94" s="17"/>
      <c r="G94" s="1"/>
      <c r="H94" s="599"/>
      <c r="I94" s="599"/>
      <c r="J94" s="1"/>
      <c r="K94" s="1"/>
      <c r="L94" s="1"/>
      <c r="M94" s="1"/>
    </row>
    <row r="95" spans="3:13">
      <c r="C95" s="1"/>
      <c r="D95" s="1"/>
      <c r="E95" s="1"/>
      <c r="F95" s="17"/>
      <c r="G95" s="1"/>
      <c r="H95" s="599"/>
      <c r="I95" s="599"/>
      <c r="J95" s="1"/>
      <c r="K95" s="1"/>
      <c r="L95" s="1"/>
      <c r="M95" s="1"/>
    </row>
    <row r="96" spans="3:13">
      <c r="C96" s="1"/>
      <c r="D96" s="1"/>
      <c r="E96" s="1"/>
      <c r="F96" s="17"/>
      <c r="G96" s="1"/>
      <c r="H96" s="599"/>
      <c r="I96" s="599"/>
      <c r="J96" s="1"/>
      <c r="K96" s="1"/>
      <c r="L96" s="1"/>
      <c r="M96" s="1"/>
    </row>
    <row r="97" spans="3:13">
      <c r="C97" s="1"/>
      <c r="D97" s="1"/>
      <c r="E97" s="1"/>
      <c r="F97" s="17"/>
      <c r="G97" s="1"/>
      <c r="H97" s="599"/>
      <c r="I97" s="599"/>
      <c r="J97" s="1"/>
      <c r="K97" s="1"/>
      <c r="L97" s="1"/>
      <c r="M97" s="1"/>
    </row>
    <row r="98" spans="3:13">
      <c r="C98" s="1"/>
      <c r="D98" s="1"/>
      <c r="E98" s="1"/>
      <c r="F98" s="17"/>
      <c r="G98" s="1"/>
      <c r="H98" s="599"/>
      <c r="I98" s="599"/>
      <c r="J98" s="1"/>
      <c r="K98" s="1"/>
      <c r="L98" s="1"/>
      <c r="M98" s="1"/>
    </row>
    <row r="99" spans="3:13">
      <c r="C99" s="1"/>
      <c r="D99" s="1"/>
      <c r="E99" s="1"/>
      <c r="F99" s="17"/>
      <c r="G99" s="1"/>
      <c r="H99" s="599"/>
      <c r="I99" s="599"/>
      <c r="J99" s="1"/>
      <c r="K99" s="1"/>
      <c r="L99" s="1"/>
      <c r="M99" s="1"/>
    </row>
    <row r="100" spans="3:13">
      <c r="C100" s="1"/>
      <c r="D100" s="1"/>
      <c r="E100" s="1"/>
      <c r="F100" s="17"/>
      <c r="G100" s="1"/>
      <c r="H100" s="599"/>
      <c r="I100" s="599"/>
      <c r="J100" s="1"/>
      <c r="K100" s="1"/>
      <c r="L100" s="1"/>
      <c r="M100" s="1"/>
    </row>
    <row r="101" spans="3:13">
      <c r="C101" s="1"/>
      <c r="D101" s="1"/>
      <c r="E101" s="1"/>
      <c r="F101" s="17"/>
      <c r="G101" s="1"/>
      <c r="H101" s="599"/>
      <c r="I101" s="599"/>
      <c r="J101" s="1"/>
      <c r="K101" s="1"/>
      <c r="L101" s="1"/>
      <c r="M101" s="1"/>
    </row>
    <row r="102" spans="3:13">
      <c r="C102" s="1"/>
      <c r="D102" s="1"/>
      <c r="E102" s="1"/>
      <c r="F102" s="17"/>
      <c r="G102" s="1"/>
      <c r="H102" s="599"/>
      <c r="I102" s="599"/>
      <c r="J102" s="1"/>
      <c r="K102" s="1"/>
      <c r="L102" s="1"/>
      <c r="M102" s="1"/>
    </row>
    <row r="103" spans="3:13">
      <c r="C103" s="1"/>
      <c r="D103" s="1"/>
      <c r="E103" s="1"/>
      <c r="F103" s="17"/>
      <c r="G103" s="1"/>
      <c r="H103" s="599"/>
      <c r="I103" s="599"/>
      <c r="J103" s="1"/>
      <c r="K103" s="1"/>
      <c r="L103" s="1"/>
      <c r="M103" s="1"/>
    </row>
    <row r="104" spans="3:13">
      <c r="C104" s="1"/>
      <c r="D104" s="1"/>
      <c r="E104" s="1"/>
      <c r="F104" s="17"/>
      <c r="G104" s="1"/>
      <c r="H104" s="599"/>
      <c r="I104" s="599"/>
      <c r="J104" s="1"/>
      <c r="K104" s="1"/>
      <c r="L104" s="1"/>
      <c r="M104" s="1"/>
    </row>
    <row r="105" spans="3:13">
      <c r="C105" s="1"/>
      <c r="D105" s="1"/>
      <c r="E105" s="1"/>
      <c r="F105" s="17"/>
      <c r="G105" s="1"/>
      <c r="H105" s="599"/>
      <c r="I105" s="599"/>
      <c r="J105" s="1"/>
      <c r="K105" s="1"/>
      <c r="L105" s="1"/>
      <c r="M105" s="1"/>
    </row>
    <row r="106" spans="3:13">
      <c r="C106" s="1"/>
      <c r="D106" s="1"/>
      <c r="E106" s="1"/>
      <c r="F106" s="17"/>
      <c r="G106" s="1"/>
      <c r="H106" s="599"/>
      <c r="I106" s="599"/>
      <c r="J106" s="1"/>
      <c r="K106" s="1"/>
      <c r="L106" s="1"/>
      <c r="M106" s="1"/>
    </row>
    <row r="107" spans="3:13">
      <c r="C107" s="1"/>
      <c r="D107" s="1"/>
      <c r="E107" s="1"/>
      <c r="F107" s="17"/>
      <c r="G107" s="1"/>
      <c r="H107" s="599"/>
      <c r="I107" s="599"/>
      <c r="J107" s="1"/>
      <c r="K107" s="1"/>
      <c r="L107" s="1"/>
      <c r="M107" s="1"/>
    </row>
    <row r="108" spans="3:13">
      <c r="C108" s="1"/>
      <c r="D108" s="1"/>
      <c r="E108" s="1"/>
      <c r="F108" s="17"/>
      <c r="G108" s="1"/>
      <c r="H108" s="599"/>
      <c r="I108" s="599"/>
      <c r="J108" s="1"/>
      <c r="K108" s="1"/>
      <c r="L108" s="1"/>
      <c r="M108" s="1"/>
    </row>
    <row r="109" spans="3:13">
      <c r="C109" s="1"/>
      <c r="D109" s="1"/>
      <c r="E109" s="1"/>
      <c r="F109" s="17"/>
      <c r="G109" s="1"/>
      <c r="H109" s="599"/>
      <c r="I109" s="599"/>
      <c r="J109" s="1"/>
      <c r="K109" s="1"/>
      <c r="L109" s="1"/>
      <c r="M109" s="1"/>
    </row>
    <row r="110" spans="3:13">
      <c r="C110" s="1"/>
      <c r="D110" s="1"/>
      <c r="E110" s="1"/>
      <c r="F110" s="17"/>
      <c r="G110" s="1"/>
      <c r="H110" s="599"/>
      <c r="I110" s="599"/>
      <c r="J110" s="1"/>
      <c r="K110" s="1"/>
      <c r="L110" s="1"/>
      <c r="M110" s="1"/>
    </row>
    <row r="111" spans="3:13">
      <c r="C111" s="1"/>
      <c r="D111" s="1"/>
      <c r="E111" s="1"/>
      <c r="F111" s="17"/>
      <c r="G111" s="1"/>
      <c r="H111" s="599"/>
      <c r="I111" s="599"/>
      <c r="J111" s="1"/>
      <c r="K111" s="1"/>
      <c r="L111" s="1"/>
      <c r="M111" s="1"/>
    </row>
    <row r="112" spans="3:13">
      <c r="C112" s="1"/>
      <c r="D112" s="1"/>
      <c r="E112" s="1"/>
      <c r="F112" s="17"/>
      <c r="G112" s="1"/>
      <c r="H112" s="599"/>
      <c r="I112" s="599"/>
      <c r="J112" s="1"/>
      <c r="K112" s="1"/>
      <c r="L112" s="1"/>
      <c r="M112" s="1"/>
    </row>
    <row r="113" spans="3:13">
      <c r="C113" s="1"/>
      <c r="D113" s="1"/>
      <c r="E113" s="1"/>
      <c r="F113" s="17"/>
      <c r="G113" s="1"/>
      <c r="H113" s="599"/>
      <c r="I113" s="599"/>
      <c r="J113" s="1"/>
      <c r="K113" s="1"/>
      <c r="L113" s="1"/>
      <c r="M113" s="1"/>
    </row>
    <row r="114" spans="3:13">
      <c r="C114" s="1"/>
      <c r="D114" s="1"/>
      <c r="E114" s="1"/>
      <c r="F114" s="17"/>
      <c r="G114" s="1"/>
      <c r="H114" s="599"/>
      <c r="I114" s="599"/>
      <c r="J114" s="1"/>
      <c r="K114" s="1"/>
      <c r="L114" s="1"/>
      <c r="M114" s="1"/>
    </row>
    <row r="115" spans="3:13">
      <c r="C115" s="1"/>
      <c r="D115" s="1"/>
      <c r="E115" s="1"/>
      <c r="F115" s="17"/>
      <c r="G115" s="1"/>
      <c r="H115" s="599"/>
      <c r="I115" s="599"/>
      <c r="J115" s="1"/>
      <c r="K115" s="1"/>
      <c r="L115" s="1"/>
      <c r="M115" s="1"/>
    </row>
    <row r="116" spans="3:13">
      <c r="C116" s="1"/>
      <c r="D116" s="1"/>
      <c r="E116" s="1"/>
      <c r="F116" s="17"/>
      <c r="G116" s="1"/>
      <c r="H116" s="599"/>
      <c r="I116" s="599"/>
      <c r="J116" s="1"/>
      <c r="K116" s="1"/>
      <c r="L116" s="1"/>
      <c r="M116" s="1"/>
    </row>
    <row r="117" spans="3:13">
      <c r="C117" s="1"/>
      <c r="D117" s="1"/>
      <c r="E117" s="1"/>
      <c r="F117" s="17"/>
      <c r="G117" s="1"/>
      <c r="H117" s="599"/>
      <c r="I117" s="599"/>
      <c r="J117" s="1"/>
      <c r="K117" s="1"/>
      <c r="L117" s="1"/>
      <c r="M117" s="1"/>
    </row>
    <row r="118" spans="3:13">
      <c r="C118" s="1"/>
      <c r="D118" s="1"/>
      <c r="E118" s="1"/>
      <c r="F118" s="17"/>
      <c r="G118" s="1"/>
      <c r="H118" s="599"/>
      <c r="I118" s="599"/>
      <c r="J118" s="1"/>
      <c r="K118" s="1"/>
      <c r="L118" s="1"/>
      <c r="M118" s="1"/>
    </row>
    <row r="119" spans="3:13">
      <c r="C119" s="1"/>
      <c r="D119" s="1"/>
      <c r="E119" s="1"/>
      <c r="F119" s="17"/>
      <c r="G119" s="1"/>
      <c r="H119" s="599"/>
      <c r="I119" s="599"/>
      <c r="J119" s="1"/>
      <c r="K119" s="1"/>
      <c r="L119" s="1"/>
      <c r="M119" s="1"/>
    </row>
    <row r="120" spans="3:13">
      <c r="C120" s="1"/>
      <c r="D120" s="1"/>
      <c r="E120" s="1"/>
      <c r="F120" s="17"/>
      <c r="G120" s="1"/>
      <c r="H120" s="599"/>
      <c r="I120" s="599"/>
      <c r="J120" s="1"/>
      <c r="K120" s="1"/>
      <c r="L120" s="1"/>
      <c r="M120" s="1"/>
    </row>
    <row r="121" spans="3:13">
      <c r="C121" s="1"/>
      <c r="D121" s="1"/>
      <c r="E121" s="1"/>
      <c r="F121" s="17"/>
      <c r="G121" s="1"/>
      <c r="H121" s="599"/>
      <c r="I121" s="599"/>
      <c r="J121" s="1"/>
      <c r="K121" s="1"/>
      <c r="L121" s="1"/>
      <c r="M121" s="1"/>
    </row>
    <row r="122" spans="3:13">
      <c r="C122" s="1"/>
      <c r="D122" s="1"/>
      <c r="E122" s="1"/>
      <c r="F122" s="17"/>
      <c r="G122" s="1"/>
      <c r="H122" s="599"/>
      <c r="I122" s="599"/>
      <c r="J122" s="1"/>
      <c r="K122" s="1"/>
      <c r="L122" s="1"/>
      <c r="M122" s="1"/>
    </row>
    <row r="123" spans="3:13">
      <c r="C123" s="1"/>
      <c r="D123" s="1"/>
      <c r="E123" s="1"/>
      <c r="F123" s="17"/>
      <c r="G123" s="1"/>
      <c r="H123" s="599"/>
      <c r="I123" s="599"/>
      <c r="J123" s="1"/>
      <c r="K123" s="1"/>
      <c r="L123" s="1"/>
      <c r="M123" s="1"/>
    </row>
    <row r="124" spans="3:13">
      <c r="C124" s="1"/>
      <c r="D124" s="1"/>
      <c r="E124" s="1"/>
      <c r="F124" s="17"/>
      <c r="G124" s="1"/>
      <c r="H124" s="599"/>
      <c r="I124" s="599"/>
      <c r="J124" s="1"/>
      <c r="K124" s="1"/>
      <c r="L124" s="1"/>
      <c r="M124" s="1"/>
    </row>
    <row r="125" spans="3:13">
      <c r="C125" s="1"/>
      <c r="D125" s="1"/>
      <c r="E125" s="1"/>
      <c r="F125" s="17"/>
      <c r="G125" s="1"/>
      <c r="H125" s="599"/>
      <c r="I125" s="599"/>
      <c r="J125" s="1"/>
      <c r="K125" s="1"/>
      <c r="L125" s="1"/>
      <c r="M125" s="1"/>
    </row>
    <row r="126" spans="3:13">
      <c r="C126" s="1"/>
      <c r="D126" s="1"/>
      <c r="E126" s="1"/>
      <c r="F126" s="17"/>
      <c r="G126" s="1"/>
      <c r="H126" s="599"/>
      <c r="I126" s="599"/>
      <c r="J126" s="1"/>
      <c r="K126" s="1"/>
      <c r="L126" s="1"/>
      <c r="M126" s="1"/>
    </row>
    <row r="127" spans="3:13">
      <c r="C127" s="1"/>
      <c r="D127" s="1"/>
      <c r="E127" s="1"/>
      <c r="F127" s="17"/>
      <c r="G127" s="1"/>
      <c r="H127" s="599"/>
      <c r="I127" s="599"/>
      <c r="J127" s="1"/>
      <c r="K127" s="1"/>
      <c r="L127" s="1"/>
      <c r="M127" s="1"/>
    </row>
    <row r="128" spans="3:13">
      <c r="C128" s="1"/>
      <c r="D128" s="1"/>
      <c r="E128" s="1"/>
      <c r="F128" s="17"/>
      <c r="G128" s="1"/>
      <c r="H128" s="599"/>
      <c r="I128" s="599"/>
      <c r="J128" s="1"/>
      <c r="K128" s="1"/>
      <c r="L128" s="1"/>
      <c r="M128" s="1"/>
    </row>
    <row r="129" spans="3:13">
      <c r="C129" s="1"/>
      <c r="D129" s="1"/>
      <c r="E129" s="1"/>
      <c r="F129" s="17"/>
      <c r="G129" s="1"/>
      <c r="H129" s="599"/>
      <c r="I129" s="599"/>
      <c r="J129" s="1"/>
      <c r="K129" s="1"/>
      <c r="L129" s="1"/>
      <c r="M129" s="1"/>
    </row>
    <row r="130" spans="3:13">
      <c r="C130" s="1"/>
      <c r="D130" s="1"/>
      <c r="E130" s="1"/>
      <c r="F130" s="17"/>
      <c r="G130" s="1"/>
      <c r="H130" s="599"/>
      <c r="I130" s="599"/>
      <c r="J130" s="1"/>
      <c r="K130" s="1"/>
      <c r="L130" s="1"/>
      <c r="M130" s="1"/>
    </row>
    <row r="131" spans="3:13">
      <c r="C131" s="1"/>
      <c r="D131" s="1"/>
      <c r="E131" s="1"/>
      <c r="F131" s="17"/>
      <c r="G131" s="1"/>
      <c r="H131" s="599"/>
      <c r="I131" s="599"/>
      <c r="J131" s="1"/>
      <c r="K131" s="1"/>
      <c r="L131" s="1"/>
      <c r="M131" s="1"/>
    </row>
    <row r="132" spans="3:13">
      <c r="C132" s="1"/>
      <c r="D132" s="1"/>
      <c r="E132" s="1"/>
      <c r="F132" s="17"/>
      <c r="G132" s="1"/>
      <c r="H132" s="599"/>
      <c r="I132" s="599"/>
      <c r="J132" s="1"/>
      <c r="K132" s="1"/>
      <c r="L132" s="1"/>
      <c r="M132" s="1"/>
    </row>
    <row r="133" spans="3:13">
      <c r="C133" s="1"/>
      <c r="D133" s="1"/>
      <c r="E133" s="1"/>
      <c r="F133" s="17"/>
      <c r="G133" s="1"/>
      <c r="H133" s="599"/>
      <c r="I133" s="599"/>
      <c r="J133" s="1"/>
      <c r="K133" s="1"/>
      <c r="L133" s="1"/>
      <c r="M133" s="1"/>
    </row>
    <row r="134" spans="3:13">
      <c r="C134" s="1"/>
      <c r="D134" s="1"/>
      <c r="E134" s="1"/>
      <c r="F134" s="17"/>
      <c r="G134" s="1"/>
      <c r="H134" s="599"/>
      <c r="I134" s="599"/>
      <c r="J134" s="1"/>
      <c r="K134" s="1"/>
      <c r="L134" s="1"/>
      <c r="M134" s="1"/>
    </row>
    <row r="135" spans="3:13">
      <c r="C135" s="1"/>
      <c r="D135" s="1"/>
      <c r="E135" s="1"/>
      <c r="F135" s="17"/>
      <c r="G135" s="1"/>
      <c r="H135" s="599"/>
      <c r="I135" s="599"/>
      <c r="J135" s="1"/>
      <c r="K135" s="1"/>
      <c r="L135" s="1"/>
      <c r="M135" s="1"/>
    </row>
    <row r="136" spans="3:13">
      <c r="C136" s="1"/>
      <c r="D136" s="1"/>
      <c r="E136" s="1"/>
      <c r="F136" s="17"/>
      <c r="G136" s="1"/>
      <c r="H136" s="599"/>
      <c r="I136" s="599"/>
      <c r="J136" s="1"/>
      <c r="K136" s="1"/>
      <c r="L136" s="1"/>
      <c r="M136" s="1"/>
    </row>
    <row r="137" spans="3:13">
      <c r="C137" s="1"/>
      <c r="D137" s="1"/>
      <c r="E137" s="1"/>
      <c r="F137" s="17"/>
      <c r="G137" s="1"/>
      <c r="H137" s="599"/>
      <c r="I137" s="599"/>
      <c r="J137" s="1"/>
      <c r="K137" s="1"/>
      <c r="L137" s="1"/>
      <c r="M137" s="1"/>
    </row>
    <row r="138" spans="3:13">
      <c r="C138" s="1"/>
      <c r="D138" s="1"/>
      <c r="E138" s="1"/>
      <c r="F138" s="17"/>
      <c r="G138" s="1"/>
      <c r="H138" s="599"/>
      <c r="I138" s="599"/>
      <c r="J138" s="1"/>
      <c r="K138" s="1"/>
      <c r="L138" s="1"/>
      <c r="M138" s="1"/>
    </row>
    <row r="139" spans="3:13">
      <c r="C139" s="1"/>
      <c r="D139" s="1"/>
      <c r="E139" s="1"/>
      <c r="F139" s="17"/>
      <c r="G139" s="1"/>
      <c r="H139" s="599"/>
      <c r="I139" s="599"/>
      <c r="J139" s="1"/>
      <c r="K139" s="1"/>
      <c r="L139" s="1"/>
      <c r="M139" s="1"/>
    </row>
    <row r="140" spans="3:13">
      <c r="C140" s="1"/>
      <c r="D140" s="1"/>
      <c r="E140" s="1"/>
      <c r="F140" s="17"/>
      <c r="G140" s="1"/>
      <c r="H140" s="599"/>
      <c r="I140" s="599"/>
      <c r="J140" s="1"/>
      <c r="K140" s="1"/>
      <c r="L140" s="1"/>
      <c r="M140" s="1"/>
    </row>
    <row r="141" spans="3:13">
      <c r="C141" s="1"/>
      <c r="D141" s="1"/>
      <c r="E141" s="1"/>
      <c r="F141" s="17"/>
      <c r="G141" s="1"/>
      <c r="H141" s="599"/>
      <c r="I141" s="599"/>
      <c r="J141" s="1"/>
      <c r="K141" s="1"/>
      <c r="L141" s="1"/>
      <c r="M141" s="1"/>
    </row>
    <row r="142" spans="3:13">
      <c r="C142" s="1"/>
      <c r="D142" s="1"/>
      <c r="E142" s="1"/>
      <c r="F142" s="17"/>
      <c r="G142" s="1"/>
      <c r="H142" s="599"/>
      <c r="I142" s="599"/>
      <c r="J142" s="1"/>
      <c r="K142" s="1"/>
      <c r="L142" s="1"/>
      <c r="M142" s="1"/>
    </row>
    <row r="143" spans="3:13">
      <c r="C143" s="1"/>
      <c r="D143" s="1"/>
      <c r="E143" s="1"/>
      <c r="F143" s="17"/>
      <c r="G143" s="1"/>
      <c r="H143" s="599"/>
      <c r="I143" s="599"/>
      <c r="J143" s="1"/>
      <c r="K143" s="1"/>
      <c r="L143" s="1"/>
      <c r="M143" s="1"/>
    </row>
    <row r="144" spans="3:13">
      <c r="C144" s="1"/>
      <c r="D144" s="1"/>
      <c r="E144" s="1"/>
      <c r="F144" s="17"/>
      <c r="G144" s="1"/>
      <c r="H144" s="599"/>
      <c r="I144" s="599"/>
      <c r="J144" s="1"/>
      <c r="K144" s="1"/>
      <c r="L144" s="1"/>
      <c r="M144" s="1"/>
    </row>
    <row r="145" spans="5:13">
      <c r="E145" s="1"/>
      <c r="F145" s="17"/>
      <c r="G145" s="1"/>
      <c r="H145" s="599"/>
      <c r="I145" s="599"/>
      <c r="J145" s="1"/>
      <c r="K145" s="1"/>
      <c r="L145" s="1"/>
      <c r="M145" s="1"/>
    </row>
    <row r="146" spans="5:13">
      <c r="E146" s="1"/>
      <c r="F146" s="17"/>
      <c r="G146" s="1"/>
      <c r="H146" s="599"/>
      <c r="I146" s="599"/>
      <c r="J146" s="1"/>
      <c r="K146" s="1"/>
      <c r="L146" s="1"/>
      <c r="M146" s="1"/>
    </row>
  </sheetData>
  <mergeCells count="4">
    <mergeCell ref="C1:C2"/>
    <mergeCell ref="H1:R5"/>
    <mergeCell ref="X11:Y11"/>
    <mergeCell ref="W32:X32"/>
  </mergeCells>
  <conditionalFormatting sqref="A8">
    <cfRule type="containsBlanks" dxfId="261" priority="1">
      <formula>LEN(TRIM(A8))=0</formula>
    </cfRule>
  </conditionalFormatting>
  <conditionalFormatting sqref="B8:E41 B42:B55">
    <cfRule type="containsBlanks" dxfId="260" priority="2">
      <formula>LEN(TRIM(B8))=0</formula>
    </cfRule>
  </conditionalFormatting>
  <conditionalFormatting sqref="F9:M9 F10:H34 I10:J36 L10:L55 G35:H36 F35:F41 G39:H54 I39:J63 C42:F44 C45:D47 F45:F47 E45:E48 G55 H55:H63">
    <cfRule type="containsBlanks" dxfId="259" priority="40">
      <formula>LEN(TRIM(C9))=0</formula>
    </cfRule>
  </conditionalFormatting>
  <conditionalFormatting sqref="F8:N8">
    <cfRule type="containsBlanks" dxfId="258" priority="3">
      <formula>LEN(TRIM(F8))=0</formula>
    </cfRule>
  </conditionalFormatting>
  <conditionalFormatting sqref="G37:G38 G39:H54 G10:J36 G9:M9 J37:J38 K10:M55 G55 H55:H63 I39:J63 K56:K63">
    <cfRule type="colorScale" priority="41">
      <colorScale>
        <cfvo type="min"/>
        <cfvo type="percentile" val="50"/>
        <cfvo type="max"/>
        <color rgb="FFF8696B"/>
        <color rgb="FFFFEB84"/>
        <color rgb="FF63BE7B"/>
      </colorScale>
    </cfRule>
  </conditionalFormatting>
  <conditionalFormatting sqref="G56:G63 K56:M63">
    <cfRule type="colorScale" priority="42">
      <colorScale>
        <cfvo type="min"/>
        <cfvo type="percentile" val="50"/>
        <cfvo type="max"/>
        <color rgb="FFF8696B"/>
        <color rgb="FFFFEB84"/>
        <color rgb="FF63BE7B"/>
      </colorScale>
    </cfRule>
  </conditionalFormatting>
  <conditionalFormatting sqref="G37:J38">
    <cfRule type="containsBlanks" dxfId="257" priority="37">
      <formula>LEN(TRIM(G37))=0</formula>
    </cfRule>
  </conditionalFormatting>
  <conditionalFormatting sqref="H37:I38">
    <cfRule type="colorScale" priority="38">
      <colorScale>
        <cfvo type="min"/>
        <cfvo type="percentile" val="50"/>
        <cfvo type="max"/>
        <color rgb="FFF8696B"/>
        <color rgb="FFFFEB84"/>
        <color rgb="FF63BE7B"/>
      </colorScale>
    </cfRule>
  </conditionalFormatting>
  <conditionalFormatting sqref="K10:M63 B56:G58 B59:B63 E59:G63">
    <cfRule type="containsBlanks" dxfId="256" priority="39">
      <formula>LEN(TRIM(B10))=0</formula>
    </cfRule>
  </conditionalFormatting>
  <conditionalFormatting sqref="N9:N66">
    <cfRule type="dataBar" priority="4">
      <dataBar>
        <cfvo type="min"/>
        <cfvo type="max"/>
        <color rgb="FF638EC6"/>
      </dataBar>
      <extLst>
        <ext xmlns:x14="http://schemas.microsoft.com/office/spreadsheetml/2009/9/main" uri="{B025F937-C7B1-47D3-B67F-A62EFF666E3E}">
          <x14:id>{AF68E340-FDD3-4E7F-8B4E-90BEFDBB473B}</x14:id>
        </ext>
      </extLst>
    </cfRule>
    <cfRule type="colorScale" priority="5">
      <colorScale>
        <cfvo type="min"/>
        <cfvo type="percentile" val="50"/>
        <cfvo type="max"/>
        <color rgb="FFF8696B"/>
        <color rgb="FFFCFCFF"/>
        <color rgb="FF63BE7B"/>
      </colorScale>
    </cfRule>
    <cfRule type="colorScale" priority="7">
      <colorScale>
        <cfvo type="min"/>
        <cfvo type="percentile" val="50"/>
        <cfvo type="max"/>
        <color rgb="FFF8696B"/>
        <color rgb="FFFFEB84"/>
        <color rgb="FF63BE7B"/>
      </colorScale>
    </cfRule>
    <cfRule type="containsBlanks" dxfId="255" priority="6">
      <formula>LEN(TRIM(N9))=0</formula>
    </cfRule>
  </conditionalFormatting>
  <conditionalFormatting sqref="O9:Q63">
    <cfRule type="dataBar" priority="33">
      <dataBar>
        <cfvo type="min"/>
        <cfvo type="max"/>
        <color rgb="FF638EC6"/>
      </dataBar>
      <extLst>
        <ext xmlns:x14="http://schemas.microsoft.com/office/spreadsheetml/2009/9/main" uri="{B025F937-C7B1-47D3-B67F-A62EFF666E3E}">
          <x14:id>{559797FB-DF3C-4F42-A392-7EE60C10C0D1}</x14:id>
        </ext>
      </extLst>
    </cfRule>
    <cfRule type="colorScale" priority="34">
      <colorScale>
        <cfvo type="min"/>
        <cfvo type="percentile" val="50"/>
        <cfvo type="max"/>
        <color rgb="FFF8696B"/>
        <color rgb="FFFCFCFF"/>
        <color rgb="FF63BE7B"/>
      </colorScale>
    </cfRule>
    <cfRule type="containsBlanks" dxfId="254" priority="35">
      <formula>LEN(TRIM(O9))=0</formula>
    </cfRule>
    <cfRule type="colorScale" priority="36">
      <colorScale>
        <cfvo type="min"/>
        <cfvo type="percentile" val="50"/>
        <cfvo type="max"/>
        <color rgb="FFF8696B"/>
        <color rgb="FFFFEB84"/>
        <color rgb="FF63BE7B"/>
      </colorScale>
    </cfRule>
  </conditionalFormatting>
  <conditionalFormatting sqref="O8:R8">
    <cfRule type="containsBlanks" dxfId="253" priority="32">
      <formula>LEN(TRIM(O8))=0</formula>
    </cfRule>
  </conditionalFormatting>
  <conditionalFormatting sqref="R9:R63">
    <cfRule type="dataBar" priority="28">
      <dataBar>
        <cfvo type="min"/>
        <cfvo type="max"/>
        <color rgb="FF638EC6"/>
      </dataBar>
      <extLst>
        <ext xmlns:x14="http://schemas.microsoft.com/office/spreadsheetml/2009/9/main" uri="{B025F937-C7B1-47D3-B67F-A62EFF666E3E}">
          <x14:id>{22878896-84DA-448C-9B66-8367DCA2B783}</x14:id>
        </ext>
      </extLst>
    </cfRule>
    <cfRule type="colorScale" priority="29">
      <colorScale>
        <cfvo type="min"/>
        <cfvo type="percentile" val="50"/>
        <cfvo type="max"/>
        <color rgb="FFF8696B"/>
        <color rgb="FFFCFCFF"/>
        <color rgb="FF63BE7B"/>
      </colorScale>
    </cfRule>
    <cfRule type="containsBlanks" dxfId="252" priority="30">
      <formula>LEN(TRIM(R9))=0</formula>
    </cfRule>
    <cfRule type="colorScale" priority="31">
      <colorScale>
        <cfvo type="min"/>
        <cfvo type="percentile" val="50"/>
        <cfvo type="max"/>
        <color rgb="FFF8696B"/>
        <color rgb="FFFFEB84"/>
        <color rgb="FF63BE7B"/>
      </colorScale>
    </cfRule>
  </conditionalFormatting>
  <conditionalFormatting sqref="S8:U69">
    <cfRule type="containsBlanks" dxfId="251" priority="22">
      <formula>LEN(TRIM(S8))=0</formula>
    </cfRule>
  </conditionalFormatting>
  <conditionalFormatting sqref="S9:U69">
    <cfRule type="colorScale" priority="23">
      <colorScale>
        <cfvo type="min"/>
        <cfvo type="percentile" val="50"/>
        <cfvo type="max"/>
        <color rgb="FFF8696B"/>
        <color rgb="FFFFEB84"/>
        <color rgb="FF63BE7B"/>
      </colorScale>
    </cfRule>
    <cfRule type="colorScale" priority="21">
      <colorScale>
        <cfvo type="min"/>
        <cfvo type="percentile" val="50"/>
        <cfvo type="max"/>
        <color rgb="FFF8696B"/>
        <color rgb="FFFCFCFF"/>
        <color rgb="FF63BE7B"/>
      </colorScale>
    </cfRule>
    <cfRule type="dataBar" priority="20">
      <dataBar>
        <cfvo type="min"/>
        <cfvo type="max"/>
        <color rgb="FF638EC6"/>
      </dataBar>
      <extLst>
        <ext xmlns:x14="http://schemas.microsoft.com/office/spreadsheetml/2009/9/main" uri="{B025F937-C7B1-47D3-B67F-A62EFF666E3E}">
          <x14:id>{0568A7A9-C2F3-4FB9-B1B8-66B8B7F0B2C7}</x14:id>
        </ext>
      </extLst>
    </cfRule>
  </conditionalFormatting>
  <conditionalFormatting sqref="V8:V69">
    <cfRule type="containsBlanks" dxfId="250" priority="14">
      <formula>LEN(TRIM(V8))=0</formula>
    </cfRule>
  </conditionalFormatting>
  <conditionalFormatting sqref="V9:V69">
    <cfRule type="dataBar" priority="12">
      <dataBar>
        <cfvo type="min"/>
        <cfvo type="max"/>
        <color rgb="FF638EC6"/>
      </dataBar>
      <extLst>
        <ext xmlns:x14="http://schemas.microsoft.com/office/spreadsheetml/2009/9/main" uri="{B025F937-C7B1-47D3-B67F-A62EFF666E3E}">
          <x14:id>{9A1A66EC-37DF-4F0A-9015-6F477ECE18EF}</x14:id>
        </ext>
      </extLst>
    </cfRule>
    <cfRule type="colorScale" priority="13">
      <colorScale>
        <cfvo type="min"/>
        <cfvo type="percentile" val="50"/>
        <cfvo type="max"/>
        <color rgb="FFF8696B"/>
        <color rgb="FFFCFCFF"/>
        <color rgb="FF63BE7B"/>
      </colorScale>
    </cfRule>
    <cfRule type="colorScale" priority="15">
      <colorScale>
        <cfvo type="min"/>
        <cfvo type="percentile" val="50"/>
        <cfvo type="max"/>
        <color rgb="FFF8696B"/>
        <color rgb="FFFFEB84"/>
        <color rgb="FF63BE7B"/>
      </colorScale>
    </cfRule>
  </conditionalFormatting>
  <dataValidations count="5">
    <dataValidation type="list" allowBlank="1" showInputMessage="1" showErrorMessage="1" sqref="E9:E65" xr:uid="{A7F68986-B623-4C85-8B1C-DB59AD11A47E}">
      <formula1>$AE$4:$AE$5</formula1>
    </dataValidation>
    <dataValidation type="list" allowBlank="1" showInputMessage="1" showErrorMessage="1" sqref="E6" xr:uid="{B1B24014-D58B-4CB5-B4E2-D95FD38639B3}">
      <formula1>".5,.6"</formula1>
    </dataValidation>
    <dataValidation type="list" allowBlank="1" showInputMessage="1" showErrorMessage="1" sqref="D6" xr:uid="{8FE34550-647C-4919-BA9C-67422C63BB5B}">
      <formula1>"1,2"</formula1>
    </dataValidation>
    <dataValidation type="list" allowBlank="1" showInputMessage="1" showErrorMessage="1" promptTitle="Enter Type of Sheet" sqref="C6" xr:uid="{E2A2B219-690C-4992-AF8E-AEC48664127A}">
      <formula1>$G$1:$G$4</formula1>
    </dataValidation>
    <dataValidation type="list" allowBlank="1" showInputMessage="1" showErrorMessage="1" promptTitle="Enter Shape of Duct " sqref="B6" xr:uid="{18FC5A20-0040-4BC3-8C07-19C3A8A11A28}">
      <formula1>$E$2:$E$3</formula1>
    </dataValidation>
  </dataValidations>
  <hyperlinks>
    <hyperlink ref="C1:C2" location="Index!A1" display="Index" xr:uid="{A3F34255-21B0-4812-969B-3720E4E2C717}"/>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AF68E340-FDD3-4E7F-8B4E-90BEFDBB473B}">
            <x14:dataBar minLength="0" maxLength="100" gradient="0">
              <x14:cfvo type="autoMin"/>
              <x14:cfvo type="autoMax"/>
              <x14:negativeFillColor rgb="FFFF0000"/>
              <x14:axisColor rgb="FF000000"/>
            </x14:dataBar>
          </x14:cfRule>
          <xm:sqref>N9:N66</xm:sqref>
        </x14:conditionalFormatting>
        <x14:conditionalFormatting xmlns:xm="http://schemas.microsoft.com/office/excel/2006/main">
          <x14:cfRule type="dataBar" id="{559797FB-DF3C-4F42-A392-7EE60C10C0D1}">
            <x14:dataBar minLength="0" maxLength="100" gradient="0">
              <x14:cfvo type="autoMin"/>
              <x14:cfvo type="autoMax"/>
              <x14:negativeFillColor rgb="FFFF0000"/>
              <x14:axisColor rgb="FF000000"/>
            </x14:dataBar>
          </x14:cfRule>
          <xm:sqref>O9:Q63</xm:sqref>
        </x14:conditionalFormatting>
        <x14:conditionalFormatting xmlns:xm="http://schemas.microsoft.com/office/excel/2006/main">
          <x14:cfRule type="dataBar" id="{22878896-84DA-448C-9B66-8367DCA2B783}">
            <x14:dataBar minLength="0" maxLength="100" gradient="0">
              <x14:cfvo type="autoMin"/>
              <x14:cfvo type="autoMax"/>
              <x14:negativeFillColor rgb="FFFF0000"/>
              <x14:axisColor rgb="FF000000"/>
            </x14:dataBar>
          </x14:cfRule>
          <xm:sqref>R9:R63</xm:sqref>
        </x14:conditionalFormatting>
        <x14:conditionalFormatting xmlns:xm="http://schemas.microsoft.com/office/excel/2006/main">
          <x14:cfRule type="dataBar" id="{0568A7A9-C2F3-4FB9-B1B8-66B8B7F0B2C7}">
            <x14:dataBar minLength="0" maxLength="100" gradient="0">
              <x14:cfvo type="autoMin"/>
              <x14:cfvo type="autoMax"/>
              <x14:negativeFillColor rgb="FFFF0000"/>
              <x14:axisColor rgb="FF000000"/>
            </x14:dataBar>
          </x14:cfRule>
          <xm:sqref>S9:U69</xm:sqref>
        </x14:conditionalFormatting>
        <x14:conditionalFormatting xmlns:xm="http://schemas.microsoft.com/office/excel/2006/main">
          <x14:cfRule type="dataBar" id="{9A1A66EC-37DF-4F0A-9015-6F477ECE18EF}">
            <x14:dataBar minLength="0" maxLength="100" gradient="0">
              <x14:cfvo type="autoMin"/>
              <x14:cfvo type="autoMax"/>
              <x14:negativeFillColor rgb="FFFF0000"/>
              <x14:axisColor rgb="FF000000"/>
            </x14:dataBar>
          </x14:cfRule>
          <xm:sqref>V9:V69</xm:sqref>
        </x14:conditionalFormatting>
        <x14:conditionalFormatting xmlns:xm="http://schemas.microsoft.com/office/excel/2006/main">
          <x14:cfRule type="containsText" priority="24" operator="containsText" id="{338B278B-AAC2-44D5-ACBF-DA48C98B0646}">
            <xm:f>NOT(ISERROR(SEARCH("No Guide Vanes",R1)))</xm:f>
            <xm:f>"No Guide Vanes"</xm:f>
            <x14:dxf>
              <fill>
                <patternFill>
                  <bgColor rgb="FF92D050"/>
                </patternFill>
              </fill>
            </x14:dxf>
          </x14:cfRule>
          <x14:cfRule type="containsText" priority="25" operator="containsText" id="{96986BD1-562A-4FA0-A5F1-818AE16FFE95}">
            <xm:f>NOT(ISERROR(SEARCH("One Guide Vanes",R1)))</xm:f>
            <xm:f>"One Guide Vanes"</xm:f>
            <x14:dxf>
              <fill>
                <patternFill>
                  <bgColor theme="7" tint="0.39994506668294322"/>
                </patternFill>
              </fill>
            </x14:dxf>
          </x14:cfRule>
          <x14:cfRule type="containsText" priority="26" operator="containsText" id="{0146D1CF-E245-4152-8A91-4CD4354617DC}">
            <xm:f>NOT(ISERROR(SEARCH("Two Guide Vanes",R1)))</xm:f>
            <xm:f>"Two Guide Vanes"</xm:f>
            <x14:dxf>
              <fill>
                <patternFill>
                  <bgColor theme="7" tint="-0.24994659260841701"/>
                </patternFill>
              </fill>
            </x14:dxf>
          </x14:cfRule>
          <x14:cfRule type="containsText" priority="27" operator="containsText" id="{00995234-3869-47B3-8C88-86FAC394A01E}">
            <xm:f>NOT(ISERROR(SEARCH("Three Guide Vanes",R1)))</xm:f>
            <xm:f>"Three Guide Vanes"</xm:f>
            <x14:dxf>
              <fill>
                <patternFill>
                  <bgColor rgb="FFFFFF00"/>
                </patternFill>
              </fill>
            </x14:dxf>
          </x14:cfRule>
          <xm:sqref>R1:R1048576</xm:sqref>
        </x14:conditionalFormatting>
        <x14:conditionalFormatting xmlns:xm="http://schemas.microsoft.com/office/excel/2006/main">
          <x14:cfRule type="containsText" priority="16" operator="containsText" id="{792A43BA-3773-4458-814F-4ADBDF1FD384}">
            <xm:f>NOT(ISERROR(SEARCH("No Guide Vanes",S8)))</xm:f>
            <xm:f>"No Guide Vanes"</xm:f>
            <x14:dxf>
              <fill>
                <patternFill>
                  <bgColor rgb="FF92D050"/>
                </patternFill>
              </fill>
            </x14:dxf>
          </x14:cfRule>
          <x14:cfRule type="containsText" priority="17" operator="containsText" id="{35F9ED39-B81A-4EA0-8BCB-D5AD35ACE49D}">
            <xm:f>NOT(ISERROR(SEARCH("One Guide Vanes",S8)))</xm:f>
            <xm:f>"One Guide Vanes"</xm:f>
            <x14:dxf>
              <fill>
                <patternFill>
                  <bgColor theme="7" tint="0.39994506668294322"/>
                </patternFill>
              </fill>
            </x14:dxf>
          </x14:cfRule>
          <x14:cfRule type="containsText" priority="19" operator="containsText" id="{4CAAE8C1-F317-448F-B9CD-426B4DDB7618}">
            <xm:f>NOT(ISERROR(SEARCH("Three Guide Vanes",S8)))</xm:f>
            <xm:f>"Three Guide Vanes"</xm:f>
            <x14:dxf>
              <fill>
                <patternFill>
                  <bgColor rgb="FFFFFF00"/>
                </patternFill>
              </fill>
            </x14:dxf>
          </x14:cfRule>
          <x14:cfRule type="containsText" priority="18" operator="containsText" id="{BEA7F53F-CCEA-4A99-B39C-F89999F762C8}">
            <xm:f>NOT(ISERROR(SEARCH("Two Guide Vanes",S8)))</xm:f>
            <xm:f>"Two Guide Vanes"</xm:f>
            <x14:dxf>
              <fill>
                <patternFill>
                  <bgColor theme="7" tint="-0.24994659260841701"/>
                </patternFill>
              </fill>
            </x14:dxf>
          </x14:cfRule>
          <xm:sqref>S8:U69</xm:sqref>
        </x14:conditionalFormatting>
        <x14:conditionalFormatting xmlns:xm="http://schemas.microsoft.com/office/excel/2006/main">
          <x14:cfRule type="containsText" priority="8" operator="containsText" id="{AE1FD2A4-FA3A-49F7-A214-C0BF0DF7C7E7}">
            <xm:f>NOT(ISERROR(SEARCH("No Guide Vanes",V1)))</xm:f>
            <xm:f>"No Guide Vanes"</xm:f>
            <x14:dxf>
              <fill>
                <patternFill>
                  <bgColor rgb="FF92D050"/>
                </patternFill>
              </fill>
            </x14:dxf>
          </x14:cfRule>
          <x14:cfRule type="containsText" priority="9" operator="containsText" id="{259796D8-CD2C-48B2-BBFE-2B7428BF6550}">
            <xm:f>NOT(ISERROR(SEARCH("One Guide Vanes",V1)))</xm:f>
            <xm:f>"One Guide Vanes"</xm:f>
            <x14:dxf>
              <fill>
                <patternFill>
                  <bgColor theme="7" tint="0.39994506668294322"/>
                </patternFill>
              </fill>
            </x14:dxf>
          </x14:cfRule>
          <x14:cfRule type="containsText" priority="10" operator="containsText" id="{521088F2-5FFE-4496-9C5E-1AD277E7C383}">
            <xm:f>NOT(ISERROR(SEARCH("Two Guide Vanes",V1)))</xm:f>
            <xm:f>"Two Guide Vanes"</xm:f>
            <x14:dxf>
              <fill>
                <patternFill>
                  <bgColor theme="7" tint="-0.24994659260841701"/>
                </patternFill>
              </fill>
            </x14:dxf>
          </x14:cfRule>
          <x14:cfRule type="containsText" priority="11" operator="containsText" id="{22911AB2-DA04-42C6-9298-16AE9BB89634}">
            <xm:f>NOT(ISERROR(SEARCH("Three Guide Vanes",V1)))</xm:f>
            <xm:f>"Three Guide Vanes"</xm:f>
            <x14:dxf>
              <fill>
                <patternFill>
                  <bgColor rgb="FFFFFF00"/>
                </patternFill>
              </fill>
            </x14:dxf>
          </x14:cfRule>
          <xm:sqref>V1 V7:V1048576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297C6-9106-438E-BCD1-B8623A286BEB}">
  <dimension ref="A1:AB146"/>
  <sheetViews>
    <sheetView workbookViewId="0"/>
  </sheetViews>
  <sheetFormatPr defaultRowHeight="15"/>
  <cols>
    <col min="1" max="1" width="22.28515625" customWidth="1"/>
    <col min="2" max="2" width="18.140625" customWidth="1"/>
    <col min="3" max="3" width="18.28515625" bestFit="1" customWidth="1"/>
    <col min="4" max="4" width="26.28515625" customWidth="1"/>
    <col min="5" max="5" width="25.28515625" customWidth="1"/>
    <col min="6" max="6" width="13.140625" customWidth="1"/>
    <col min="7" max="7" width="17.28515625" bestFit="1" customWidth="1"/>
    <col min="8" max="9" width="19.7109375" customWidth="1"/>
    <col min="10" max="10" width="17.7109375" bestFit="1" customWidth="1"/>
    <col min="11" max="11" width="27.28515625" customWidth="1"/>
    <col min="12" max="13" width="19.85546875" bestFit="1" customWidth="1"/>
    <col min="14" max="15" width="23.28515625" bestFit="1" customWidth="1"/>
    <col min="16" max="16" width="23.140625" bestFit="1" customWidth="1"/>
    <col min="17" max="17" width="21.7109375" bestFit="1" customWidth="1"/>
    <col min="18" max="18" width="21.7109375" customWidth="1"/>
    <col min="19" max="19" width="17.140625" bestFit="1" customWidth="1"/>
    <col min="20" max="20" width="17.7109375" customWidth="1"/>
    <col min="21" max="21" width="18.28515625" bestFit="1" customWidth="1"/>
    <col min="22" max="22" width="21.7109375" customWidth="1"/>
    <col min="23" max="24" width="23.28515625" bestFit="1" customWidth="1"/>
    <col min="25" max="25" width="23.140625" bestFit="1" customWidth="1"/>
    <col min="26" max="26" width="27.28515625" customWidth="1"/>
    <col min="27" max="27" width="37" customWidth="1"/>
    <col min="28" max="28" width="17.140625" bestFit="1" customWidth="1"/>
    <col min="29" max="29" width="15.85546875" customWidth="1"/>
    <col min="30" max="30" width="18.28515625" bestFit="1" customWidth="1"/>
    <col min="31" max="31" width="17.42578125" bestFit="1" customWidth="1"/>
    <col min="32" max="32" width="17.28515625" bestFit="1" customWidth="1"/>
  </cols>
  <sheetData>
    <row r="1" spans="1:28" ht="15.75" customHeight="1" thickTop="1">
      <c r="C1" s="889" t="s">
        <v>696</v>
      </c>
      <c r="G1" t="s">
        <v>697</v>
      </c>
      <c r="H1" s="891" t="s">
        <v>698</v>
      </c>
      <c r="I1" s="892"/>
      <c r="J1" s="892"/>
      <c r="K1" s="892"/>
      <c r="L1" s="892"/>
      <c r="M1" s="892"/>
      <c r="N1" s="892"/>
      <c r="O1" s="892"/>
      <c r="P1" s="892"/>
      <c r="Q1" s="892"/>
      <c r="R1" s="892"/>
      <c r="V1" s="846"/>
    </row>
    <row r="2" spans="1:28" ht="15" customHeight="1" thickBot="1">
      <c r="C2" s="890"/>
      <c r="E2" t="s">
        <v>699</v>
      </c>
      <c r="G2" t="s">
        <v>700</v>
      </c>
      <c r="H2" s="891"/>
      <c r="I2" s="892"/>
      <c r="J2" s="892"/>
      <c r="K2" s="892"/>
      <c r="L2" s="892"/>
      <c r="M2" s="892"/>
      <c r="N2" s="892"/>
      <c r="O2" s="892"/>
      <c r="P2" s="892"/>
      <c r="Q2" s="892"/>
      <c r="R2" s="892"/>
    </row>
    <row r="3" spans="1:28" ht="15" customHeight="1" thickTop="1">
      <c r="E3" t="s">
        <v>701</v>
      </c>
      <c r="G3" t="s">
        <v>702</v>
      </c>
      <c r="H3" s="891"/>
      <c r="I3" s="892"/>
      <c r="J3" s="892"/>
      <c r="K3" s="892"/>
      <c r="L3" s="892"/>
      <c r="M3" s="892"/>
      <c r="N3" s="892"/>
      <c r="O3" s="892"/>
      <c r="P3" s="892"/>
      <c r="Q3" s="892"/>
      <c r="R3" s="892"/>
    </row>
    <row r="4" spans="1:28" ht="15" customHeight="1">
      <c r="G4" t="s">
        <v>703</v>
      </c>
      <c r="H4" s="891"/>
      <c r="I4" s="892"/>
      <c r="J4" s="892"/>
      <c r="K4" s="892"/>
      <c r="L4" s="892"/>
      <c r="M4" s="892"/>
      <c r="N4" s="892"/>
      <c r="O4" s="892"/>
      <c r="P4" s="892"/>
      <c r="Q4" s="892"/>
      <c r="R4" s="892"/>
    </row>
    <row r="5" spans="1:28" ht="15.75" customHeight="1" thickBot="1">
      <c r="D5" s="847" t="s">
        <v>704</v>
      </c>
      <c r="E5" s="847" t="s">
        <v>705</v>
      </c>
      <c r="H5" s="891"/>
      <c r="I5" s="892"/>
      <c r="J5" s="892"/>
      <c r="K5" s="892"/>
      <c r="L5" s="892"/>
      <c r="M5" s="892"/>
      <c r="N5" s="892"/>
      <c r="O5" s="892"/>
      <c r="P5" s="892"/>
      <c r="Q5" s="892"/>
      <c r="R5" s="892"/>
    </row>
    <row r="6" spans="1:28" ht="21.75" customHeight="1" thickTop="1" thickBot="1">
      <c r="B6" s="848" t="s">
        <v>701</v>
      </c>
      <c r="C6" s="849" t="s">
        <v>697</v>
      </c>
      <c r="D6" s="850">
        <v>1</v>
      </c>
      <c r="E6" s="850">
        <v>0.6</v>
      </c>
    </row>
    <row r="7" spans="1:28" ht="15.75" thickTop="1"/>
    <row r="8" spans="1:28" s="854" customFormat="1" ht="59.25" customHeight="1">
      <c r="A8" s="851" t="s">
        <v>706</v>
      </c>
      <c r="B8" s="851" t="s">
        <v>371</v>
      </c>
      <c r="C8" s="851" t="str">
        <f>IF($B$6="Rectangular Duct","Width(in)","Diam(in)")</f>
        <v>Diam(in)</v>
      </c>
      <c r="D8" s="852" t="str">
        <f>IF($B$6="Rectangular Duct","Depth(in)","")</f>
        <v/>
      </c>
      <c r="E8" s="851" t="s">
        <v>707</v>
      </c>
      <c r="F8" s="852" t="s">
        <v>708</v>
      </c>
      <c r="G8" s="852" t="s">
        <v>709</v>
      </c>
      <c r="H8" s="852" t="s">
        <v>710</v>
      </c>
      <c r="I8" s="852" t="s">
        <v>711</v>
      </c>
      <c r="J8" s="852" t="s">
        <v>712</v>
      </c>
      <c r="K8" s="852" t="s">
        <v>713</v>
      </c>
      <c r="L8" s="852" t="s">
        <v>714</v>
      </c>
      <c r="M8" s="852" t="s">
        <v>715</v>
      </c>
      <c r="N8" s="852" t="s">
        <v>716</v>
      </c>
      <c r="O8" s="852" t="s">
        <v>717</v>
      </c>
      <c r="P8" s="852" t="s">
        <v>718</v>
      </c>
      <c r="Q8" s="853" t="s">
        <v>719</v>
      </c>
      <c r="R8" s="852" t="s">
        <v>720</v>
      </c>
      <c r="S8" s="853" t="s">
        <v>721</v>
      </c>
      <c r="T8" s="852" t="s">
        <v>722</v>
      </c>
      <c r="U8" s="852" t="s">
        <v>723</v>
      </c>
      <c r="V8" s="852" t="s">
        <v>724</v>
      </c>
      <c r="X8" s="855"/>
    </row>
    <row r="9" spans="1:28">
      <c r="A9" s="856" t="s">
        <v>762</v>
      </c>
      <c r="B9" s="1" t="s">
        <v>753</v>
      </c>
      <c r="C9" s="39">
        <v>6</v>
      </c>
      <c r="D9" s="75"/>
      <c r="E9" s="41">
        <v>3.048</v>
      </c>
      <c r="F9" s="162">
        <f>IF(C9="","",IF($B$6="Rectangular Duct",2*E9*0.025*(C9+D9),(PI()*C9*0.025*E9)))</f>
        <v>1.4363361612212535</v>
      </c>
      <c r="G9" s="35">
        <f>IF(C9="","",IF($B$6="Rectangular Duct",IF(C9&gt;D9,IF(OR(C9&lt;=12),26,IF(OR(C9&lt;=30),24,IF(OR(C9&lt;=42),22,IF(OR(C9&lt;=60),20,18)))),IF(OR(C9&lt;=12),26,IF(OR(C9&lt;=30),24,IF(OR(C9&lt;=42),22,IF(OR(C9&lt;=60),20,18))))),IF(OR(C9&lt;=14),28,IF(OR(C9&lt;=26),26,IF(OR(C9&lt;=36),24,IF(OR(C9&lt;=50),22,IF(OR(C9&lt;=60),20,18)))))))</f>
        <v>28</v>
      </c>
      <c r="H9" s="857">
        <f>IF(C9="","",IF($C$6="Galvanized Steel",VLOOKUP(G9,[1]Data!$A$5:$K$30,11,FALSE),IF($C$6="Stainless Steel",VLOOKUP(G9,[1]Data!$M$5:$W$28,9,FALSE),IF($C$6="Aluminum",VLOOKUP(G9,[1]Data!$A$40:$L$73,9,FALSE)))))</f>
        <v>0.47499999999999998</v>
      </c>
      <c r="I9" s="857">
        <f>IF(C9="","",IF($C$6="Galvanized Steel",VLOOKUP(G9,[1]Data!$A$5:$K$30,8,FALSE),IF($C$6="Stainless Steel",VLOOKUP(G9,[1]Data!$M$5:$W$28,7,FALSE),IF($C$6="Aluminum",VLOOKUP(G9,[1]Data!$A$40:$L$73,7,FALSE)))))</f>
        <v>3.81</v>
      </c>
      <c r="J9" s="35">
        <f>IF(C9="","",I9*F9)</f>
        <v>5.4724407742529761</v>
      </c>
      <c r="K9" s="35">
        <f>IF(C9="","",J9*1.15)</f>
        <v>6.2933068903909222</v>
      </c>
      <c r="L9" s="35">
        <f>IF(C9="","",IF($B$6="Rectangular Duct",0.05*(C9+$D$6*2+D9+$D$6*2)*E9,(PI()*(C9+$D$6*2)*0.025*E9)))</f>
        <v>1.9151148816283379</v>
      </c>
      <c r="M9" s="35">
        <f t="shared" ref="M9:M60" si="0">IF(C9="","",L9*1.01)</f>
        <v>1.9342660304446213</v>
      </c>
      <c r="N9" s="35">
        <f>IF(C9="","",IF($B$6="Rectangular Duct",0.05*(C9+$D$6*4+D9+$E$6*4*0.04)*E9,(PI()*(C9+$D$6*2+$E$6*2*0.04)*0.025*E9)))</f>
        <v>1.926605570918108</v>
      </c>
      <c r="O9" s="35">
        <f>IF(C9="","",N9*0.0006)</f>
        <v>1.1559633425508647E-3</v>
      </c>
      <c r="P9" s="35">
        <f>IF(C9="","",O9*2700)</f>
        <v>3.1211010248873348</v>
      </c>
      <c r="Q9" s="78">
        <f>IF(C9="","",P9*1.01)</f>
        <v>3.1523120351362079</v>
      </c>
      <c r="R9" s="35" t="str">
        <f>IF(C9="","",IF(C9&lt;=10,"No Guide Vanes",IF(C9&lt;=16,"One Guide Vanes",IF(C9&lt;=24,"Two Guide Vanes","Three Guide Vanes"))))</f>
        <v>No Guide Vanes</v>
      </c>
      <c r="S9" s="1">
        <f>IF(C9="","",IF(C9&lt;20,8,INDEX([1]Data!$R$34:$T$38,MATCH(C9,Max_Width__Inch,1),3)))</f>
        <v>8</v>
      </c>
      <c r="T9" s="35" t="str">
        <f>IF(C9="","",IF(C9&lt;20,"25x25x2",INDEX([1]Data!$R$34:$T$38,MATCH(C9,Max_Width__Inch,1),2)))</f>
        <v>25x25x2</v>
      </c>
      <c r="U9" s="35">
        <f>IF(C9="","",IF(C9&lt;20,3,INDEX([1]Data!$R$34:$T$38,MATCH(C9,Max_Width__Inch,1),1)))</f>
        <v>3</v>
      </c>
      <c r="V9" s="35">
        <f>IF(C9="","",IF(ROUNDUP(0.25*25*C9,0)&lt;=100,100,ROUNDUP(0.25*25*C9,0)))</f>
        <v>100</v>
      </c>
      <c r="X9" s="1"/>
    </row>
    <row r="10" spans="1:28" ht="15.75" thickBot="1">
      <c r="A10" s="856" t="s">
        <v>762</v>
      </c>
      <c r="B10" s="1" t="s">
        <v>753</v>
      </c>
      <c r="C10" s="39">
        <v>8</v>
      </c>
      <c r="D10" s="75"/>
      <c r="E10" s="41">
        <v>0.15240000000000001</v>
      </c>
      <c r="F10" s="162">
        <f t="shared" ref="F10:F64" si="1">IF(C10="","",IF($B$6="Rectangular Duct",2*E10*0.025*(C10+D10),(PI()*C10*0.025*E10)))</f>
        <v>9.5755744081416905E-2</v>
      </c>
      <c r="G10" s="35">
        <f>IF(C10="","",IF($B$6="Rectangular Duct",IF(C10&gt;D10,IF(OR(C10&lt;=12),26,IF(OR(C10&lt;=30),24,IF(OR(C10&lt;=42),22,IF(OR(C10&lt;=60),20,18)))),IF(OR(C10&lt;=12),26,IF(OR(C10&lt;=30),24,IF(OR(C10&lt;=42),22,IF(OR(C10&lt;=60),20,18))))),IF(OR(C10&lt;=14),28,IF(OR(C10&lt;=26),26,IF(OR(C10&lt;=36),24,IF(OR(C10&lt;=50),22,IF(OR(C10&lt;=60),20,18)))))))</f>
        <v>28</v>
      </c>
      <c r="H10" s="857">
        <f>IF(C10="","",IF($C$6="Galvanized Steel",VLOOKUP(G10,[1]Data!$A$5:$K$30,11,FALSE),IF($C$6="Stainless Steel",VLOOKUP(G10,[1]Data!$M$5:$W$28,9,FALSE),IF($C$6="Aluminum",VLOOKUP(G10,[1]Data!$A$40:$L$73,9,FALSE)))))</f>
        <v>0.47499999999999998</v>
      </c>
      <c r="I10" s="857">
        <f>IF(C10="","",IF($C$6="Galvanized Steel",VLOOKUP(G10,[1]Data!$A$5:$K$30,8,FALSE),IF($C$6="Stainless Steel",VLOOKUP(G10,[1]Data!$M$5:$W$28,7,FALSE),IF($C$6="Aluminum",VLOOKUP(G10,[1]Data!$A$40:$L$73,7,FALSE)))))</f>
        <v>3.81</v>
      </c>
      <c r="J10" s="35">
        <f t="shared" ref="J10:J58" si="2">IF(C10="","",I10*F10)</f>
        <v>0.3648293849501984</v>
      </c>
      <c r="K10" s="35">
        <f t="shared" ref="K10:K58" si="3">IF(C10="","",J10*1.15)</f>
        <v>0.41955379269272813</v>
      </c>
      <c r="L10" s="35">
        <f t="shared" ref="L10:L60" si="4">IF(C10="","",IF($B$6="Rectangular Duct",0.05*(C10+$D$6*2+D10+$D$6*2)*E10,(PI()*(C10+$D$6*2)*0.025*E10)))</f>
        <v>0.11969468010177112</v>
      </c>
      <c r="M10" s="35">
        <f t="shared" si="0"/>
        <v>0.12089162690278883</v>
      </c>
      <c r="N10" s="35">
        <f t="shared" ref="N10:N66" si="5">IF(C10="","",IF($B$6="Rectangular Duct",0.05*(C10+$D$6*4+D10+$E$6*4*0.04)*E10,(PI()*(C10+$D$6*2+$E$6*2*0.04)*0.025*E10)))</f>
        <v>0.12026921456625964</v>
      </c>
      <c r="O10" s="35">
        <f t="shared" ref="O10:O42" si="6">IF(C10="","",N10*0.0006)</f>
        <v>7.2161528739755771E-5</v>
      </c>
      <c r="P10" s="35">
        <f t="shared" ref="P10:P60" si="7">IF(C10="","",O10*2700)</f>
        <v>0.19483612759734059</v>
      </c>
      <c r="Q10" s="78">
        <f t="shared" ref="Q10:Q60" si="8">IF(C10="","",P10*1.01)</f>
        <v>0.19678448887331401</v>
      </c>
      <c r="R10" s="35" t="str">
        <f>IF(C10="","",IF(C10&lt;=10,"No Guide Vanes",IF(C10&lt;=16,"One Guide Vanes",IF(C10&lt;=24,"Two Guide Vanes","Three Guide Vanes"))))</f>
        <v>No Guide Vanes</v>
      </c>
      <c r="S10" s="1">
        <f>IF(C10="","",IF(C10&lt;20,8,INDEX([1]Data!$R$34:$T$38,MATCH(C10,Max_Width__Inch,1),3)))</f>
        <v>8</v>
      </c>
      <c r="T10" s="35" t="str">
        <f>IF(C10="","",IF(C10&lt;20,"25x25x2",INDEX([1]Data!$R$34:$T$38,MATCH(C10,Max_Width__Inch,1),2)))</f>
        <v>25x25x2</v>
      </c>
      <c r="U10" s="35">
        <f>IF(C10="","",IF(C10&lt;20,3,INDEX([1]Data!$R$34:$T$38,MATCH(C10,Max_Width__Inch,1),1)))</f>
        <v>3</v>
      </c>
      <c r="V10" s="35">
        <f t="shared" ref="V10:V69" si="9">IF(C10="","",IF(ROUNDUP(0.25*25*C10,0)&lt;=100,100,ROUNDUP(0.25*25*C10,0)))</f>
        <v>100</v>
      </c>
    </row>
    <row r="11" spans="1:28" ht="15.75" thickBot="1">
      <c r="A11" s="856" t="s">
        <v>725</v>
      </c>
      <c r="B11" s="1" t="s">
        <v>726</v>
      </c>
      <c r="C11" s="39">
        <v>12</v>
      </c>
      <c r="D11" s="75"/>
      <c r="E11" s="41">
        <v>2.3469600000000002</v>
      </c>
      <c r="F11" s="162">
        <f t="shared" si="1"/>
        <v>2.2119576882807306</v>
      </c>
      <c r="G11" s="35">
        <f t="shared" ref="G11:G18" si="10">IF(E11="","",IF($B$6="Rectangular Duct",IF(E11&gt;D11,IF(OR(E11&lt;=12),26,IF(OR(E11&lt;=30),24,IF(OR(E11&lt;=42),22,IF(OR(E11&lt;=60),20,18)))),IF(OR(E11&lt;=12),26,IF(OR(E11&lt;=30),24,IF(OR(E11&lt;=42),22,IF(OR(E11&lt;=60),20,18))))),IF(OR(E11&lt;=14),28,IF(OR(E11&lt;=26),26,IF(OR(E11&lt;=36),24,IF(OR(E11&lt;=50),22,IF(OR(E11&lt;=60),20,18)))))))</f>
        <v>28</v>
      </c>
      <c r="H11" s="857">
        <f>IF(E11="","",IF($C$6="Galvanized Steel",VLOOKUP(G11,[1]Data!$A$5:$K$30,11,FALSE),IF($C$6="Stainless Steel",VLOOKUP(G11,[1]Data!$M$5:$W$28,9,FALSE),IF($C$6="Aluminum",VLOOKUP(G11,[1]Data!$A$40:$L$73,9,FALSE)))))</f>
        <v>0.47499999999999998</v>
      </c>
      <c r="I11" s="857">
        <f>IF(E11="","",IF($C$6="Galvanized Steel",VLOOKUP(G11,[1]Data!$A$5:$K$30,8,FALSE),IF($C$6="Stainless Steel",VLOOKUP(G11,[1]Data!$M$5:$W$28,7,FALSE),IF($C$6="Aluminum",VLOOKUP(G11,[1]Data!$A$40:$L$73,7,FALSE)))))</f>
        <v>3.81</v>
      </c>
      <c r="J11" s="35">
        <f t="shared" ref="J11:J18" si="11">IF(E11="","",I11*F11)</f>
        <v>8.4275587923495845</v>
      </c>
      <c r="K11" s="35">
        <f t="shared" ref="K11:K18" si="12">IF(E11="","",J11*1.15)</f>
        <v>9.6916926112020221</v>
      </c>
      <c r="L11" s="35">
        <f t="shared" si="4"/>
        <v>2.5806173029941855</v>
      </c>
      <c r="M11" s="35">
        <f t="shared" ref="M11:M18" si="13">IF(E11="","",L11*1.01)</f>
        <v>2.6064234760241272</v>
      </c>
      <c r="N11" s="35">
        <f t="shared" si="5"/>
        <v>2.5894651337473085</v>
      </c>
      <c r="O11" s="35">
        <f t="shared" ref="O11:O18" si="14">IF(E11="","",N11*0.0006)</f>
        <v>1.5536790802483848E-3</v>
      </c>
      <c r="P11" s="35">
        <f t="shared" ref="P11:P18" si="15">IF(E11="","",O11*2700)</f>
        <v>4.1949335166706394</v>
      </c>
      <c r="Q11" s="78">
        <f t="shared" ref="Q11:Q18" si="16">IF(E11="","",P11*1.01)</f>
        <v>4.236882851837346</v>
      </c>
      <c r="R11" s="35" t="str">
        <f t="shared" ref="R11:R18" si="17">IF(E11="","",IF(E11&lt;=10,"No Guide Vanes",IF(E11&lt;=16,"One Guide Vanes",IF(E11&lt;=24,"Two Guide Vanes","Three Guide Vanes"))))</f>
        <v>No Guide Vanes</v>
      </c>
      <c r="S11" s="1">
        <f>IF(E11="","",IF(E11&lt;20,8,INDEX([1]Data!$R$34:$T$38,MATCH(E11,Max_Width__Inch,1),3)))</f>
        <v>8</v>
      </c>
      <c r="T11" s="35" t="str">
        <f>IF(E11="","",IF(E11&lt;20,"25x25x2",INDEX([1]Data!$R$34:$T$38,MATCH(E11,Max_Width__Inch,1),2)))</f>
        <v>25x25x2</v>
      </c>
      <c r="U11" s="35">
        <f>IF(E11="","",IF(E11&lt;20,3,INDEX([1]Data!$R$34:$T$38,MATCH(E11,Max_Width__Inch,1),1)))</f>
        <v>3</v>
      </c>
      <c r="V11" s="35">
        <f t="shared" ref="V11:V18" si="18">IF(E11="","",IF(ROUNDUP(0.25*25*E11,0)&lt;=100,100,ROUNDUP(0.25*25*E11,0)))</f>
        <v>100</v>
      </c>
      <c r="X11" s="893" t="s">
        <v>772</v>
      </c>
      <c r="Y11" s="894"/>
      <c r="Z11" s="126"/>
    </row>
    <row r="12" spans="1:28" ht="15.75" thickBot="1">
      <c r="A12" s="856" t="s">
        <v>725</v>
      </c>
      <c r="B12" s="1" t="s">
        <v>726</v>
      </c>
      <c r="C12" s="39">
        <v>12</v>
      </c>
      <c r="D12" s="75"/>
      <c r="E12" s="41">
        <v>0.76200000000000001</v>
      </c>
      <c r="F12" s="162">
        <f t="shared" si="1"/>
        <v>0.71816808061062676</v>
      </c>
      <c r="G12" s="35">
        <f t="shared" si="10"/>
        <v>28</v>
      </c>
      <c r="H12" s="857">
        <f>IF(E12="","",IF($C$6="Galvanized Steel",VLOOKUP(G12,[1]Data!$A$5:$K$30,11,FALSE),IF($C$6="Stainless Steel",VLOOKUP(G12,[1]Data!$M$5:$W$28,9,FALSE),IF($C$6="Aluminum",VLOOKUP(G12,[1]Data!$A$40:$L$73,9,FALSE)))))</f>
        <v>0.47499999999999998</v>
      </c>
      <c r="I12" s="857">
        <f>IF(E12="","",IF($C$6="Galvanized Steel",VLOOKUP(G12,[1]Data!$A$5:$K$30,8,FALSE),IF($C$6="Stainless Steel",VLOOKUP(G12,[1]Data!$M$5:$W$28,7,FALSE),IF($C$6="Aluminum",VLOOKUP(G12,[1]Data!$A$40:$L$73,7,FALSE)))))</f>
        <v>3.81</v>
      </c>
      <c r="J12" s="35">
        <f t="shared" si="11"/>
        <v>2.7362203871264881</v>
      </c>
      <c r="K12" s="35">
        <f t="shared" si="12"/>
        <v>3.1466534451954611</v>
      </c>
      <c r="L12" s="35">
        <f t="shared" si="4"/>
        <v>0.83786276071239785</v>
      </c>
      <c r="M12" s="35">
        <f t="shared" si="13"/>
        <v>0.84624138831952178</v>
      </c>
      <c r="N12" s="35">
        <f t="shared" si="5"/>
        <v>0.84073543303484033</v>
      </c>
      <c r="O12" s="35">
        <f t="shared" si="14"/>
        <v>5.0444125982090416E-4</v>
      </c>
      <c r="P12" s="35">
        <f t="shared" si="15"/>
        <v>1.3619914015164412</v>
      </c>
      <c r="Q12" s="78">
        <f t="shared" si="16"/>
        <v>1.3756113155316056</v>
      </c>
      <c r="R12" s="35" t="str">
        <f t="shared" si="17"/>
        <v>No Guide Vanes</v>
      </c>
      <c r="S12" s="1">
        <f>IF(E12="","",IF(E12&lt;20,8,INDEX([1]Data!$R$34:$T$38,MATCH(E12,Max_Width__Inch,1),3)))</f>
        <v>8</v>
      </c>
      <c r="T12" s="35" t="str">
        <f>IF(E12="","",IF(E12&lt;20,"25x25x2",INDEX([1]Data!$R$34:$T$38,MATCH(E12,Max_Width__Inch,1),2)))</f>
        <v>25x25x2</v>
      </c>
      <c r="U12" s="35">
        <f>IF(E12="","",IF(E12&lt;20,3,INDEX([1]Data!$R$34:$T$38,MATCH(E12,Max_Width__Inch,1),1)))</f>
        <v>3</v>
      </c>
      <c r="V12" s="35">
        <f t="shared" si="18"/>
        <v>100</v>
      </c>
      <c r="X12" s="858" t="s">
        <v>728</v>
      </c>
      <c r="Y12" s="859">
        <f>SUM(J9:J145)</f>
        <v>44.801048471884357</v>
      </c>
      <c r="Z12" s="881"/>
      <c r="AA12" s="126"/>
      <c r="AB12" s="126"/>
    </row>
    <row r="13" spans="1:28">
      <c r="A13" s="856" t="s">
        <v>725</v>
      </c>
      <c r="B13" s="1" t="s">
        <v>726</v>
      </c>
      <c r="C13" s="39">
        <v>8</v>
      </c>
      <c r="D13" s="75"/>
      <c r="E13" s="41">
        <v>0.15240000000000001</v>
      </c>
      <c r="F13" s="162">
        <f t="shared" si="1"/>
        <v>9.5755744081416905E-2</v>
      </c>
      <c r="G13" s="35">
        <f t="shared" si="10"/>
        <v>28</v>
      </c>
      <c r="H13" s="857">
        <f>IF(E13="","",IF($C$6="Galvanized Steel",VLOOKUP(G13,[1]Data!$A$5:$K$30,11,FALSE),IF($C$6="Stainless Steel",VLOOKUP(G13,[1]Data!$M$5:$W$28,9,FALSE),IF($C$6="Aluminum",VLOOKUP(G13,[1]Data!$A$40:$L$73,9,FALSE)))))</f>
        <v>0.47499999999999998</v>
      </c>
      <c r="I13" s="857">
        <f>IF(E13="","",IF($C$6="Galvanized Steel",VLOOKUP(G13,[1]Data!$A$5:$K$30,8,FALSE),IF($C$6="Stainless Steel",VLOOKUP(G13,[1]Data!$M$5:$W$28,7,FALSE),IF($C$6="Aluminum",VLOOKUP(G13,[1]Data!$A$40:$L$73,7,FALSE)))))</f>
        <v>3.81</v>
      </c>
      <c r="J13" s="35">
        <f t="shared" si="11"/>
        <v>0.3648293849501984</v>
      </c>
      <c r="K13" s="35">
        <f t="shared" si="12"/>
        <v>0.41955379269272813</v>
      </c>
      <c r="L13" s="35">
        <f t="shared" si="4"/>
        <v>0.11969468010177112</v>
      </c>
      <c r="M13" s="35">
        <f t="shared" si="13"/>
        <v>0.12089162690278883</v>
      </c>
      <c r="N13" s="35">
        <f t="shared" si="5"/>
        <v>0.12026921456625964</v>
      </c>
      <c r="O13" s="35">
        <f t="shared" si="14"/>
        <v>7.2161528739755771E-5</v>
      </c>
      <c r="P13" s="35">
        <f t="shared" si="15"/>
        <v>0.19483612759734059</v>
      </c>
      <c r="Q13" s="78">
        <f t="shared" si="16"/>
        <v>0.19678448887331401</v>
      </c>
      <c r="R13" s="35" t="str">
        <f t="shared" si="17"/>
        <v>No Guide Vanes</v>
      </c>
      <c r="S13" s="1">
        <f>IF(E13="","",IF(E13&lt;20,8,INDEX([1]Data!$R$34:$T$38,MATCH(E13,Max_Width__Inch,1),3)))</f>
        <v>8</v>
      </c>
      <c r="T13" s="35" t="str">
        <f>IF(E13="","",IF(E13&lt;20,"25x25x2",INDEX([1]Data!$R$34:$T$38,MATCH(E13,Max_Width__Inch,1),2)))</f>
        <v>25x25x2</v>
      </c>
      <c r="U13" s="35">
        <f>IF(E13="","",IF(E13&lt;20,3,INDEX([1]Data!$R$34:$T$38,MATCH(E13,Max_Width__Inch,1),1)))</f>
        <v>3</v>
      </c>
      <c r="V13" s="35">
        <f t="shared" si="18"/>
        <v>100</v>
      </c>
      <c r="X13" s="861" t="s">
        <v>729</v>
      </c>
      <c r="Y13" s="859">
        <f>SUM(K9:K144)</f>
        <v>51.521205742667014</v>
      </c>
      <c r="Z13" s="881"/>
      <c r="AA13" s="336">
        <f>2.2046*Y13</f>
        <v>113.58365018028371</v>
      </c>
      <c r="AB13" s="126" t="s">
        <v>730</v>
      </c>
    </row>
    <row r="14" spans="1:28" ht="17.25">
      <c r="A14" s="856" t="s">
        <v>725</v>
      </c>
      <c r="B14" s="1" t="s">
        <v>726</v>
      </c>
      <c r="C14" s="39">
        <v>12</v>
      </c>
      <c r="D14" s="75"/>
      <c r="E14" s="41">
        <v>1.0668</v>
      </c>
      <c r="F14" s="162">
        <f t="shared" si="1"/>
        <v>1.0054353128548774</v>
      </c>
      <c r="G14" s="35">
        <f t="shared" si="10"/>
        <v>28</v>
      </c>
      <c r="H14" s="857">
        <f>IF(E14="","",IF($C$6="Galvanized Steel",VLOOKUP(G14,[1]Data!$A$5:$K$30,11,FALSE),IF($C$6="Stainless Steel",VLOOKUP(G14,[1]Data!$M$5:$W$28,9,FALSE),IF($C$6="Aluminum",VLOOKUP(G14,[1]Data!$A$40:$L$73,9,FALSE)))))</f>
        <v>0.47499999999999998</v>
      </c>
      <c r="I14" s="857">
        <f>IF(E14="","",IF($C$6="Galvanized Steel",VLOOKUP(G14,[1]Data!$A$5:$K$30,8,FALSE),IF($C$6="Stainless Steel",VLOOKUP(G14,[1]Data!$M$5:$W$28,7,FALSE),IF($C$6="Aluminum",VLOOKUP(G14,[1]Data!$A$40:$L$73,7,FALSE)))))</f>
        <v>3.81</v>
      </c>
      <c r="J14" s="35">
        <f t="shared" si="11"/>
        <v>3.8307085419770832</v>
      </c>
      <c r="K14" s="35">
        <f t="shared" si="12"/>
        <v>4.4053148232736454</v>
      </c>
      <c r="L14" s="35">
        <f t="shared" si="4"/>
        <v>1.173007864997357</v>
      </c>
      <c r="M14" s="35">
        <f t="shared" si="13"/>
        <v>1.1847379436473306</v>
      </c>
      <c r="N14" s="35">
        <f t="shared" si="5"/>
        <v>1.1770296062487764</v>
      </c>
      <c r="O14" s="35">
        <f t="shared" si="14"/>
        <v>7.0621776374926574E-4</v>
      </c>
      <c r="P14" s="35">
        <f t="shared" si="15"/>
        <v>1.9067879621230175</v>
      </c>
      <c r="Q14" s="78">
        <f t="shared" si="16"/>
        <v>1.9258558417442477</v>
      </c>
      <c r="R14" s="35" t="str">
        <f t="shared" si="17"/>
        <v>No Guide Vanes</v>
      </c>
      <c r="S14" s="1">
        <f>IF(E14="","",IF(E14&lt;20,8,INDEX([1]Data!$R$34:$T$38,MATCH(E14,Max_Width__Inch,1),3)))</f>
        <v>8</v>
      </c>
      <c r="T14" s="35" t="str">
        <f>IF(E14="","",IF(E14&lt;20,"25x25x2",INDEX([1]Data!$R$34:$T$38,MATCH(E14,Max_Width__Inch,1),2)))</f>
        <v>25x25x2</v>
      </c>
      <c r="U14" s="35">
        <f>IF(E14="","",IF(E14&lt;20,3,INDEX([1]Data!$R$34:$T$38,MATCH(E14,Max_Width__Inch,1),1)))</f>
        <v>3</v>
      </c>
      <c r="V14" s="35">
        <f t="shared" si="18"/>
        <v>100</v>
      </c>
      <c r="X14" s="861" t="s">
        <v>731</v>
      </c>
      <c r="Y14" s="862">
        <f>SUM(L9:L135)</f>
        <v>14.310695952967752</v>
      </c>
      <c r="Z14" s="126"/>
    </row>
    <row r="15" spans="1:28" ht="17.25">
      <c r="A15" s="856" t="s">
        <v>725</v>
      </c>
      <c r="B15" s="1" t="s">
        <v>726</v>
      </c>
      <c r="C15" s="39">
        <v>12</v>
      </c>
      <c r="D15" s="75"/>
      <c r="E15" s="41">
        <v>0.60960000000000003</v>
      </c>
      <c r="F15" s="162">
        <f t="shared" si="1"/>
        <v>0.57453446448850143</v>
      </c>
      <c r="G15" s="35">
        <f t="shared" si="10"/>
        <v>28</v>
      </c>
      <c r="H15" s="857">
        <f>IF(E15="","",IF($C$6="Galvanized Steel",VLOOKUP(G15,[1]Data!$A$5:$K$30,11,FALSE),IF($C$6="Stainless Steel",VLOOKUP(G15,[1]Data!$M$5:$W$28,9,FALSE),IF($C$6="Aluminum",VLOOKUP(G15,[1]Data!$A$40:$L$73,9,FALSE)))))</f>
        <v>0.47499999999999998</v>
      </c>
      <c r="I15" s="857">
        <f>IF(E15="","",IF($C$6="Galvanized Steel",VLOOKUP(G15,[1]Data!$A$5:$K$30,8,FALSE),IF($C$6="Stainless Steel",VLOOKUP(G15,[1]Data!$M$5:$W$28,7,FALSE),IF($C$6="Aluminum",VLOOKUP(G15,[1]Data!$A$40:$L$73,7,FALSE)))))</f>
        <v>3.81</v>
      </c>
      <c r="J15" s="35">
        <f t="shared" si="11"/>
        <v>2.1889763097011903</v>
      </c>
      <c r="K15" s="35">
        <f t="shared" si="12"/>
        <v>2.5173227561563687</v>
      </c>
      <c r="L15" s="35">
        <f t="shared" si="4"/>
        <v>0.67029020856991828</v>
      </c>
      <c r="M15" s="35">
        <f t="shared" si="13"/>
        <v>0.67699311065561751</v>
      </c>
      <c r="N15" s="35">
        <f t="shared" si="5"/>
        <v>0.67258834642787224</v>
      </c>
      <c r="O15" s="35">
        <f t="shared" si="14"/>
        <v>4.0355300785672332E-4</v>
      </c>
      <c r="P15" s="35">
        <f t="shared" si="15"/>
        <v>1.0895931212131529</v>
      </c>
      <c r="Q15" s="78">
        <f t="shared" si="16"/>
        <v>1.1004890524252844</v>
      </c>
      <c r="R15" s="35" t="str">
        <f t="shared" si="17"/>
        <v>No Guide Vanes</v>
      </c>
      <c r="S15" s="1">
        <f>IF(E15="","",IF(E15&lt;20,8,INDEX([1]Data!$R$34:$T$38,MATCH(E15,Max_Width__Inch,1),3)))</f>
        <v>8</v>
      </c>
      <c r="T15" s="35" t="str">
        <f>IF(E15="","",IF(E15&lt;20,"25x25x2",INDEX([1]Data!$R$34:$T$38,MATCH(E15,Max_Width__Inch,1),2)))</f>
        <v>25x25x2</v>
      </c>
      <c r="U15" s="35">
        <f>IF(E15="","",IF(E15&lt;20,3,INDEX([1]Data!$R$34:$T$38,MATCH(E15,Max_Width__Inch,1),1)))</f>
        <v>3</v>
      </c>
      <c r="V15" s="35">
        <f t="shared" si="18"/>
        <v>100</v>
      </c>
      <c r="X15" s="861" t="s">
        <v>732</v>
      </c>
      <c r="Y15" s="863">
        <f>SUM(M9:M98)</f>
        <v>14.45380291249743</v>
      </c>
      <c r="Z15" s="126"/>
      <c r="AA15" s="336">
        <f>10.7639104*Y15</f>
        <v>155.57943948938137</v>
      </c>
      <c r="AB15" s="126" t="s">
        <v>733</v>
      </c>
    </row>
    <row r="16" spans="1:28">
      <c r="A16" s="856" t="s">
        <v>725</v>
      </c>
      <c r="B16" s="1" t="s">
        <v>726</v>
      </c>
      <c r="C16" s="39">
        <v>12</v>
      </c>
      <c r="D16" s="75"/>
      <c r="E16" s="41">
        <v>0.60960000000000003</v>
      </c>
      <c r="F16" s="162">
        <f t="shared" si="1"/>
        <v>0.57453446448850143</v>
      </c>
      <c r="G16" s="35">
        <f t="shared" si="10"/>
        <v>28</v>
      </c>
      <c r="H16" s="857">
        <f>IF(E16="","",IF($C$6="Galvanized Steel",VLOOKUP(G16,[1]Data!$A$5:$K$30,11,FALSE),IF($C$6="Stainless Steel",VLOOKUP(G16,[1]Data!$M$5:$W$28,9,FALSE),IF($C$6="Aluminum",VLOOKUP(G16,[1]Data!$A$40:$L$73,9,FALSE)))))</f>
        <v>0.47499999999999998</v>
      </c>
      <c r="I16" s="857">
        <f>IF(E16="","",IF($C$6="Galvanized Steel",VLOOKUP(G16,[1]Data!$A$5:$K$30,8,FALSE),IF($C$6="Stainless Steel",VLOOKUP(G16,[1]Data!$M$5:$W$28,7,FALSE),IF($C$6="Aluminum",VLOOKUP(G16,[1]Data!$A$40:$L$73,7,FALSE)))))</f>
        <v>3.81</v>
      </c>
      <c r="J16" s="35">
        <f t="shared" si="11"/>
        <v>2.1889763097011903</v>
      </c>
      <c r="K16" s="35">
        <f t="shared" si="12"/>
        <v>2.5173227561563687</v>
      </c>
      <c r="L16" s="35">
        <f t="shared" si="4"/>
        <v>0.67029020856991828</v>
      </c>
      <c r="M16" s="35">
        <f t="shared" si="13"/>
        <v>0.67699311065561751</v>
      </c>
      <c r="N16" s="35">
        <f t="shared" si="5"/>
        <v>0.67258834642787224</v>
      </c>
      <c r="O16" s="35">
        <f t="shared" si="14"/>
        <v>4.0355300785672332E-4</v>
      </c>
      <c r="P16" s="35">
        <f t="shared" si="15"/>
        <v>1.0895931212131529</v>
      </c>
      <c r="Q16" s="78">
        <f t="shared" si="16"/>
        <v>1.1004890524252844</v>
      </c>
      <c r="R16" s="35" t="str">
        <f t="shared" si="17"/>
        <v>No Guide Vanes</v>
      </c>
      <c r="S16" s="1">
        <f>IF(E16="","",IF(E16&lt;20,8,INDEX([1]Data!$R$34:$T$38,MATCH(E16,Max_Width__Inch,1),3)))</f>
        <v>8</v>
      </c>
      <c r="T16" s="35" t="str">
        <f>IF(E16="","",IF(E16&lt;20,"25x25x2",INDEX([1]Data!$R$34:$T$38,MATCH(E16,Max_Width__Inch,1),2)))</f>
        <v>25x25x2</v>
      </c>
      <c r="U16" s="35">
        <f>IF(E16="","",IF(E16&lt;20,3,INDEX([1]Data!$R$34:$T$38,MATCH(E16,Max_Width__Inch,1),1)))</f>
        <v>3</v>
      </c>
      <c r="V16" s="35">
        <f t="shared" si="18"/>
        <v>100</v>
      </c>
      <c r="X16" s="861" t="s">
        <v>734</v>
      </c>
      <c r="Y16" s="862">
        <f>ROUND((Y15/24),0)</f>
        <v>1</v>
      </c>
      <c r="Z16" s="126"/>
    </row>
    <row r="17" spans="1:27">
      <c r="A17" s="856" t="s">
        <v>725</v>
      </c>
      <c r="B17" s="1" t="s">
        <v>726</v>
      </c>
      <c r="C17" s="39">
        <v>12</v>
      </c>
      <c r="D17" s="75"/>
      <c r="E17" s="41">
        <v>0.30480000000000002</v>
      </c>
      <c r="F17" s="162">
        <f t="shared" si="1"/>
        <v>0.28726723224425071</v>
      </c>
      <c r="G17" s="35">
        <f t="shared" si="10"/>
        <v>28</v>
      </c>
      <c r="H17" s="857">
        <f>IF(E17="","",IF($C$6="Galvanized Steel",VLOOKUP(G17,[1]Data!$A$5:$K$30,11,FALSE),IF($C$6="Stainless Steel",VLOOKUP(G17,[1]Data!$M$5:$W$28,9,FALSE),IF($C$6="Aluminum",VLOOKUP(G17,[1]Data!$A$40:$L$73,9,FALSE)))))</f>
        <v>0.47499999999999998</v>
      </c>
      <c r="I17" s="857">
        <f>IF(E17="","",IF($C$6="Galvanized Steel",VLOOKUP(G17,[1]Data!$A$5:$K$30,8,FALSE),IF($C$6="Stainless Steel",VLOOKUP(G17,[1]Data!$M$5:$W$28,7,FALSE),IF($C$6="Aluminum",VLOOKUP(G17,[1]Data!$A$40:$L$73,7,FALSE)))))</f>
        <v>3.81</v>
      </c>
      <c r="J17" s="35">
        <f t="shared" si="11"/>
        <v>1.0944881548505951</v>
      </c>
      <c r="K17" s="35">
        <f t="shared" si="12"/>
        <v>1.2586613780781843</v>
      </c>
      <c r="L17" s="35">
        <f t="shared" si="4"/>
        <v>0.33514510428495914</v>
      </c>
      <c r="M17" s="35">
        <f t="shared" si="13"/>
        <v>0.33849655532780876</v>
      </c>
      <c r="N17" s="35">
        <f t="shared" si="5"/>
        <v>0.33629417321393612</v>
      </c>
      <c r="O17" s="35">
        <f t="shared" si="14"/>
        <v>2.0177650392836166E-4</v>
      </c>
      <c r="P17" s="35">
        <f t="shared" si="15"/>
        <v>0.54479656060657644</v>
      </c>
      <c r="Q17" s="78">
        <f t="shared" si="16"/>
        <v>0.55024452621264219</v>
      </c>
      <c r="R17" s="35" t="str">
        <f t="shared" si="17"/>
        <v>No Guide Vanes</v>
      </c>
      <c r="S17" s="1">
        <f>IF(E17="","",IF(E17&lt;20,8,INDEX([1]Data!$R$34:$T$38,MATCH(E17,Max_Width__Inch,1),3)))</f>
        <v>8</v>
      </c>
      <c r="T17" s="35" t="str">
        <f>IF(E17="","",IF(E17&lt;20,"25x25x2",INDEX([1]Data!$R$34:$T$38,MATCH(E17,Max_Width__Inch,1),2)))</f>
        <v>25x25x2</v>
      </c>
      <c r="U17" s="35">
        <f>IF(E17="","",IF(E17&lt;20,3,INDEX([1]Data!$R$34:$T$38,MATCH(E17,Max_Width__Inch,1),1)))</f>
        <v>3</v>
      </c>
      <c r="V17" s="35">
        <f t="shared" si="18"/>
        <v>100</v>
      </c>
      <c r="X17" s="864" t="s">
        <v>735</v>
      </c>
      <c r="Y17" s="865">
        <f>Y16*1000/Y13</f>
        <v>19.409483640478065</v>
      </c>
      <c r="Z17" s="126"/>
    </row>
    <row r="18" spans="1:27">
      <c r="A18" s="856" t="s">
        <v>725</v>
      </c>
      <c r="B18" s="1" t="s">
        <v>726</v>
      </c>
      <c r="C18" s="39">
        <v>12</v>
      </c>
      <c r="D18" s="75"/>
      <c r="E18" s="41">
        <v>0.30480000000000002</v>
      </c>
      <c r="F18" s="162">
        <f t="shared" si="1"/>
        <v>0.28726723224425071</v>
      </c>
      <c r="G18" s="35">
        <f t="shared" si="10"/>
        <v>28</v>
      </c>
      <c r="H18" s="857">
        <f>IF(E18="","",IF($C$6="Galvanized Steel",VLOOKUP(G18,[1]Data!$A$5:$K$30,11,FALSE),IF($C$6="Stainless Steel",VLOOKUP(G18,[1]Data!$M$5:$W$28,9,FALSE),IF($C$6="Aluminum",VLOOKUP(G18,[1]Data!$A$40:$L$73,9,FALSE)))))</f>
        <v>0.47499999999999998</v>
      </c>
      <c r="I18" s="857">
        <f>IF(E18="","",IF($C$6="Galvanized Steel",VLOOKUP(G18,[1]Data!$A$5:$K$30,8,FALSE),IF($C$6="Stainless Steel",VLOOKUP(G18,[1]Data!$M$5:$W$28,7,FALSE),IF($C$6="Aluminum",VLOOKUP(G18,[1]Data!$A$40:$L$73,7,FALSE)))))</f>
        <v>3.81</v>
      </c>
      <c r="J18" s="35">
        <f t="shared" si="11"/>
        <v>1.0944881548505951</v>
      </c>
      <c r="K18" s="35">
        <f t="shared" si="12"/>
        <v>1.2586613780781843</v>
      </c>
      <c r="L18" s="35">
        <f t="shared" si="4"/>
        <v>0.33514510428495914</v>
      </c>
      <c r="M18" s="35">
        <f t="shared" si="13"/>
        <v>0.33849655532780876</v>
      </c>
      <c r="N18" s="35">
        <f t="shared" si="5"/>
        <v>0.33629417321393612</v>
      </c>
      <c r="O18" s="35">
        <f t="shared" si="14"/>
        <v>2.0177650392836166E-4</v>
      </c>
      <c r="P18" s="35">
        <f t="shared" si="15"/>
        <v>0.54479656060657644</v>
      </c>
      <c r="Q18" s="78">
        <f t="shared" si="16"/>
        <v>0.55024452621264219</v>
      </c>
      <c r="R18" s="35" t="str">
        <f t="shared" si="17"/>
        <v>No Guide Vanes</v>
      </c>
      <c r="S18" s="1">
        <f>IF(E18="","",IF(E18&lt;20,8,INDEX([1]Data!$R$34:$T$38,MATCH(E18,Max_Width__Inch,1),3)))</f>
        <v>8</v>
      </c>
      <c r="T18" s="35" t="str">
        <f>IF(E18="","",IF(E18&lt;20,"25x25x2",INDEX([1]Data!$R$34:$T$38,MATCH(E18,Max_Width__Inch,1),2)))</f>
        <v>25x25x2</v>
      </c>
      <c r="U18" s="35">
        <f>IF(E18="","",IF(E18&lt;20,3,INDEX([1]Data!$R$34:$T$38,MATCH(E18,Max_Width__Inch,1),1)))</f>
        <v>3</v>
      </c>
      <c r="V18" s="35">
        <f t="shared" si="18"/>
        <v>100</v>
      </c>
      <c r="X18" s="866" t="s">
        <v>736</v>
      </c>
      <c r="Y18" s="867">
        <f>SUM(E9:E106)</f>
        <v>16.245840000000001</v>
      </c>
      <c r="Z18" s="126"/>
    </row>
    <row r="19" spans="1:27" ht="15.75" thickBot="1">
      <c r="A19" s="856" t="s">
        <v>725</v>
      </c>
      <c r="B19" s="1" t="s">
        <v>726</v>
      </c>
      <c r="C19" s="39">
        <v>12</v>
      </c>
      <c r="D19" s="75"/>
      <c r="E19" s="41">
        <v>0.30480000000000002</v>
      </c>
      <c r="F19" s="162">
        <f t="shared" si="1"/>
        <v>0.28726723224425071</v>
      </c>
      <c r="G19" s="35">
        <f t="shared" ref="G19:G60" si="19">IF(C19="","",IF($B$6="Rectangular Duct",IF(C19&gt;D19,IF(OR(C19&lt;=12),26,IF(OR(C19&lt;=30),24,IF(OR(C19&lt;=42),22,IF(OR(C19&lt;=60),20,18)))),IF(OR(C19&lt;=12),26,IF(OR(C19&lt;=30),24,IF(OR(C19&lt;=42),22,IF(OR(C19&lt;=60),20,18))))),IF(OR(C19&lt;=14),28,IF(OR(C19&lt;=26),26,IF(OR(C19&lt;=36),24,IF(OR(C19&lt;=50),22,IF(OR(C19&lt;=60),20,18)))))))</f>
        <v>28</v>
      </c>
      <c r="H19" s="857">
        <f>IF(C19="","",IF($C$6="Galvanized Steel",VLOOKUP(G19,[1]Data!$A$5:$K$30,11,FALSE),IF($C$6="Stainless Steel",VLOOKUP(G19,[1]Data!$M$5:$W$28,9,FALSE),IF($C$6="Aluminum",VLOOKUP(G19,[1]Data!$A$40:$L$73,9,FALSE)))))</f>
        <v>0.47499999999999998</v>
      </c>
      <c r="I19" s="857">
        <f>IF(C19="","",IF($C$6="Galvanized Steel",VLOOKUP(G19,[1]Data!$A$5:$K$30,8,FALSE),IF($C$6="Stainless Steel",VLOOKUP(G19,[1]Data!$M$5:$W$28,7,FALSE),IF($C$6="Aluminum",VLOOKUP(G19,[1]Data!$A$40:$L$73,7,FALSE)))))</f>
        <v>3.81</v>
      </c>
      <c r="J19" s="35">
        <f t="shared" si="2"/>
        <v>1.0944881548505951</v>
      </c>
      <c r="K19" s="35">
        <f t="shared" si="3"/>
        <v>1.2586613780781843</v>
      </c>
      <c r="L19" s="35">
        <f t="shared" si="4"/>
        <v>0.33514510428495914</v>
      </c>
      <c r="M19" s="35">
        <f t="shared" si="0"/>
        <v>0.33849655532780876</v>
      </c>
      <c r="N19" s="35">
        <f t="shared" si="5"/>
        <v>0.33629417321393612</v>
      </c>
      <c r="O19" s="35">
        <f t="shared" si="6"/>
        <v>2.0177650392836166E-4</v>
      </c>
      <c r="P19" s="35">
        <f t="shared" si="7"/>
        <v>0.54479656060657644</v>
      </c>
      <c r="Q19" s="78">
        <f t="shared" si="8"/>
        <v>0.55024452621264219</v>
      </c>
      <c r="R19" s="35" t="str">
        <f t="shared" ref="R19:R60" si="20">IF(C19="","",IF(C19&lt;=10,"No Guide Vanes",IF(C19&lt;=16,"One Guide Vanes",IF(C19&lt;=24,"Two Guide Vanes","Three Guide Vanes"))))</f>
        <v>One Guide Vanes</v>
      </c>
      <c r="S19" s="1">
        <f>IF(C19="","",IF(C19&lt;20,8,INDEX([1]Data!$R$34:$T$38,MATCH(C19,Max_Width__Inch,1),3)))</f>
        <v>8</v>
      </c>
      <c r="T19" s="35" t="str">
        <f>IF(C19="","",IF(C19&lt;20,"25x25x2",INDEX([1]Data!$R$34:$T$38,MATCH(C19,Max_Width__Inch,1),2)))</f>
        <v>25x25x2</v>
      </c>
      <c r="U19" s="35">
        <f>IF(C19="","",IF(C19&lt;20,3,INDEX([1]Data!$R$34:$T$38,MATCH(C19,Max_Width__Inch,1),1)))</f>
        <v>3</v>
      </c>
      <c r="V19" s="35">
        <f t="shared" si="9"/>
        <v>100</v>
      </c>
      <c r="X19" s="868" t="s">
        <v>773</v>
      </c>
      <c r="Y19" s="869">
        <f>Y18*1.1</f>
        <v>17.870424000000003</v>
      </c>
    </row>
    <row r="20" spans="1:27">
      <c r="A20" s="856" t="s">
        <v>725</v>
      </c>
      <c r="B20" s="1" t="s">
        <v>726</v>
      </c>
      <c r="C20" s="39">
        <v>12</v>
      </c>
      <c r="D20" s="75"/>
      <c r="E20" s="41">
        <v>0.15240000000000001</v>
      </c>
      <c r="F20" s="162">
        <f t="shared" si="1"/>
        <v>0.14363361612212536</v>
      </c>
      <c r="G20" s="35">
        <f t="shared" si="19"/>
        <v>28</v>
      </c>
      <c r="H20" s="857">
        <f>IF(C20="","",IF($C$6="Galvanized Steel",VLOOKUP(G20,[1]Data!$A$5:$K$30,11,FALSE),IF($C$6="Stainless Steel",VLOOKUP(G20,[1]Data!$M$5:$W$28,9,FALSE),IF($C$6="Aluminum",VLOOKUP(G20,[1]Data!$A$40:$L$73,9,FALSE)))))</f>
        <v>0.47499999999999998</v>
      </c>
      <c r="I20" s="857">
        <f>IF(C20="","",IF($C$6="Galvanized Steel",VLOOKUP(G20,[1]Data!$A$5:$K$30,8,FALSE),IF($C$6="Stainless Steel",VLOOKUP(G20,[1]Data!$M$5:$W$28,7,FALSE),IF($C$6="Aluminum",VLOOKUP(G20,[1]Data!$A$40:$L$73,7,FALSE)))))</f>
        <v>3.81</v>
      </c>
      <c r="J20" s="35">
        <f t="shared" si="2"/>
        <v>0.54724407742529757</v>
      </c>
      <c r="K20" s="35">
        <f t="shared" si="3"/>
        <v>0.62933068903909217</v>
      </c>
      <c r="L20" s="35">
        <f t="shared" si="4"/>
        <v>0.16757255214247957</v>
      </c>
      <c r="M20" s="35">
        <f t="shared" si="0"/>
        <v>0.16924827766390438</v>
      </c>
      <c r="N20" s="35">
        <f t="shared" si="5"/>
        <v>0.16814708660696806</v>
      </c>
      <c r="O20" s="35">
        <f t="shared" si="6"/>
        <v>1.0088825196418083E-4</v>
      </c>
      <c r="P20" s="35">
        <f t="shared" si="7"/>
        <v>0.27239828030328822</v>
      </c>
      <c r="Q20" s="78">
        <f t="shared" si="8"/>
        <v>0.2751222631063211</v>
      </c>
      <c r="R20" s="35" t="str">
        <f t="shared" si="20"/>
        <v>One Guide Vanes</v>
      </c>
      <c r="S20" s="1">
        <f>IF(C20="","",IF(C20&lt;20,8,INDEX([1]Data!$R$34:$T$38,MATCH(C20,Max_Width__Inch,1),3)))</f>
        <v>8</v>
      </c>
      <c r="T20" s="35" t="str">
        <f>IF(C20="","",IF(C20&lt;20,"25x25x2",INDEX([1]Data!$R$34:$T$38,MATCH(C20,Max_Width__Inch,1),2)))</f>
        <v>25x25x2</v>
      </c>
      <c r="U20" s="35">
        <f>IF(C20="","",IF(C20&lt;20,3,INDEX([1]Data!$R$34:$T$38,MATCH(C20,Max_Width__Inch,1),1)))</f>
        <v>3</v>
      </c>
      <c r="V20" s="35">
        <f t="shared" si="9"/>
        <v>100</v>
      </c>
      <c r="X20" s="866" t="s">
        <v>738</v>
      </c>
      <c r="Y20" s="870">
        <f>SUM(N9:N55)</f>
        <v>14.371941326882229</v>
      </c>
    </row>
    <row r="21" spans="1:27" ht="15.75" thickBot="1">
      <c r="A21" s="856" t="s">
        <v>725</v>
      </c>
      <c r="B21" s="1" t="s">
        <v>726</v>
      </c>
      <c r="C21" s="39">
        <v>8</v>
      </c>
      <c r="D21" s="75"/>
      <c r="E21" s="41">
        <v>2.5908000000000002</v>
      </c>
      <c r="F21" s="162">
        <f t="shared" si="1"/>
        <v>1.6278476493840874</v>
      </c>
      <c r="G21" s="35">
        <f t="shared" si="19"/>
        <v>28</v>
      </c>
      <c r="H21" s="857">
        <f>IF(C21="","",IF($C$6="Galvanized Steel",VLOOKUP(G21,[1]Data!$A$5:$K$30,11,FALSE),IF($C$6="Stainless Steel",VLOOKUP(G21,[1]Data!$M$5:$W$28,9,FALSE),IF($C$6="Aluminum",VLOOKUP(G21,[1]Data!$A$40:$L$73,9,FALSE)))))</f>
        <v>0.47499999999999998</v>
      </c>
      <c r="I21" s="857">
        <f>IF(C21="","",IF($C$6="Galvanized Steel",VLOOKUP(G21,[1]Data!$A$5:$K$30,8,FALSE),IF($C$6="Stainless Steel",VLOOKUP(G21,[1]Data!$M$5:$W$28,7,FALSE),IF($C$6="Aluminum",VLOOKUP(G21,[1]Data!$A$40:$L$73,7,FALSE)))))</f>
        <v>3.81</v>
      </c>
      <c r="J21" s="35">
        <f t="shared" si="2"/>
        <v>6.2020995441533735</v>
      </c>
      <c r="K21" s="35">
        <f t="shared" si="3"/>
        <v>7.132414475776379</v>
      </c>
      <c r="L21" s="35">
        <f t="shared" si="4"/>
        <v>2.0348095617301092</v>
      </c>
      <c r="M21" s="35">
        <f t="shared" si="0"/>
        <v>2.0551576573474102</v>
      </c>
      <c r="N21" s="35">
        <f t="shared" si="5"/>
        <v>2.044576647626414</v>
      </c>
      <c r="O21" s="35">
        <f t="shared" si="6"/>
        <v>1.2267459885758484E-3</v>
      </c>
      <c r="P21" s="35">
        <f t="shared" si="7"/>
        <v>3.3122141691547906</v>
      </c>
      <c r="Q21" s="78">
        <f t="shared" si="8"/>
        <v>3.3453363108463385</v>
      </c>
      <c r="R21" s="35" t="str">
        <f t="shared" si="20"/>
        <v>No Guide Vanes</v>
      </c>
      <c r="S21" s="1">
        <f>IF(C21="","",IF(C21&lt;20,8,INDEX([1]Data!$R$34:$T$38,MATCH(C21,Max_Width__Inch,1),3)))</f>
        <v>8</v>
      </c>
      <c r="T21" s="35" t="str">
        <f>IF(C21="","",IF(C21&lt;20,"25x25x2",INDEX([1]Data!$R$34:$T$38,MATCH(C21,Max_Width__Inch,1),2)))</f>
        <v>25x25x2</v>
      </c>
      <c r="U21" s="35">
        <f>IF(C21="","",IF(C21&lt;20,3,INDEX([1]Data!$R$34:$T$38,MATCH(C21,Max_Width__Inch,1),1)))</f>
        <v>3</v>
      </c>
      <c r="V21" s="35">
        <f t="shared" si="9"/>
        <v>100</v>
      </c>
      <c r="X21" s="868" t="s">
        <v>739</v>
      </c>
      <c r="Y21" s="870">
        <f>SUM(P9:P53)</f>
        <v>23.282544949549209</v>
      </c>
    </row>
    <row r="22" spans="1:27" ht="15.75" thickBot="1">
      <c r="A22" s="856" t="s">
        <v>725</v>
      </c>
      <c r="B22" s="1" t="s">
        <v>726</v>
      </c>
      <c r="C22" s="39">
        <v>8</v>
      </c>
      <c r="D22" s="75"/>
      <c r="E22" s="41">
        <v>3.8404799999999999</v>
      </c>
      <c r="F22" s="162">
        <f t="shared" si="1"/>
        <v>2.4130447508517054</v>
      </c>
      <c r="G22" s="35">
        <f t="shared" si="19"/>
        <v>28</v>
      </c>
      <c r="H22" s="857">
        <f>IF(C22="","",IF($C$6="Galvanized Steel",VLOOKUP(G22,[1]Data!$A$5:$K$30,11,FALSE),IF($C$6="Stainless Steel",VLOOKUP(G22,[1]Data!$M$5:$W$28,9,FALSE),IF($C$6="Aluminum",VLOOKUP(G22,[1]Data!$A$40:$L$73,9,FALSE)))))</f>
        <v>0.47499999999999998</v>
      </c>
      <c r="I22" s="857">
        <f>IF(C22="","",IF($C$6="Galvanized Steel",VLOOKUP(G22,[1]Data!$A$5:$K$30,8,FALSE),IF($C$6="Stainless Steel",VLOOKUP(G22,[1]Data!$M$5:$W$28,7,FALSE),IF($C$6="Aluminum",VLOOKUP(G22,[1]Data!$A$40:$L$73,7,FALSE)))))</f>
        <v>3.81</v>
      </c>
      <c r="J22" s="35">
        <f t="shared" si="2"/>
        <v>9.1937005007449972</v>
      </c>
      <c r="K22" s="35">
        <f t="shared" si="3"/>
        <v>10.572755575856746</v>
      </c>
      <c r="L22" s="35">
        <f t="shared" si="4"/>
        <v>3.0163059385646322</v>
      </c>
      <c r="M22" s="35">
        <f t="shared" si="0"/>
        <v>3.0464689979502788</v>
      </c>
      <c r="N22" s="35">
        <f t="shared" si="5"/>
        <v>3.0307842070697424</v>
      </c>
      <c r="O22" s="35">
        <f t="shared" si="6"/>
        <v>1.8184705242418452E-3</v>
      </c>
      <c r="P22" s="35">
        <f t="shared" si="7"/>
        <v>4.909870415452982</v>
      </c>
      <c r="Q22" s="78">
        <f t="shared" si="8"/>
        <v>4.9589691196075121</v>
      </c>
      <c r="R22" s="35" t="str">
        <f t="shared" si="20"/>
        <v>No Guide Vanes</v>
      </c>
      <c r="S22" s="1">
        <f>IF(C22="","",IF(C22&lt;20,8,INDEX([1]Data!$R$34:$T$38,MATCH(C22,Max_Width__Inch,1),3)))</f>
        <v>8</v>
      </c>
      <c r="T22" s="35" t="str">
        <f>IF(C22="","",IF(C22&lt;20,"25x25x2",INDEX([1]Data!$R$34:$T$38,MATCH(C22,Max_Width__Inch,1),2)))</f>
        <v>25x25x2</v>
      </c>
      <c r="U22" s="35">
        <f>IF(C22="","",IF(C22&lt;20,3,INDEX([1]Data!$R$34:$T$38,MATCH(C22,Max_Width__Inch,1),1)))</f>
        <v>3</v>
      </c>
      <c r="V22" s="35">
        <f t="shared" si="9"/>
        <v>100</v>
      </c>
      <c r="X22" s="868" t="s">
        <v>774</v>
      </c>
      <c r="Y22" s="871">
        <f>SUM(Q9:Q48)</f>
        <v>23.515370399044706</v>
      </c>
    </row>
    <row r="23" spans="1:27" ht="15.75" thickBot="1">
      <c r="A23" s="856" t="s">
        <v>725</v>
      </c>
      <c r="B23" s="1" t="s">
        <v>726</v>
      </c>
      <c r="C23" s="882"/>
      <c r="D23" s="75"/>
      <c r="E23" s="883"/>
      <c r="F23" s="162" t="str">
        <f t="shared" si="1"/>
        <v/>
      </c>
      <c r="G23" s="35" t="str">
        <f t="shared" si="19"/>
        <v/>
      </c>
      <c r="H23" s="857" t="str">
        <f>IF(C23="","",IF($C$6="Galvanized Steel",VLOOKUP(G23,[1]Data!$A$5:$K$30,11,FALSE),IF($C$6="Stainless Steel",VLOOKUP(G23,[1]Data!$M$5:$W$28,9,FALSE),IF($C$6="Aluminum",VLOOKUP(G23,[1]Data!$A$40:$L$73,9,FALSE)))))</f>
        <v/>
      </c>
      <c r="I23" s="857" t="str">
        <f>IF(C23="","",IF($C$6="Galvanized Steel",VLOOKUP(G23,[1]Data!$A$5:$K$30,8,FALSE),IF($C$6="Stainless Steel",VLOOKUP(G23,[1]Data!$M$5:$W$28,7,FALSE),IF($C$6="Aluminum",VLOOKUP(G23,[1]Data!$A$40:$L$73,7,FALSE)))))</f>
        <v/>
      </c>
      <c r="J23" s="35" t="str">
        <f t="shared" si="2"/>
        <v/>
      </c>
      <c r="K23" s="35" t="str">
        <f t="shared" si="3"/>
        <v/>
      </c>
      <c r="L23" s="35" t="str">
        <f t="shared" si="4"/>
        <v/>
      </c>
      <c r="M23" s="35" t="str">
        <f t="shared" si="0"/>
        <v/>
      </c>
      <c r="N23" s="35" t="str">
        <f t="shared" si="5"/>
        <v/>
      </c>
      <c r="O23" s="35" t="str">
        <f t="shared" si="6"/>
        <v/>
      </c>
      <c r="P23" s="35" t="str">
        <f t="shared" si="7"/>
        <v/>
      </c>
      <c r="Q23" s="78" t="str">
        <f t="shared" si="8"/>
        <v/>
      </c>
      <c r="R23" s="35" t="str">
        <f t="shared" si="20"/>
        <v/>
      </c>
      <c r="S23" s="1" t="str">
        <f>IF(C23="","",IF(C23&lt;20,8,INDEX([1]Data!$R$34:$T$38,MATCH(C23,Max_Width__Inch,1),3)))</f>
        <v/>
      </c>
      <c r="T23" s="35" t="str">
        <f>IF(C23="","",IF(C23&lt;20,"25x25x2",INDEX([1]Data!$R$34:$T$38,MATCH(C23,Max_Width__Inch,1),2)))</f>
        <v/>
      </c>
      <c r="U23" s="35" t="str">
        <f>IF(C23="","",IF(C23&lt;20,3,INDEX([1]Data!$R$34:$T$38,MATCH(C23,Max_Width__Inch,1),1)))</f>
        <v/>
      </c>
      <c r="V23" s="35" t="str">
        <f t="shared" si="9"/>
        <v/>
      </c>
      <c r="X23" s="868" t="s">
        <v>741</v>
      </c>
      <c r="Y23" s="871">
        <f>3.2808399*SUM(E9:E282)</f>
        <v>53.300000081016009</v>
      </c>
    </row>
    <row r="24" spans="1:27">
      <c r="A24" s="856" t="s">
        <v>725</v>
      </c>
      <c r="B24" s="1" t="s">
        <v>726</v>
      </c>
      <c r="C24" s="882"/>
      <c r="D24" s="75"/>
      <c r="E24" s="883"/>
      <c r="F24" s="162" t="str">
        <f t="shared" si="1"/>
        <v/>
      </c>
      <c r="G24" s="35" t="str">
        <f t="shared" si="19"/>
        <v/>
      </c>
      <c r="H24" s="857" t="str">
        <f>IF(C24="","",IF($C$6="Galvanized Steel",VLOOKUP(G24,[1]Data!$A$5:$K$30,11,FALSE),IF($C$6="Stainless Steel",VLOOKUP(G24,[1]Data!$M$5:$W$28,9,FALSE),IF($C$6="Aluminum",VLOOKUP(G24,[1]Data!$A$40:$L$73,9,FALSE)))))</f>
        <v/>
      </c>
      <c r="I24" s="857" t="str">
        <f>IF(C24="","",IF($C$6="Galvanized Steel",VLOOKUP(G24,[1]Data!$A$5:$K$30,8,FALSE),IF($C$6="Stainless Steel",VLOOKUP(G24,[1]Data!$M$5:$W$28,7,FALSE),IF($C$6="Aluminum",VLOOKUP(G24,[1]Data!$A$40:$L$73,7,FALSE)))))</f>
        <v/>
      </c>
      <c r="J24" s="35" t="str">
        <f t="shared" si="2"/>
        <v/>
      </c>
      <c r="K24" s="35" t="str">
        <f t="shared" si="3"/>
        <v/>
      </c>
      <c r="L24" s="35" t="str">
        <f t="shared" si="4"/>
        <v/>
      </c>
      <c r="M24" s="35" t="str">
        <f t="shared" si="0"/>
        <v/>
      </c>
      <c r="N24" s="35" t="str">
        <f t="shared" si="5"/>
        <v/>
      </c>
      <c r="O24" s="35" t="str">
        <f t="shared" si="6"/>
        <v/>
      </c>
      <c r="P24" s="35" t="str">
        <f t="shared" si="7"/>
        <v/>
      </c>
      <c r="Q24" s="78" t="str">
        <f t="shared" si="8"/>
        <v/>
      </c>
      <c r="R24" s="35" t="str">
        <f t="shared" si="20"/>
        <v/>
      </c>
      <c r="S24" s="1" t="str">
        <f>IF(C24="","",IF(C24&lt;20,8,INDEX([1]Data!$R$34:$T$38,MATCH(C24,Max_Width__Inch,1),3)))</f>
        <v/>
      </c>
      <c r="T24" s="35" t="str">
        <f>IF(C24="","",IF(C24&lt;20,"25x25x2",INDEX([1]Data!$R$34:$T$38,MATCH(C24,Max_Width__Inch,1),2)))</f>
        <v/>
      </c>
      <c r="U24" s="35" t="str">
        <f>IF(C24="","",IF(C24&lt;20,3,INDEX([1]Data!$R$34:$T$38,MATCH(C24,Max_Width__Inch,1),1)))</f>
        <v/>
      </c>
      <c r="V24" s="78" t="str">
        <f t="shared" si="9"/>
        <v/>
      </c>
      <c r="X24" s="126"/>
      <c r="Y24" s="21"/>
      <c r="Z24" s="126"/>
      <c r="AA24" s="21"/>
    </row>
    <row r="25" spans="1:27" ht="15.75" thickBot="1">
      <c r="A25" s="856" t="s">
        <v>725</v>
      </c>
      <c r="B25" s="1" t="s">
        <v>726</v>
      </c>
      <c r="C25" s="882"/>
      <c r="D25" s="75"/>
      <c r="E25" s="883"/>
      <c r="F25" s="162" t="str">
        <f t="shared" si="1"/>
        <v/>
      </c>
      <c r="G25" s="35" t="str">
        <f t="shared" si="19"/>
        <v/>
      </c>
      <c r="H25" s="857" t="str">
        <f>IF(C25="","",IF($C$6="Galvanized Steel",VLOOKUP(G25,[1]Data!$A$5:$K$30,11,FALSE),IF($C$6="Stainless Steel",VLOOKUP(G25,[1]Data!$M$5:$W$28,9,FALSE),IF($C$6="Aluminum",VLOOKUP(G25,[1]Data!$A$40:$L$73,9,FALSE)))))</f>
        <v/>
      </c>
      <c r="I25" s="857" t="str">
        <f>IF(C25="","",IF($C$6="Galvanized Steel",VLOOKUP(G25,[1]Data!$A$5:$K$30,8,FALSE),IF($C$6="Stainless Steel",VLOOKUP(G25,[1]Data!$M$5:$W$28,7,FALSE),IF($C$6="Aluminum",VLOOKUP(G25,[1]Data!$A$40:$L$73,7,FALSE)))))</f>
        <v/>
      </c>
      <c r="J25" s="35" t="str">
        <f t="shared" si="2"/>
        <v/>
      </c>
      <c r="K25" s="35" t="str">
        <f t="shared" si="3"/>
        <v/>
      </c>
      <c r="L25" s="35" t="str">
        <f t="shared" si="4"/>
        <v/>
      </c>
      <c r="M25" s="35" t="str">
        <f t="shared" si="0"/>
        <v/>
      </c>
      <c r="N25" s="35" t="str">
        <f t="shared" si="5"/>
        <v/>
      </c>
      <c r="O25" s="35" t="str">
        <f t="shared" si="6"/>
        <v/>
      </c>
      <c r="P25" s="35" t="str">
        <f t="shared" si="7"/>
        <v/>
      </c>
      <c r="Q25" s="78" t="str">
        <f t="shared" si="8"/>
        <v/>
      </c>
      <c r="R25" s="35" t="str">
        <f t="shared" si="20"/>
        <v/>
      </c>
      <c r="S25" s="1" t="str">
        <f>IF(C25="","",IF(C25&lt;20,8,INDEX([1]Data!$R$34:$T$38,MATCH(C25,Max_Width__Inch,1),3)))</f>
        <v/>
      </c>
      <c r="T25" s="35" t="str">
        <f>IF(C25="","",IF(C25&lt;20,"25x25x2",INDEX([1]Data!$R$34:$T$38,MATCH(C25,Max_Width__Inch,1),2)))</f>
        <v/>
      </c>
      <c r="U25" s="35" t="str">
        <f>IF(C25="","",IF(C25&lt;20,3,INDEX([1]Data!$R$34:$T$38,MATCH(C25,Max_Width__Inch,1),1)))</f>
        <v/>
      </c>
      <c r="V25" s="78" t="str">
        <f t="shared" si="9"/>
        <v/>
      </c>
      <c r="X25" s="126"/>
      <c r="Y25" s="21"/>
      <c r="Z25" s="126"/>
      <c r="AA25" s="21"/>
    </row>
    <row r="26" spans="1:27">
      <c r="A26" s="856" t="s">
        <v>725</v>
      </c>
      <c r="B26" s="1" t="s">
        <v>726</v>
      </c>
      <c r="C26" s="882"/>
      <c r="D26" s="75"/>
      <c r="E26" s="883"/>
      <c r="F26" s="162" t="str">
        <f t="shared" si="1"/>
        <v/>
      </c>
      <c r="G26" s="35" t="str">
        <f t="shared" si="19"/>
        <v/>
      </c>
      <c r="H26" s="857" t="str">
        <f>IF(C26="","",IF($C$6="Galvanized Steel",VLOOKUP(G26,[1]Data!$A$5:$K$30,11,FALSE),IF($C$6="Stainless Steel",VLOOKUP(G26,[1]Data!$M$5:$W$28,9,FALSE),IF($C$6="Aluminum",VLOOKUP(G26,[1]Data!$A$40:$L$73,9,FALSE)))))</f>
        <v/>
      </c>
      <c r="I26" s="857" t="str">
        <f>IF(C26="","",IF($C$6="Galvanized Steel",VLOOKUP(G26,[1]Data!$A$5:$K$30,8,FALSE),IF($C$6="Stainless Steel",VLOOKUP(G26,[1]Data!$M$5:$W$28,7,FALSE),IF($C$6="Aluminum",VLOOKUP(G26,[1]Data!$A$40:$L$73,7,FALSE)))))</f>
        <v/>
      </c>
      <c r="J26" s="35" t="str">
        <f t="shared" si="2"/>
        <v/>
      </c>
      <c r="K26" s="35" t="str">
        <f t="shared" si="3"/>
        <v/>
      </c>
      <c r="L26" s="35" t="str">
        <f t="shared" si="4"/>
        <v/>
      </c>
      <c r="M26" s="35" t="str">
        <f t="shared" si="0"/>
        <v/>
      </c>
      <c r="N26" s="35" t="str">
        <f t="shared" si="5"/>
        <v/>
      </c>
      <c r="O26" s="35" t="str">
        <f t="shared" si="6"/>
        <v/>
      </c>
      <c r="P26" s="35" t="str">
        <f t="shared" si="7"/>
        <v/>
      </c>
      <c r="Q26" s="78" t="str">
        <f t="shared" si="8"/>
        <v/>
      </c>
      <c r="R26" s="35" t="str">
        <f t="shared" si="20"/>
        <v/>
      </c>
      <c r="S26" s="1" t="str">
        <f>IF(C26="","",IF(C26&lt;20,8,INDEX([1]Data!$R$34:$T$38,MATCH(C26,Max_Width__Inch,1),3)))</f>
        <v/>
      </c>
      <c r="T26" s="35" t="str">
        <f>IF(C26="","",IF(C26&lt;20,"25x25x2",INDEX([1]Data!$R$34:$T$38,MATCH(C26,Max_Width__Inch,1),2)))</f>
        <v/>
      </c>
      <c r="U26" s="35" t="str">
        <f>IF(C26="","",IF(C26&lt;20,3,INDEX([1]Data!$R$34:$T$38,MATCH(C26,Max_Width__Inch,1),1)))</f>
        <v/>
      </c>
      <c r="V26" s="78" t="str">
        <f t="shared" si="9"/>
        <v/>
      </c>
      <c r="X26" s="858" t="s">
        <v>742</v>
      </c>
      <c r="Y26" s="859" t="s">
        <v>743</v>
      </c>
      <c r="Z26" s="858" t="s">
        <v>744</v>
      </c>
      <c r="AA26" s="859" t="s">
        <v>745</v>
      </c>
    </row>
    <row r="27" spans="1:27" ht="15.75" thickBot="1">
      <c r="A27" s="856" t="s">
        <v>725</v>
      </c>
      <c r="B27" s="1" t="s">
        <v>726</v>
      </c>
      <c r="C27" s="882"/>
      <c r="D27" s="75"/>
      <c r="E27" s="883"/>
      <c r="F27" s="162" t="str">
        <f t="shared" si="1"/>
        <v/>
      </c>
      <c r="G27" s="35" t="str">
        <f t="shared" si="19"/>
        <v/>
      </c>
      <c r="H27" s="857" t="str">
        <f>IF(C27="","",IF($C$6="Galvanized Steel",VLOOKUP(G27,[1]Data!$A$5:$K$30,11,FALSE),IF($C$6="Stainless Steel",VLOOKUP(G27,[1]Data!$M$5:$W$28,9,FALSE),IF($C$6="Aluminum",VLOOKUP(G27,[1]Data!$A$40:$L$73,9,FALSE)))))</f>
        <v/>
      </c>
      <c r="I27" s="857" t="str">
        <f>IF(C27="","",IF($C$6="Galvanized Steel",VLOOKUP(G27,[1]Data!$A$5:$K$30,8,FALSE),IF($C$6="Stainless Steel",VLOOKUP(G27,[1]Data!$M$5:$W$28,7,FALSE),IF($C$6="Aluminum",VLOOKUP(G27,[1]Data!$A$40:$L$73,7,FALSE)))))</f>
        <v/>
      </c>
      <c r="J27" s="35" t="str">
        <f t="shared" si="2"/>
        <v/>
      </c>
      <c r="K27" s="35" t="str">
        <f t="shared" si="3"/>
        <v/>
      </c>
      <c r="L27" s="35" t="str">
        <f t="shared" si="4"/>
        <v/>
      </c>
      <c r="M27" s="35" t="str">
        <f t="shared" si="0"/>
        <v/>
      </c>
      <c r="N27" s="35" t="str">
        <f t="shared" si="5"/>
        <v/>
      </c>
      <c r="O27" s="35" t="str">
        <f t="shared" si="6"/>
        <v/>
      </c>
      <c r="P27" s="35" t="str">
        <f t="shared" si="7"/>
        <v/>
      </c>
      <c r="Q27" s="78" t="str">
        <f t="shared" si="8"/>
        <v/>
      </c>
      <c r="R27" s="35" t="str">
        <f t="shared" si="20"/>
        <v/>
      </c>
      <c r="S27" s="1" t="str">
        <f>IF(C27="","",IF(C27&lt;20,8,INDEX([1]Data!$R$34:$T$38,MATCH(C27,Max_Width__Inch,1),3)))</f>
        <v/>
      </c>
      <c r="T27" s="35" t="str">
        <f>IF(C27="","",IF(C27&lt;20,"25x25x2",INDEX([1]Data!$R$34:$T$38,MATCH(C27,Max_Width__Inch,1),2)))</f>
        <v/>
      </c>
      <c r="U27" s="35" t="str">
        <f>IF(C27="","",IF(C27&lt;20,3,INDEX([1]Data!$R$34:$T$38,MATCH(C27,Max_Width__Inch,1),1)))</f>
        <v/>
      </c>
      <c r="V27" s="78" t="str">
        <f t="shared" si="9"/>
        <v/>
      </c>
      <c r="X27" s="872">
        <v>4</v>
      </c>
      <c r="Y27" s="872">
        <v>1.3</v>
      </c>
      <c r="Z27" s="872">
        <v>20</v>
      </c>
      <c r="AA27" s="872">
        <v>2</v>
      </c>
    </row>
    <row r="28" spans="1:27" ht="15.75" thickBot="1">
      <c r="A28" s="856" t="s">
        <v>725</v>
      </c>
      <c r="B28" s="1" t="s">
        <v>726</v>
      </c>
      <c r="C28" s="882"/>
      <c r="D28" s="75"/>
      <c r="E28" s="883"/>
      <c r="F28" s="162" t="str">
        <f t="shared" si="1"/>
        <v/>
      </c>
      <c r="G28" s="35" t="str">
        <f t="shared" si="19"/>
        <v/>
      </c>
      <c r="H28" s="857" t="str">
        <f>IF(C28="","",IF($C$6="Galvanized Steel",VLOOKUP(G28,[1]Data!$A$5:$K$30,11,FALSE),IF($C$6="Stainless Steel",VLOOKUP(G28,[1]Data!$M$5:$W$28,9,FALSE),IF($C$6="Aluminum",VLOOKUP(G28,[1]Data!$A$40:$L$73,9,FALSE)))))</f>
        <v/>
      </c>
      <c r="I28" s="857" t="str">
        <f>IF(C28="","",IF($C$6="Galvanized Steel",VLOOKUP(G28,[1]Data!$A$5:$K$30,8,FALSE),IF($C$6="Stainless Steel",VLOOKUP(G28,[1]Data!$M$5:$W$28,7,FALSE),IF($C$6="Aluminum",VLOOKUP(G28,[1]Data!$A$40:$L$73,7,FALSE)))))</f>
        <v/>
      </c>
      <c r="J28" s="35" t="str">
        <f t="shared" si="2"/>
        <v/>
      </c>
      <c r="K28" s="35" t="str">
        <f t="shared" si="3"/>
        <v/>
      </c>
      <c r="L28" s="35" t="str">
        <f t="shared" si="4"/>
        <v/>
      </c>
      <c r="M28" s="35" t="str">
        <f t="shared" si="0"/>
        <v/>
      </c>
      <c r="N28" s="35" t="str">
        <f t="shared" si="5"/>
        <v/>
      </c>
      <c r="O28" s="35" t="str">
        <f t="shared" si="6"/>
        <v/>
      </c>
      <c r="P28" s="35" t="str">
        <f t="shared" si="7"/>
        <v/>
      </c>
      <c r="Q28" s="78" t="str">
        <f t="shared" si="8"/>
        <v/>
      </c>
      <c r="R28" s="35" t="str">
        <f t="shared" si="20"/>
        <v/>
      </c>
      <c r="S28" s="1" t="str">
        <f>IF(C28="","",IF(C28&lt;20,8,INDEX([1]Data!$R$34:$T$38,MATCH(C28,Max_Width__Inch,1),3)))</f>
        <v/>
      </c>
      <c r="T28" s="35" t="str">
        <f>IF(C28="","",IF(C28&lt;20,"25x25x2",INDEX([1]Data!$R$34:$T$38,MATCH(C28,Max_Width__Inch,1),2)))</f>
        <v/>
      </c>
      <c r="U28" s="35" t="str">
        <f>IF(C28="","",IF(C28&lt;20,3,INDEX([1]Data!$R$34:$T$38,MATCH(C28,Max_Width__Inch,1),1)))</f>
        <v/>
      </c>
      <c r="V28" s="78" t="str">
        <f t="shared" si="9"/>
        <v/>
      </c>
      <c r="X28" s="873" t="s">
        <v>747</v>
      </c>
      <c r="Y28" s="1">
        <f>X27*AA13</f>
        <v>454.33460072113485</v>
      </c>
      <c r="Z28" s="874" t="s">
        <v>748</v>
      </c>
      <c r="AA28" s="1">
        <f>Y27*AA15</f>
        <v>202.25327133619578</v>
      </c>
    </row>
    <row r="29" spans="1:27">
      <c r="A29" s="856" t="s">
        <v>725</v>
      </c>
      <c r="B29" s="1" t="s">
        <v>726</v>
      </c>
      <c r="C29" s="882"/>
      <c r="D29" s="75"/>
      <c r="E29" s="883"/>
      <c r="F29" s="162" t="str">
        <f t="shared" si="1"/>
        <v/>
      </c>
      <c r="G29" s="35" t="str">
        <f t="shared" si="19"/>
        <v/>
      </c>
      <c r="H29" s="857" t="str">
        <f>IF(C29="","",IF($C$6="Galvanized Steel",VLOOKUP(G29,[1]Data!$A$5:$K$30,11,FALSE),IF($C$6="Stainless Steel",VLOOKUP(G29,[1]Data!$M$5:$W$28,9,FALSE),IF($C$6="Aluminum",VLOOKUP(G29,[1]Data!$A$40:$L$73,9,FALSE)))))</f>
        <v/>
      </c>
      <c r="I29" s="857" t="str">
        <f>IF(C29="","",IF($C$6="Galvanized Steel",VLOOKUP(G29,[1]Data!$A$5:$K$30,8,FALSE),IF($C$6="Stainless Steel",VLOOKUP(G29,[1]Data!$M$5:$W$28,7,FALSE),IF($C$6="Aluminum",VLOOKUP(G29,[1]Data!$A$40:$L$73,7,FALSE)))))</f>
        <v/>
      </c>
      <c r="J29" s="35" t="str">
        <f t="shared" si="2"/>
        <v/>
      </c>
      <c r="K29" s="35" t="str">
        <f t="shared" si="3"/>
        <v/>
      </c>
      <c r="L29" s="35" t="str">
        <f t="shared" si="4"/>
        <v/>
      </c>
      <c r="M29" s="35" t="str">
        <f t="shared" si="0"/>
        <v/>
      </c>
      <c r="N29" s="35" t="str">
        <f t="shared" si="5"/>
        <v/>
      </c>
      <c r="O29" s="35" t="str">
        <f t="shared" si="6"/>
        <v/>
      </c>
      <c r="P29" s="35" t="str">
        <f t="shared" si="7"/>
        <v/>
      </c>
      <c r="Q29" s="78" t="str">
        <f t="shared" si="8"/>
        <v/>
      </c>
      <c r="R29" s="35" t="str">
        <f t="shared" si="20"/>
        <v/>
      </c>
      <c r="S29" s="1" t="str">
        <f>IF(C29="","",IF(C29&lt;20,8,INDEX([1]Data!$R$34:$T$38,MATCH(C29,Max_Width__Inch,1),3)))</f>
        <v/>
      </c>
      <c r="T29" s="35" t="str">
        <f>IF(C29="","",IF(C29&lt;20,"25x25x2",INDEX([1]Data!$R$34:$T$38,MATCH(C29,Max_Width__Inch,1),2)))</f>
        <v/>
      </c>
      <c r="U29" s="35" t="str">
        <f>IF(C29="","",IF(C29&lt;20,3,INDEX([1]Data!$R$34:$T$38,MATCH(C29,Max_Width__Inch,1),1)))</f>
        <v/>
      </c>
      <c r="V29" s="78" t="str">
        <f t="shared" si="9"/>
        <v/>
      </c>
      <c r="X29" s="873" t="s">
        <v>749</v>
      </c>
      <c r="Y29" s="1">
        <f>Y23*Z27</f>
        <v>1066.0000016203203</v>
      </c>
      <c r="Z29" s="874" t="s">
        <v>750</v>
      </c>
      <c r="AA29" s="1">
        <f>AA27*AA15</f>
        <v>311.15887897876274</v>
      </c>
    </row>
    <row r="30" spans="1:27" ht="15.75" thickBot="1">
      <c r="A30" s="856" t="s">
        <v>725</v>
      </c>
      <c r="B30" s="1" t="s">
        <v>726</v>
      </c>
      <c r="C30" s="882"/>
      <c r="D30" s="75"/>
      <c r="E30" s="883"/>
      <c r="F30" s="162" t="str">
        <f t="shared" si="1"/>
        <v/>
      </c>
      <c r="G30" s="35" t="str">
        <f t="shared" si="19"/>
        <v/>
      </c>
      <c r="H30" s="857" t="str">
        <f>IF(C30="","",IF($C$6="Galvanized Steel",VLOOKUP(G30,[1]Data!$A$5:$K$30,11,FALSE),IF($C$6="Stainless Steel",VLOOKUP(G30,[1]Data!$M$5:$W$28,9,FALSE),IF($C$6="Aluminum",VLOOKUP(G30,[1]Data!$A$40:$L$73,9,FALSE)))))</f>
        <v/>
      </c>
      <c r="I30" s="857" t="str">
        <f>IF(C30="","",IF($C$6="Galvanized Steel",VLOOKUP(G30,[1]Data!$A$5:$K$30,8,FALSE),IF($C$6="Stainless Steel",VLOOKUP(G30,[1]Data!$M$5:$W$28,7,FALSE),IF($C$6="Aluminum",VLOOKUP(G30,[1]Data!$A$40:$L$73,7,FALSE)))))</f>
        <v/>
      </c>
      <c r="J30" s="35" t="str">
        <f t="shared" si="2"/>
        <v/>
      </c>
      <c r="K30" s="35" t="str">
        <f t="shared" si="3"/>
        <v/>
      </c>
      <c r="L30" s="35" t="str">
        <f t="shared" si="4"/>
        <v/>
      </c>
      <c r="M30" s="35" t="str">
        <f t="shared" si="0"/>
        <v/>
      </c>
      <c r="N30" s="35" t="str">
        <f t="shared" si="5"/>
        <v/>
      </c>
      <c r="O30" s="35" t="str">
        <f t="shared" si="6"/>
        <v/>
      </c>
      <c r="P30" s="35" t="str">
        <f t="shared" si="7"/>
        <v/>
      </c>
      <c r="Q30" s="78" t="str">
        <f t="shared" si="8"/>
        <v/>
      </c>
      <c r="R30" s="35" t="str">
        <f t="shared" si="20"/>
        <v/>
      </c>
      <c r="S30" s="1" t="str">
        <f>IF(C30="","",IF(C30&lt;20,8,INDEX([1]Data!$R$34:$T$38,MATCH(C30,Max_Width__Inch,1),3)))</f>
        <v/>
      </c>
      <c r="T30" s="35" t="str">
        <f>IF(C30="","",IF(C30&lt;20,"25x25x2",INDEX([1]Data!$R$34:$T$38,MATCH(C30,Max_Width__Inch,1),2)))</f>
        <v/>
      </c>
      <c r="U30" s="35" t="str">
        <f>IF(C30="","",IF(C30&lt;20,3,INDEX([1]Data!$R$34:$T$38,MATCH(C30,Max_Width__Inch,1),1)))</f>
        <v/>
      </c>
      <c r="V30" s="78" t="str">
        <f t="shared" si="9"/>
        <v/>
      </c>
    </row>
    <row r="31" spans="1:27">
      <c r="A31" s="856" t="s">
        <v>725</v>
      </c>
      <c r="B31" s="1" t="s">
        <v>726</v>
      </c>
      <c r="C31" s="882"/>
      <c r="D31" s="75"/>
      <c r="E31" s="883"/>
      <c r="F31" s="162" t="str">
        <f t="shared" si="1"/>
        <v/>
      </c>
      <c r="G31" s="35" t="str">
        <f t="shared" si="19"/>
        <v/>
      </c>
      <c r="H31" s="857" t="str">
        <f>IF(C31="","",IF($C$6="Galvanized Steel",VLOOKUP(G31,[1]Data!$A$5:$K$30,11,FALSE),IF($C$6="Stainless Steel",VLOOKUP(G31,[1]Data!$M$5:$W$28,9,FALSE),IF($C$6="Aluminum",VLOOKUP(G31,[1]Data!$A$40:$L$73,9,FALSE)))))</f>
        <v/>
      </c>
      <c r="I31" s="857" t="str">
        <f>IF(C31="","",IF($C$6="Galvanized Steel",VLOOKUP(G31,[1]Data!$A$5:$K$30,8,FALSE),IF($C$6="Stainless Steel",VLOOKUP(G31,[1]Data!$M$5:$W$28,7,FALSE),IF($C$6="Aluminum",VLOOKUP(G31,[1]Data!$A$40:$L$73,7,FALSE)))))</f>
        <v/>
      </c>
      <c r="J31" s="35" t="str">
        <f t="shared" si="2"/>
        <v/>
      </c>
      <c r="K31" s="35" t="str">
        <f t="shared" si="3"/>
        <v/>
      </c>
      <c r="L31" s="35" t="str">
        <f t="shared" si="4"/>
        <v/>
      </c>
      <c r="M31" s="35" t="str">
        <f t="shared" si="0"/>
        <v/>
      </c>
      <c r="N31" s="35" t="str">
        <f t="shared" si="5"/>
        <v/>
      </c>
      <c r="O31" s="35" t="str">
        <f t="shared" si="6"/>
        <v/>
      </c>
      <c r="P31" s="35" t="str">
        <f t="shared" si="7"/>
        <v/>
      </c>
      <c r="Q31" s="78" t="str">
        <f t="shared" si="8"/>
        <v/>
      </c>
      <c r="R31" s="35" t="str">
        <f t="shared" si="20"/>
        <v/>
      </c>
      <c r="S31" s="1" t="str">
        <f>IF(C31="","",IF(C31&lt;20,8,INDEX([1]Data!$R$34:$T$38,MATCH(C31,Max_Width__Inch,1),3)))</f>
        <v/>
      </c>
      <c r="T31" s="35" t="str">
        <f>IF(C31="","",IF(C31&lt;20,"25x25x2",INDEX([1]Data!$R$34:$T$38,MATCH(C31,Max_Width__Inch,1),2)))</f>
        <v/>
      </c>
      <c r="U31" s="35" t="str">
        <f>IF(C31="","",IF(C31&lt;20,3,INDEX([1]Data!$R$34:$T$38,MATCH(C31,Max_Width__Inch,1),1)))</f>
        <v/>
      </c>
      <c r="V31" s="78" t="str">
        <f t="shared" si="9"/>
        <v/>
      </c>
      <c r="X31" s="875" t="s">
        <v>751</v>
      </c>
      <c r="Y31" s="1">
        <f>Y28+AA28</f>
        <v>656.58787205733063</v>
      </c>
      <c r="Z31" s="873" t="s">
        <v>752</v>
      </c>
      <c r="AA31" s="1">
        <f>Y29+AA29</f>
        <v>1377.158880599083</v>
      </c>
    </row>
    <row r="32" spans="1:27">
      <c r="A32" s="856" t="s">
        <v>725</v>
      </c>
      <c r="B32" s="1" t="s">
        <v>726</v>
      </c>
      <c r="C32" s="882"/>
      <c r="D32" s="75"/>
      <c r="E32" s="883"/>
      <c r="F32" s="162" t="str">
        <f t="shared" si="1"/>
        <v/>
      </c>
      <c r="G32" s="35" t="str">
        <f t="shared" si="19"/>
        <v/>
      </c>
      <c r="H32" s="857" t="str">
        <f>IF(C32="","",IF($C$6="Galvanized Steel",VLOOKUP(G32,[1]Data!$A$5:$K$30,11,FALSE),IF($C$6="Stainless Steel",VLOOKUP(G32,[1]Data!$M$5:$W$28,9,FALSE),IF($C$6="Aluminum",VLOOKUP(G32,[1]Data!$A$40:$L$73,9,FALSE)))))</f>
        <v/>
      </c>
      <c r="I32" s="857" t="str">
        <f>IF(C32="","",IF($C$6="Galvanized Steel",VLOOKUP(G32,[1]Data!$A$5:$K$30,8,FALSE),IF($C$6="Stainless Steel",VLOOKUP(G32,[1]Data!$M$5:$W$28,7,FALSE),IF($C$6="Aluminum",VLOOKUP(G32,[1]Data!$A$40:$L$73,7,FALSE)))))</f>
        <v/>
      </c>
      <c r="J32" s="35" t="str">
        <f t="shared" si="2"/>
        <v/>
      </c>
      <c r="K32" s="35" t="str">
        <f t="shared" si="3"/>
        <v/>
      </c>
      <c r="L32" s="35" t="str">
        <f t="shared" si="4"/>
        <v/>
      </c>
      <c r="M32" s="35" t="str">
        <f t="shared" si="0"/>
        <v/>
      </c>
      <c r="N32" s="35" t="str">
        <f t="shared" si="5"/>
        <v/>
      </c>
      <c r="O32" s="35" t="str">
        <f t="shared" si="6"/>
        <v/>
      </c>
      <c r="P32" s="35" t="str">
        <f t="shared" si="7"/>
        <v/>
      </c>
      <c r="Q32" s="78" t="str">
        <f t="shared" si="8"/>
        <v/>
      </c>
      <c r="R32" s="35" t="str">
        <f t="shared" si="20"/>
        <v/>
      </c>
      <c r="S32" s="1" t="str">
        <f>IF(C32="","",IF(C32&lt;20,8,INDEX([1]Data!$R$34:$T$38,MATCH(C32,Max_Width__Inch,1),3)))</f>
        <v/>
      </c>
      <c r="T32" s="35" t="str">
        <f>IF(C32="","",IF(C32&lt;20,"25x25x2",INDEX([1]Data!$R$34:$T$38,MATCH(C32,Max_Width__Inch,1),2)))</f>
        <v/>
      </c>
      <c r="U32" s="35" t="str">
        <f>IF(C32="","",IF(C32&lt;20,3,INDEX([1]Data!$R$34:$T$38,MATCH(C32,Max_Width__Inch,1),1)))</f>
        <v/>
      </c>
      <c r="V32" s="78" t="str">
        <f t="shared" si="9"/>
        <v/>
      </c>
      <c r="W32" s="895"/>
      <c r="X32" s="895"/>
    </row>
    <row r="33" spans="1:25">
      <c r="A33" s="856" t="s">
        <v>725</v>
      </c>
      <c r="B33" s="1" t="s">
        <v>726</v>
      </c>
      <c r="C33" s="882"/>
      <c r="D33" s="75"/>
      <c r="E33" s="883"/>
      <c r="F33" s="162" t="str">
        <f t="shared" si="1"/>
        <v/>
      </c>
      <c r="G33" s="35" t="str">
        <f t="shared" si="19"/>
        <v/>
      </c>
      <c r="H33" s="857" t="str">
        <f>IF(C33="","",IF($C$6="Galvanized Steel",VLOOKUP(G33,[1]Data!$A$5:$K$30,11,FALSE),IF($C$6="Stainless Steel",VLOOKUP(G33,[1]Data!$M$5:$W$28,9,FALSE),IF($C$6="Aluminum",VLOOKUP(G33,[1]Data!$A$40:$L$73,9,FALSE)))))</f>
        <v/>
      </c>
      <c r="I33" s="857" t="str">
        <f>IF(C33="","",IF($C$6="Galvanized Steel",VLOOKUP(G33,[1]Data!$A$5:$K$30,8,FALSE),IF($C$6="Stainless Steel",VLOOKUP(G33,[1]Data!$M$5:$W$28,7,FALSE),IF($C$6="Aluminum",VLOOKUP(G33,[1]Data!$A$40:$L$73,7,FALSE)))))</f>
        <v/>
      </c>
      <c r="J33" s="35" t="str">
        <f t="shared" si="2"/>
        <v/>
      </c>
      <c r="K33" s="35" t="str">
        <f t="shared" si="3"/>
        <v/>
      </c>
      <c r="L33" s="35" t="str">
        <f t="shared" si="4"/>
        <v/>
      </c>
      <c r="M33" s="35" t="str">
        <f t="shared" si="0"/>
        <v/>
      </c>
      <c r="N33" s="35" t="str">
        <f t="shared" si="5"/>
        <v/>
      </c>
      <c r="O33" s="35" t="str">
        <f t="shared" si="6"/>
        <v/>
      </c>
      <c r="P33" s="35" t="str">
        <f t="shared" si="7"/>
        <v/>
      </c>
      <c r="Q33" s="78" t="str">
        <f t="shared" si="8"/>
        <v/>
      </c>
      <c r="R33" s="35" t="str">
        <f t="shared" si="20"/>
        <v/>
      </c>
      <c r="S33" s="1" t="str">
        <f>IF(C33="","",IF(C33&lt;20,8,INDEX([1]Data!$R$34:$T$38,MATCH(C33,Max_Width__Inch,1),3)))</f>
        <v/>
      </c>
      <c r="T33" s="35" t="str">
        <f>IF(C33="","",IF(C33&lt;20,"25x25x2",INDEX([1]Data!$R$34:$T$38,MATCH(C33,Max_Width__Inch,1),2)))</f>
        <v/>
      </c>
      <c r="U33" s="35" t="str">
        <f>IF(C33="","",IF(C33&lt;20,3,INDEX([1]Data!$R$34:$T$38,MATCH(C33,Max_Width__Inch,1),1)))</f>
        <v/>
      </c>
      <c r="V33" s="78" t="str">
        <f t="shared" si="9"/>
        <v/>
      </c>
      <c r="X33" s="876" t="s">
        <v>235</v>
      </c>
      <c r="Y33" s="1">
        <f>Y31+AA31</f>
        <v>2033.7467526564137</v>
      </c>
    </row>
    <row r="34" spans="1:25">
      <c r="A34" s="856" t="s">
        <v>725</v>
      </c>
      <c r="B34" s="1" t="s">
        <v>726</v>
      </c>
      <c r="C34" s="882"/>
      <c r="D34" s="75"/>
      <c r="E34" s="883"/>
      <c r="F34" s="162" t="str">
        <f t="shared" si="1"/>
        <v/>
      </c>
      <c r="G34" s="35" t="str">
        <f t="shared" si="19"/>
        <v/>
      </c>
      <c r="H34" s="857" t="str">
        <f>IF(C34="","",IF($C$6="Galvanized Steel",VLOOKUP(G34,[1]Data!$A$5:$K$30,11,FALSE),IF($C$6="Stainless Steel",VLOOKUP(G34,[1]Data!$M$5:$W$28,9,FALSE),IF($C$6="Aluminum",VLOOKUP(G34,[1]Data!$A$40:$L$73,9,FALSE)))))</f>
        <v/>
      </c>
      <c r="I34" s="857" t="str">
        <f>IF(C34="","",IF($C$6="Galvanized Steel",VLOOKUP(G34,[1]Data!$A$5:$K$30,8,FALSE),IF($C$6="Stainless Steel",VLOOKUP(G34,[1]Data!$M$5:$W$28,7,FALSE),IF($C$6="Aluminum",VLOOKUP(G34,[1]Data!$A$40:$L$73,7,FALSE)))))</f>
        <v/>
      </c>
      <c r="J34" s="35" t="str">
        <f t="shared" si="2"/>
        <v/>
      </c>
      <c r="K34" s="35" t="str">
        <f t="shared" si="3"/>
        <v/>
      </c>
      <c r="L34" s="35" t="str">
        <f t="shared" si="4"/>
        <v/>
      </c>
      <c r="M34" s="35" t="str">
        <f t="shared" si="0"/>
        <v/>
      </c>
      <c r="N34" s="35" t="str">
        <f t="shared" si="5"/>
        <v/>
      </c>
      <c r="O34" s="35" t="str">
        <f t="shared" si="6"/>
        <v/>
      </c>
      <c r="P34" s="35" t="str">
        <f t="shared" si="7"/>
        <v/>
      </c>
      <c r="Q34" s="78" t="str">
        <f t="shared" si="8"/>
        <v/>
      </c>
      <c r="R34" s="35" t="str">
        <f t="shared" si="20"/>
        <v/>
      </c>
      <c r="S34" s="1" t="str">
        <f>IF(C34="","",IF(C34&lt;20,8,INDEX([1]Data!$R$34:$T$38,MATCH(C34,Max_Width__Inch,1),3)))</f>
        <v/>
      </c>
      <c r="T34" s="35" t="str">
        <f>IF(C34="","",IF(C34&lt;20,"25x25x2",INDEX([1]Data!$R$34:$T$38,MATCH(C34,Max_Width__Inch,1),2)))</f>
        <v/>
      </c>
      <c r="U34" s="35" t="str">
        <f>IF(C34="","",IF(C34&lt;20,3,INDEX([1]Data!$R$34:$T$38,MATCH(C34,Max_Width__Inch,1),1)))</f>
        <v/>
      </c>
      <c r="V34" s="78" t="str">
        <f t="shared" si="9"/>
        <v/>
      </c>
    </row>
    <row r="35" spans="1:25">
      <c r="A35" s="856" t="s">
        <v>725</v>
      </c>
      <c r="B35" s="1" t="s">
        <v>726</v>
      </c>
      <c r="C35" s="882"/>
      <c r="D35" s="75"/>
      <c r="E35" s="883"/>
      <c r="F35" s="162" t="str">
        <f t="shared" si="1"/>
        <v/>
      </c>
      <c r="G35" s="35" t="str">
        <f t="shared" si="19"/>
        <v/>
      </c>
      <c r="H35" s="857" t="str">
        <f>IF(C35="","",IF($C$6="Galvanized Steel",VLOOKUP(G35,[1]Data!$A$5:$K$30,11,FALSE),IF($C$6="Stainless Steel",VLOOKUP(G35,[1]Data!$M$5:$W$28,9,FALSE),IF($C$6="Aluminum",VLOOKUP(G35,[1]Data!$A$40:$L$73,9,FALSE)))))</f>
        <v/>
      </c>
      <c r="I35" s="857" t="str">
        <f>IF(C35="","",IF($C$6="Galvanized Steel",VLOOKUP(G35,[1]Data!$A$5:$K$30,8,FALSE),IF($C$6="Stainless Steel",VLOOKUP(G35,[1]Data!$M$5:$W$28,7,FALSE),IF($C$6="Aluminum",VLOOKUP(G35,[1]Data!$A$40:$L$73,7,FALSE)))))</f>
        <v/>
      </c>
      <c r="J35" s="35" t="str">
        <f t="shared" si="2"/>
        <v/>
      </c>
      <c r="K35" s="35" t="str">
        <f t="shared" si="3"/>
        <v/>
      </c>
      <c r="L35" s="35" t="str">
        <f t="shared" si="4"/>
        <v/>
      </c>
      <c r="M35" s="35" t="str">
        <f t="shared" si="0"/>
        <v/>
      </c>
      <c r="N35" s="35" t="str">
        <f t="shared" si="5"/>
        <v/>
      </c>
      <c r="O35" s="35" t="str">
        <f t="shared" si="6"/>
        <v/>
      </c>
      <c r="P35" s="35" t="str">
        <f t="shared" si="7"/>
        <v/>
      </c>
      <c r="Q35" s="78" t="str">
        <f t="shared" si="8"/>
        <v/>
      </c>
      <c r="R35" s="35" t="str">
        <f t="shared" si="20"/>
        <v/>
      </c>
      <c r="S35" s="1" t="str">
        <f>IF(C35="","",IF(C35&lt;20,8,INDEX([1]Data!$R$34:$T$38,MATCH(C35,Max_Width__Inch,1),3)))</f>
        <v/>
      </c>
      <c r="T35" s="35" t="str">
        <f>IF(C35="","",IF(C35&lt;20,"25x25x2",INDEX([1]Data!$R$34:$T$38,MATCH(C35,Max_Width__Inch,1),2)))</f>
        <v/>
      </c>
      <c r="U35" s="35" t="str">
        <f>IF(C35="","",IF(C35&lt;20,3,INDEX([1]Data!$R$34:$T$38,MATCH(C35,Max_Width__Inch,1),1)))</f>
        <v/>
      </c>
      <c r="V35" s="35" t="str">
        <f t="shared" si="9"/>
        <v/>
      </c>
    </row>
    <row r="36" spans="1:25">
      <c r="A36" s="856" t="s">
        <v>725</v>
      </c>
      <c r="B36" s="1" t="s">
        <v>726</v>
      </c>
      <c r="C36" s="882"/>
      <c r="D36" s="75"/>
      <c r="E36" s="883"/>
      <c r="F36" s="162" t="str">
        <f t="shared" si="1"/>
        <v/>
      </c>
      <c r="G36" s="35" t="str">
        <f t="shared" si="19"/>
        <v/>
      </c>
      <c r="H36" s="857" t="str">
        <f>IF(C36="","",IF($C$6="Galvanized Steel",VLOOKUP(G36,[1]Data!$A$5:$K$30,11,FALSE),IF($C$6="Stainless Steel",VLOOKUP(G36,[1]Data!$M$5:$W$28,9,FALSE),IF($C$6="Aluminum",VLOOKUP(G36,[1]Data!$A$40:$L$73,9,FALSE)))))</f>
        <v/>
      </c>
      <c r="I36" s="857" t="str">
        <f>IF(C36="","",IF($C$6="Galvanized Steel",VLOOKUP(G36,[1]Data!$A$5:$K$30,8,FALSE),IF($C$6="Stainless Steel",VLOOKUP(G36,[1]Data!$M$5:$W$28,7,FALSE),IF($C$6="Aluminum",VLOOKUP(G36,[1]Data!$A$40:$L$73,7,FALSE)))))</f>
        <v/>
      </c>
      <c r="J36" s="35" t="str">
        <f t="shared" si="2"/>
        <v/>
      </c>
      <c r="K36" s="35" t="str">
        <f t="shared" si="3"/>
        <v/>
      </c>
      <c r="L36" s="35" t="str">
        <f t="shared" si="4"/>
        <v/>
      </c>
      <c r="M36" s="35" t="str">
        <f t="shared" si="0"/>
        <v/>
      </c>
      <c r="N36" s="35" t="str">
        <f t="shared" si="5"/>
        <v/>
      </c>
      <c r="O36" s="35" t="str">
        <f t="shared" si="6"/>
        <v/>
      </c>
      <c r="P36" s="35" t="str">
        <f t="shared" si="7"/>
        <v/>
      </c>
      <c r="Q36" s="78" t="str">
        <f t="shared" si="8"/>
        <v/>
      </c>
      <c r="R36" s="35" t="str">
        <f t="shared" si="20"/>
        <v/>
      </c>
      <c r="S36" s="1" t="str">
        <f>IF(C36="","",IF(C36&lt;20,8,INDEX([1]Data!$R$34:$T$38,MATCH(C36,Max_Width__Inch,1),3)))</f>
        <v/>
      </c>
      <c r="T36" s="35" t="str">
        <f>IF(C36="","",IF(C36&lt;20,"25x25x2",INDEX([1]Data!$R$34:$T$38,MATCH(C36,Max_Width__Inch,1),2)))</f>
        <v/>
      </c>
      <c r="U36" s="35" t="str">
        <f>IF(C36="","",IF(C36&lt;20,3,INDEX([1]Data!$R$34:$T$38,MATCH(C36,Max_Width__Inch,1),1)))</f>
        <v/>
      </c>
      <c r="V36" s="35" t="str">
        <f t="shared" si="9"/>
        <v/>
      </c>
    </row>
    <row r="37" spans="1:25">
      <c r="A37" s="856" t="s">
        <v>725</v>
      </c>
      <c r="B37" s="1" t="s">
        <v>726</v>
      </c>
      <c r="C37" s="882"/>
      <c r="D37" s="75"/>
      <c r="E37" s="883"/>
      <c r="F37" s="162" t="str">
        <f t="shared" si="1"/>
        <v/>
      </c>
      <c r="G37" s="35" t="str">
        <f t="shared" si="19"/>
        <v/>
      </c>
      <c r="H37" s="857">
        <v>1.25</v>
      </c>
      <c r="I37" s="857">
        <v>10.52</v>
      </c>
      <c r="J37" s="35" t="str">
        <f t="shared" si="2"/>
        <v/>
      </c>
      <c r="K37" s="35" t="str">
        <f t="shared" si="3"/>
        <v/>
      </c>
      <c r="L37" s="35" t="str">
        <f t="shared" si="4"/>
        <v/>
      </c>
      <c r="M37" s="35" t="str">
        <f t="shared" si="0"/>
        <v/>
      </c>
      <c r="N37" s="35" t="str">
        <f t="shared" si="5"/>
        <v/>
      </c>
      <c r="O37" s="35" t="str">
        <f t="shared" si="6"/>
        <v/>
      </c>
      <c r="P37" s="35" t="str">
        <f t="shared" si="7"/>
        <v/>
      </c>
      <c r="Q37" s="78" t="str">
        <f t="shared" si="8"/>
        <v/>
      </c>
      <c r="R37" s="35" t="str">
        <f t="shared" si="20"/>
        <v/>
      </c>
      <c r="S37" s="1" t="str">
        <f>IF(C37="","",IF(C37&lt;20,8,INDEX([1]Data!$R$34:$T$38,MATCH(C37,Max_Width__Inch,1),3)))</f>
        <v/>
      </c>
      <c r="T37" s="35" t="str">
        <f>IF(C37="","",IF(C37&lt;20,"25x25x2",INDEX([1]Data!$R$34:$T$38,MATCH(C37,Max_Width__Inch,1),2)))</f>
        <v/>
      </c>
      <c r="U37" s="35" t="str">
        <f>IF(C37="","",IF(C37&lt;20,3,INDEX([1]Data!$R$34:$T$38,MATCH(C37,Max_Width__Inch,1),1)))</f>
        <v/>
      </c>
      <c r="V37" s="35" t="str">
        <f t="shared" si="9"/>
        <v/>
      </c>
    </row>
    <row r="38" spans="1:25">
      <c r="A38" s="856" t="s">
        <v>725</v>
      </c>
      <c r="B38" s="1" t="s">
        <v>726</v>
      </c>
      <c r="C38" s="882"/>
      <c r="D38" s="75"/>
      <c r="E38" s="883"/>
      <c r="F38" s="162" t="str">
        <f t="shared" si="1"/>
        <v/>
      </c>
      <c r="G38" s="35" t="str">
        <f t="shared" si="19"/>
        <v/>
      </c>
      <c r="H38" s="857">
        <v>1.25</v>
      </c>
      <c r="I38" s="857">
        <v>10.52</v>
      </c>
      <c r="J38" s="35" t="str">
        <f t="shared" si="2"/>
        <v/>
      </c>
      <c r="K38" s="35" t="str">
        <f t="shared" si="3"/>
        <v/>
      </c>
      <c r="L38" s="35" t="str">
        <f t="shared" si="4"/>
        <v/>
      </c>
      <c r="M38" s="35" t="str">
        <f t="shared" si="0"/>
        <v/>
      </c>
      <c r="N38" s="35" t="str">
        <f t="shared" si="5"/>
        <v/>
      </c>
      <c r="O38" s="35" t="str">
        <f t="shared" si="6"/>
        <v/>
      </c>
      <c r="P38" s="35" t="str">
        <f t="shared" si="7"/>
        <v/>
      </c>
      <c r="Q38" s="78" t="str">
        <f t="shared" si="8"/>
        <v/>
      </c>
      <c r="R38" s="35" t="str">
        <f t="shared" si="20"/>
        <v/>
      </c>
      <c r="S38" s="1" t="str">
        <f>IF(C38="","",IF(C38&lt;20,8,INDEX([1]Data!$R$34:$T$38,MATCH(C38,Max_Width__Inch,1),3)))</f>
        <v/>
      </c>
      <c r="T38" s="35" t="str">
        <f>IF(C38="","",IF(C38&lt;20,"25x25x2",INDEX([1]Data!$R$34:$T$38,MATCH(C38,Max_Width__Inch,1),2)))</f>
        <v/>
      </c>
      <c r="U38" s="35" t="str">
        <f>IF(C38="","",IF(C38&lt;20,3,INDEX([1]Data!$R$34:$T$38,MATCH(C38,Max_Width__Inch,1),1)))</f>
        <v/>
      </c>
      <c r="V38" s="35" t="str">
        <f t="shared" si="9"/>
        <v/>
      </c>
    </row>
    <row r="39" spans="1:25">
      <c r="A39" s="856" t="s">
        <v>725</v>
      </c>
      <c r="B39" s="1" t="s">
        <v>726</v>
      </c>
      <c r="C39" s="882"/>
      <c r="D39" s="75"/>
      <c r="E39" s="883"/>
      <c r="F39" s="162" t="str">
        <f t="shared" si="1"/>
        <v/>
      </c>
      <c r="G39" s="35" t="str">
        <f t="shared" si="19"/>
        <v/>
      </c>
      <c r="H39" s="857" t="str">
        <f>IF(C39="","",IF($C$6="Galvanized Steel",VLOOKUP(G39,[1]Data!$A$5:$K$30,11,FALSE),IF($C$6="Stainless Steel",VLOOKUP(G39,[1]Data!$M$5:$W$28,9,FALSE),IF($C$6="Aluminum",VLOOKUP(G39,[1]Data!$A$40:$L$73,9,FALSE)))))</f>
        <v/>
      </c>
      <c r="I39" s="857" t="str">
        <f>IF(C39="","",IF($C$6="Galvanized Steel",VLOOKUP(G39,[1]Data!$A$5:$K$30,8,FALSE),IF($C$6="Stainless Steel",VLOOKUP(G39,[1]Data!$M$5:$W$28,7,FALSE),IF($C$6="Aluminum",VLOOKUP(G39,[1]Data!$A$40:$L$73,7,FALSE)))))</f>
        <v/>
      </c>
      <c r="J39" s="35" t="str">
        <f t="shared" si="2"/>
        <v/>
      </c>
      <c r="K39" s="35" t="str">
        <f t="shared" si="3"/>
        <v/>
      </c>
      <c r="L39" s="35" t="str">
        <f t="shared" si="4"/>
        <v/>
      </c>
      <c r="M39" s="35" t="str">
        <f t="shared" si="0"/>
        <v/>
      </c>
      <c r="N39" s="35" t="str">
        <f t="shared" si="5"/>
        <v/>
      </c>
      <c r="O39" s="35" t="str">
        <f t="shared" si="6"/>
        <v/>
      </c>
      <c r="P39" s="35" t="str">
        <f t="shared" si="7"/>
        <v/>
      </c>
      <c r="Q39" s="78" t="str">
        <f t="shared" si="8"/>
        <v/>
      </c>
      <c r="R39" s="35" t="str">
        <f t="shared" si="20"/>
        <v/>
      </c>
      <c r="S39" s="1" t="str">
        <f>IF(C39="","",IF(C39&lt;20,8,INDEX([1]Data!$R$34:$T$38,MATCH(C39,Max_Width__Inch,1),3)))</f>
        <v/>
      </c>
      <c r="T39" s="35" t="str">
        <f>IF(C39="","",IF(C39&lt;20,"25x25x2",INDEX([1]Data!$R$34:$T$38,MATCH(C39,Max_Width__Inch,1),2)))</f>
        <v/>
      </c>
      <c r="U39" s="35" t="str">
        <f>IF(C39="","",IF(C39&lt;20,3,INDEX([1]Data!$R$34:$T$38,MATCH(C39,Max_Width__Inch,1),1)))</f>
        <v/>
      </c>
      <c r="V39" s="35" t="str">
        <f t="shared" si="9"/>
        <v/>
      </c>
    </row>
    <row r="40" spans="1:25">
      <c r="A40" s="856" t="s">
        <v>725</v>
      </c>
      <c r="B40" s="1" t="s">
        <v>726</v>
      </c>
      <c r="C40" s="882"/>
      <c r="D40" s="75"/>
      <c r="E40" s="883"/>
      <c r="F40" s="162" t="str">
        <f t="shared" si="1"/>
        <v/>
      </c>
      <c r="G40" s="35" t="str">
        <f t="shared" si="19"/>
        <v/>
      </c>
      <c r="H40" s="857" t="str">
        <f>IF(C40="","",IF($C$6="Galvanized Steel",VLOOKUP(G40,[1]Data!$A$5:$K$30,11,FALSE),IF($C$6="Stainless Steel",VLOOKUP(G40,[1]Data!$M$5:$W$28,9,FALSE),IF($C$6="Aluminum",VLOOKUP(G40,[1]Data!$A$40:$L$73,9,FALSE)))))</f>
        <v/>
      </c>
      <c r="I40" s="857" t="str">
        <f>IF(C40="","",IF($C$6="Galvanized Steel",VLOOKUP(G40,[1]Data!$A$5:$K$30,8,FALSE),IF($C$6="Stainless Steel",VLOOKUP(G40,[1]Data!$M$5:$W$28,7,FALSE),IF($C$6="Aluminum",VLOOKUP(G40,[1]Data!$A$40:$L$73,7,FALSE)))))</f>
        <v/>
      </c>
      <c r="J40" s="35" t="str">
        <f t="shared" si="2"/>
        <v/>
      </c>
      <c r="K40" s="35" t="str">
        <f t="shared" si="3"/>
        <v/>
      </c>
      <c r="L40" s="35" t="str">
        <f t="shared" si="4"/>
        <v/>
      </c>
      <c r="M40" s="35" t="str">
        <f t="shared" si="0"/>
        <v/>
      </c>
      <c r="N40" s="35" t="str">
        <f t="shared" si="5"/>
        <v/>
      </c>
      <c r="O40" s="35" t="str">
        <f t="shared" si="6"/>
        <v/>
      </c>
      <c r="P40" s="35" t="str">
        <f t="shared" si="7"/>
        <v/>
      </c>
      <c r="Q40" s="78" t="str">
        <f t="shared" si="8"/>
        <v/>
      </c>
      <c r="R40" s="35" t="str">
        <f t="shared" si="20"/>
        <v/>
      </c>
      <c r="S40" s="1" t="str">
        <f>IF(C40="","",IF(C40&lt;20,8,INDEX([1]Data!$R$34:$T$38,MATCH(C40,Max_Width__Inch,1),3)))</f>
        <v/>
      </c>
      <c r="T40" s="35" t="str">
        <f>IF(C40="","",IF(C40&lt;20,"25x25x2",INDEX([1]Data!$R$34:$T$38,MATCH(C40,Max_Width__Inch,1),2)))</f>
        <v/>
      </c>
      <c r="U40" s="35" t="str">
        <f>IF(C40="","",IF(C40&lt;20,3,INDEX([1]Data!$R$34:$T$38,MATCH(C40,Max_Width__Inch,1),1)))</f>
        <v/>
      </c>
      <c r="V40" s="35" t="str">
        <f t="shared" si="9"/>
        <v/>
      </c>
    </row>
    <row r="41" spans="1:25">
      <c r="A41" s="856" t="s">
        <v>725</v>
      </c>
      <c r="B41" s="1" t="s">
        <v>726</v>
      </c>
      <c r="C41" s="882"/>
      <c r="D41" s="75"/>
      <c r="E41" s="883"/>
      <c r="F41" s="162" t="str">
        <f t="shared" si="1"/>
        <v/>
      </c>
      <c r="G41" s="35" t="str">
        <f t="shared" si="19"/>
        <v/>
      </c>
      <c r="H41" s="857" t="str">
        <f>IF(C41="","",IF($C$6="Galvanized Steel",VLOOKUP(G41,[1]Data!$A$5:$K$30,11,FALSE),IF($C$6="Stainless Steel",VLOOKUP(G41,[1]Data!$M$5:$W$28,9,FALSE),IF($C$6="Aluminum",VLOOKUP(G41,[1]Data!$A$40:$L$73,9,FALSE)))))</f>
        <v/>
      </c>
      <c r="I41" s="857" t="str">
        <f>IF(C41="","",IF($C$6="Galvanized Steel",VLOOKUP(G41,[1]Data!$A$5:$K$30,8,FALSE),IF($C$6="Stainless Steel",VLOOKUP(G41,[1]Data!$M$5:$W$28,7,FALSE),IF($C$6="Aluminum",VLOOKUP(G41,[1]Data!$A$40:$L$73,7,FALSE)))))</f>
        <v/>
      </c>
      <c r="J41" s="35" t="str">
        <f t="shared" si="2"/>
        <v/>
      </c>
      <c r="K41" s="35" t="str">
        <f t="shared" si="3"/>
        <v/>
      </c>
      <c r="L41" s="35" t="str">
        <f t="shared" si="4"/>
        <v/>
      </c>
      <c r="M41" s="35" t="str">
        <f t="shared" si="0"/>
        <v/>
      </c>
      <c r="N41" s="35" t="str">
        <f t="shared" si="5"/>
        <v/>
      </c>
      <c r="O41" s="35" t="str">
        <f t="shared" si="6"/>
        <v/>
      </c>
      <c r="P41" s="35" t="str">
        <f t="shared" si="7"/>
        <v/>
      </c>
      <c r="Q41" s="78" t="str">
        <f t="shared" si="8"/>
        <v/>
      </c>
      <c r="R41" s="35" t="str">
        <f t="shared" si="20"/>
        <v/>
      </c>
      <c r="S41" s="1" t="str">
        <f>IF(C41="","",IF(C41&lt;20,8,INDEX([1]Data!$R$34:$T$38,MATCH(C41,Max_Width__Inch,1),3)))</f>
        <v/>
      </c>
      <c r="T41" s="35" t="str">
        <f>IF(C41="","",IF(C41&lt;20,"25x25x2",INDEX([1]Data!$R$34:$T$38,MATCH(C41,Max_Width__Inch,1),2)))</f>
        <v/>
      </c>
      <c r="U41" s="35" t="str">
        <f>IF(C41="","",IF(C41&lt;20,3,INDEX([1]Data!$R$34:$T$38,MATCH(C41,Max_Width__Inch,1),1)))</f>
        <v/>
      </c>
      <c r="V41" s="35" t="str">
        <f t="shared" si="9"/>
        <v/>
      </c>
    </row>
    <row r="42" spans="1:25">
      <c r="A42" s="856" t="s">
        <v>725</v>
      </c>
      <c r="B42" s="1" t="s">
        <v>726</v>
      </c>
      <c r="C42" s="882"/>
      <c r="D42" s="75"/>
      <c r="E42" s="883"/>
      <c r="F42" s="162" t="str">
        <f t="shared" si="1"/>
        <v/>
      </c>
      <c r="G42" s="35" t="str">
        <f t="shared" si="19"/>
        <v/>
      </c>
      <c r="H42" s="857" t="str">
        <f>IF(C42="","",IF($C$6="Galvanized Steel",VLOOKUP(G42,[1]Data!$A$5:$K$30,11,FALSE),IF($C$6="Stainless Steel",VLOOKUP(G42,[1]Data!$M$5:$W$28,9,FALSE),IF($C$6="Aluminum",VLOOKUP(G42,[1]Data!$A$40:$L$73,9,FALSE)))))</f>
        <v/>
      </c>
      <c r="I42" s="857" t="str">
        <f>IF(C42="","",IF($C$6="Galvanized Steel",VLOOKUP(G42,[1]Data!$A$5:$K$30,8,FALSE),IF($C$6="Stainless Steel",VLOOKUP(G42,[1]Data!$M$5:$W$28,7,FALSE),IF($C$6="Aluminum",VLOOKUP(G42,[1]Data!$A$40:$L$73,7,FALSE)))))</f>
        <v/>
      </c>
      <c r="J42" s="35" t="str">
        <f t="shared" si="2"/>
        <v/>
      </c>
      <c r="K42" s="35" t="str">
        <f t="shared" si="3"/>
        <v/>
      </c>
      <c r="L42" s="35" t="str">
        <f t="shared" si="4"/>
        <v/>
      </c>
      <c r="M42" s="35" t="str">
        <f t="shared" si="0"/>
        <v/>
      </c>
      <c r="N42" s="35" t="str">
        <f t="shared" si="5"/>
        <v/>
      </c>
      <c r="O42" s="35" t="str">
        <f t="shared" si="6"/>
        <v/>
      </c>
      <c r="P42" s="35" t="str">
        <f t="shared" si="7"/>
        <v/>
      </c>
      <c r="Q42" s="78" t="str">
        <f t="shared" si="8"/>
        <v/>
      </c>
      <c r="R42" s="35" t="str">
        <f t="shared" si="20"/>
        <v/>
      </c>
      <c r="S42" s="1" t="str">
        <f>IF(C42="","",IF(C42&lt;20,8,INDEX([1]Data!$R$34:$T$38,MATCH(C42,Max_Width__Inch,1),3)))</f>
        <v/>
      </c>
      <c r="T42" s="35" t="str">
        <f>IF(C42="","",IF(C42&lt;20,"25x25x2",INDEX([1]Data!$R$34:$T$38,MATCH(C42,Max_Width__Inch,1),2)))</f>
        <v/>
      </c>
      <c r="U42" s="35" t="str">
        <f>IF(C42="","",IF(C42&lt;20,3,INDEX([1]Data!$R$34:$T$38,MATCH(C42,Max_Width__Inch,1),1)))</f>
        <v/>
      </c>
      <c r="V42" s="35" t="str">
        <f t="shared" si="9"/>
        <v/>
      </c>
    </row>
    <row r="43" spans="1:25">
      <c r="A43" s="856" t="s">
        <v>725</v>
      </c>
      <c r="B43" s="1" t="s">
        <v>726</v>
      </c>
      <c r="C43" s="882"/>
      <c r="D43" s="75"/>
      <c r="E43" s="883"/>
      <c r="F43" s="162" t="str">
        <f t="shared" si="1"/>
        <v/>
      </c>
      <c r="G43" s="35" t="str">
        <f t="shared" si="19"/>
        <v/>
      </c>
      <c r="H43" s="857" t="str">
        <f>IF(C43="","",IF($C$6="Galvanized Steel",VLOOKUP(G43,[1]Data!$A$5:$K$30,11,FALSE),IF($C$6="Stainless Steel",VLOOKUP(G43,[1]Data!$M$5:$W$28,9,FALSE),IF($C$6="Aluminum",VLOOKUP(G43,[1]Data!$A$40:$L$73,9,FALSE)))))</f>
        <v/>
      </c>
      <c r="I43" s="857" t="str">
        <f>IF(C43="","",IF($C$6="Galvanized Steel",VLOOKUP(G43,[1]Data!$A$5:$K$30,8,FALSE),IF($C$6="Stainless Steel",VLOOKUP(G43,[1]Data!$M$5:$W$28,7,FALSE),IF($C$6="Aluminum",VLOOKUP(G43,[1]Data!$A$40:$L$73,7,FALSE)))))</f>
        <v/>
      </c>
      <c r="J43" s="35" t="str">
        <f t="shared" si="2"/>
        <v/>
      </c>
      <c r="K43" s="35" t="str">
        <f t="shared" si="3"/>
        <v/>
      </c>
      <c r="L43" s="35" t="str">
        <f t="shared" si="4"/>
        <v/>
      </c>
      <c r="M43" s="35" t="str">
        <f t="shared" si="0"/>
        <v/>
      </c>
      <c r="N43" s="35" t="str">
        <f t="shared" si="5"/>
        <v/>
      </c>
      <c r="O43" s="35" t="str">
        <f t="shared" ref="O43:O60" si="21">IF(E43="","",N43*0.0006)</f>
        <v/>
      </c>
      <c r="P43" s="195" t="str">
        <f t="shared" si="7"/>
        <v/>
      </c>
      <c r="Q43" s="78" t="str">
        <f t="shared" si="8"/>
        <v/>
      </c>
      <c r="R43" s="35" t="str">
        <f t="shared" si="20"/>
        <v/>
      </c>
      <c r="S43" s="1" t="str">
        <f>IF(C43="","",IF(C43&lt;20,8,INDEX([1]Data!$R$34:$T$38,MATCH(C43,Max_Width__Inch,1),3)))</f>
        <v/>
      </c>
      <c r="T43" s="35" t="str">
        <f>IF(C43="","",IF(C43&lt;20,"25x25x2",INDEX([1]Data!$R$34:$T$38,MATCH(C43,Max_Width__Inch,1),2)))</f>
        <v/>
      </c>
      <c r="U43" s="35" t="str">
        <f>IF(C43="","",IF(C43&lt;20,3,INDEX([1]Data!$R$34:$T$38,MATCH(C43,Max_Width__Inch,1),1)))</f>
        <v/>
      </c>
      <c r="V43" s="35" t="str">
        <f t="shared" si="9"/>
        <v/>
      </c>
    </row>
    <row r="44" spans="1:25">
      <c r="A44" s="856" t="s">
        <v>725</v>
      </c>
      <c r="B44" s="1" t="s">
        <v>726</v>
      </c>
      <c r="C44" s="882"/>
      <c r="D44" s="75"/>
      <c r="E44" s="883"/>
      <c r="F44" s="162" t="str">
        <f t="shared" si="1"/>
        <v/>
      </c>
      <c r="G44" s="35" t="str">
        <f t="shared" si="19"/>
        <v/>
      </c>
      <c r="H44" s="857" t="str">
        <f>IF(C44="","",IF($C$6="Galvanized Steel",VLOOKUP(G44,[1]Data!$A$5:$K$30,11,FALSE),IF($C$6="Stainless Steel",VLOOKUP(G44,[1]Data!$M$5:$W$28,9,FALSE),IF($C$6="Aluminum",VLOOKUP(G44,[1]Data!$A$40:$L$73,9,FALSE)))))</f>
        <v/>
      </c>
      <c r="I44" s="857" t="str">
        <f>IF(C44="","",IF($C$6="Galvanized Steel",VLOOKUP(G44,[1]Data!$A$5:$K$30,8,FALSE),IF($C$6="Stainless Steel",VLOOKUP(G44,[1]Data!$M$5:$W$28,7,FALSE),IF($C$6="Aluminum",VLOOKUP(G44,[1]Data!$A$40:$L$73,7,FALSE)))))</f>
        <v/>
      </c>
      <c r="J44" s="35" t="str">
        <f t="shared" si="2"/>
        <v/>
      </c>
      <c r="K44" s="35" t="str">
        <f t="shared" si="3"/>
        <v/>
      </c>
      <c r="L44" s="35" t="str">
        <f t="shared" si="4"/>
        <v/>
      </c>
      <c r="M44" s="35" t="str">
        <f t="shared" si="0"/>
        <v/>
      </c>
      <c r="N44" s="35" t="str">
        <f t="shared" si="5"/>
        <v/>
      </c>
      <c r="O44" s="35" t="str">
        <f t="shared" si="21"/>
        <v/>
      </c>
      <c r="P44" s="195" t="str">
        <f t="shared" si="7"/>
        <v/>
      </c>
      <c r="Q44" s="78" t="str">
        <f t="shared" si="8"/>
        <v/>
      </c>
      <c r="R44" s="35" t="str">
        <f t="shared" si="20"/>
        <v/>
      </c>
      <c r="S44" s="1" t="str">
        <f>IF(C44="","",IF(C44&lt;20,8,INDEX([1]Data!$R$34:$T$38,MATCH(C44,Max_Width__Inch,1),3)))</f>
        <v/>
      </c>
      <c r="T44" s="35" t="str">
        <f>IF(C44="","",IF(C44&lt;20,"25x25x2",INDEX([1]Data!$R$34:$T$38,MATCH(C44,Max_Width__Inch,1),2)))</f>
        <v/>
      </c>
      <c r="U44" s="35" t="str">
        <f>IF(C44="","",IF(C44&lt;20,3,INDEX([1]Data!$R$34:$T$38,MATCH(C44,Max_Width__Inch,1),1)))</f>
        <v/>
      </c>
      <c r="V44" s="35" t="str">
        <f t="shared" si="9"/>
        <v/>
      </c>
    </row>
    <row r="45" spans="1:25">
      <c r="A45" s="856" t="s">
        <v>725</v>
      </c>
      <c r="B45" s="1" t="s">
        <v>726</v>
      </c>
      <c r="C45" s="882"/>
      <c r="D45" s="75"/>
      <c r="E45" s="883"/>
      <c r="F45" s="162" t="str">
        <f t="shared" si="1"/>
        <v/>
      </c>
      <c r="G45" s="35" t="str">
        <f t="shared" si="19"/>
        <v/>
      </c>
      <c r="H45" s="857" t="str">
        <f>IF(C45="","",IF($C$6="Galvanized Steel",VLOOKUP(G45,[1]Data!$A$5:$K$30,11,FALSE),IF($C$6="Stainless Steel",VLOOKUP(G45,[1]Data!$M$5:$W$28,9,FALSE),IF($C$6="Aluminum",VLOOKUP(G45,[1]Data!$A$40:$L$73,9,FALSE)))))</f>
        <v/>
      </c>
      <c r="I45" s="857" t="str">
        <f>IF(C45="","",IF($C$6="Galvanized Steel",VLOOKUP(G45,[1]Data!$A$5:$K$30,8,FALSE),IF($C$6="Stainless Steel",VLOOKUP(G45,[1]Data!$M$5:$W$28,7,FALSE),IF($C$6="Aluminum",VLOOKUP(G45,[1]Data!$A$40:$L$73,7,FALSE)))))</f>
        <v/>
      </c>
      <c r="J45" s="35" t="str">
        <f t="shared" si="2"/>
        <v/>
      </c>
      <c r="K45" s="35" t="str">
        <f t="shared" si="3"/>
        <v/>
      </c>
      <c r="L45" s="35" t="str">
        <f t="shared" si="4"/>
        <v/>
      </c>
      <c r="M45" s="35" t="str">
        <f t="shared" si="0"/>
        <v/>
      </c>
      <c r="N45" s="35" t="str">
        <f t="shared" si="5"/>
        <v/>
      </c>
      <c r="O45" s="35" t="str">
        <f t="shared" si="21"/>
        <v/>
      </c>
      <c r="P45" s="195" t="str">
        <f t="shared" si="7"/>
        <v/>
      </c>
      <c r="Q45" s="78" t="str">
        <f t="shared" si="8"/>
        <v/>
      </c>
      <c r="R45" s="35" t="str">
        <f t="shared" si="20"/>
        <v/>
      </c>
      <c r="S45" s="1" t="str">
        <f>IF(C45="","",IF(C45&lt;20,8,INDEX([1]Data!$R$34:$T$38,MATCH(C45,Max_Width__Inch,1),3)))</f>
        <v/>
      </c>
      <c r="T45" s="35" t="str">
        <f>IF(C45="","",IF(C45&lt;20,"25x25x2",INDEX([1]Data!$R$34:$T$38,MATCH(C45,Max_Width__Inch,1),2)))</f>
        <v/>
      </c>
      <c r="U45" s="35" t="str">
        <f>IF(C45="","",IF(C45&lt;20,3,INDEX([1]Data!$R$34:$T$38,MATCH(C45,Max_Width__Inch,1),1)))</f>
        <v/>
      </c>
      <c r="V45" s="35" t="str">
        <f t="shared" si="9"/>
        <v/>
      </c>
      <c r="W45" s="1"/>
    </row>
    <row r="46" spans="1:25">
      <c r="A46" s="856" t="s">
        <v>725</v>
      </c>
      <c r="B46" s="1" t="s">
        <v>726</v>
      </c>
      <c r="C46" s="882"/>
      <c r="D46" s="75"/>
      <c r="E46" s="883"/>
      <c r="F46" s="162" t="str">
        <f t="shared" si="1"/>
        <v/>
      </c>
      <c r="G46" s="35" t="str">
        <f t="shared" si="19"/>
        <v/>
      </c>
      <c r="H46" s="857" t="str">
        <f>IF(C46="","",IF($C$6="Galvanized Steel",VLOOKUP(G46,[1]Data!$A$5:$K$30,11,FALSE),IF($C$6="Stainless Steel",VLOOKUP(G46,[1]Data!$M$5:$W$28,9,FALSE),IF($C$6="Aluminum",VLOOKUP(G46,[1]Data!$A$40:$L$73,9,FALSE)))))</f>
        <v/>
      </c>
      <c r="I46" s="857" t="str">
        <f>IF(C46="","",IF($C$6="Galvanized Steel",VLOOKUP(G46,[1]Data!$A$5:$K$30,8,FALSE),IF($C$6="Stainless Steel",VLOOKUP(G46,[1]Data!$M$5:$W$28,7,FALSE),IF($C$6="Aluminum",VLOOKUP(G46,[1]Data!$A$40:$L$73,7,FALSE)))))</f>
        <v/>
      </c>
      <c r="J46" s="35" t="str">
        <f t="shared" si="2"/>
        <v/>
      </c>
      <c r="K46" s="35" t="str">
        <f t="shared" si="3"/>
        <v/>
      </c>
      <c r="L46" s="35" t="str">
        <f t="shared" si="4"/>
        <v/>
      </c>
      <c r="M46" s="35" t="str">
        <f t="shared" si="0"/>
        <v/>
      </c>
      <c r="N46" s="35" t="str">
        <f t="shared" si="5"/>
        <v/>
      </c>
      <c r="O46" s="35" t="str">
        <f t="shared" si="21"/>
        <v/>
      </c>
      <c r="P46" s="195" t="str">
        <f t="shared" si="7"/>
        <v/>
      </c>
      <c r="Q46" s="78" t="str">
        <f t="shared" si="8"/>
        <v/>
      </c>
      <c r="R46" s="35" t="str">
        <f t="shared" si="20"/>
        <v/>
      </c>
      <c r="S46" s="1" t="str">
        <f>IF(C46="","",IF(C46&lt;20,8,INDEX([1]Data!$R$34:$T$38,MATCH(C46,Max_Width__Inch,1),3)))</f>
        <v/>
      </c>
      <c r="T46" s="1" t="str">
        <f>IF(C46="","",IF(C46&lt;20,"25x25x2",INDEX([1]Data!$R$34:$T$38,MATCH(C46,Max_Width__Inch,1),2)))</f>
        <v/>
      </c>
      <c r="U46" s="1" t="str">
        <f>IF(C46="","",IF(C46&lt;20,3,INDEX([1]Data!$R$34:$T$38,MATCH(C46,Max_Width__Inch,1),1)))</f>
        <v/>
      </c>
      <c r="V46" s="1" t="str">
        <f t="shared" si="9"/>
        <v/>
      </c>
    </row>
    <row r="47" spans="1:25">
      <c r="A47" s="856" t="s">
        <v>725</v>
      </c>
      <c r="B47" s="1" t="s">
        <v>726</v>
      </c>
      <c r="C47" s="882"/>
      <c r="D47" s="75"/>
      <c r="E47" s="883"/>
      <c r="F47" s="162" t="str">
        <f t="shared" si="1"/>
        <v/>
      </c>
      <c r="G47" s="35" t="str">
        <f t="shared" si="19"/>
        <v/>
      </c>
      <c r="H47" s="857" t="str">
        <f>IF(C47="","",IF($C$6="Galvanized Steel",VLOOKUP(G47,[1]Data!$A$5:$K$30,11,FALSE),IF($C$6="Stainless Steel",VLOOKUP(G47,[1]Data!$M$5:$W$28,9,FALSE),IF($C$6="Aluminum",VLOOKUP(G47,[1]Data!$A$40:$L$73,9,FALSE)))))</f>
        <v/>
      </c>
      <c r="I47" s="857" t="str">
        <f>IF(C47="","",IF($C$6="Galvanized Steel",VLOOKUP(G47,[1]Data!$A$5:$K$30,8,FALSE),IF($C$6="Stainless Steel",VLOOKUP(G47,[1]Data!$M$5:$W$28,7,FALSE),IF($C$6="Aluminum",VLOOKUP(G47,[1]Data!$A$40:$L$73,7,FALSE)))))</f>
        <v/>
      </c>
      <c r="J47" s="35" t="str">
        <f t="shared" si="2"/>
        <v/>
      </c>
      <c r="K47" s="35" t="str">
        <f t="shared" si="3"/>
        <v/>
      </c>
      <c r="L47" s="35" t="str">
        <f t="shared" si="4"/>
        <v/>
      </c>
      <c r="M47" s="35" t="str">
        <f t="shared" si="0"/>
        <v/>
      </c>
      <c r="N47" s="35" t="str">
        <f t="shared" si="5"/>
        <v/>
      </c>
      <c r="O47" s="35" t="str">
        <f t="shared" si="21"/>
        <v/>
      </c>
      <c r="P47" s="195" t="str">
        <f t="shared" si="7"/>
        <v/>
      </c>
      <c r="Q47" s="78" t="str">
        <f t="shared" si="8"/>
        <v/>
      </c>
      <c r="R47" s="35" t="str">
        <f t="shared" si="20"/>
        <v/>
      </c>
      <c r="S47" s="1" t="str">
        <f>IF(C47="","",IF(C47&lt;20,8,INDEX([1]Data!$R$34:$T$38,MATCH(C47,Max_Width__Inch,1),3)))</f>
        <v/>
      </c>
      <c r="T47" s="1" t="str">
        <f>IF(C47="","",IF(C47&lt;20,"25x25x2",INDEX([1]Data!$R$34:$T$38,MATCH(C47,Max_Width__Inch,1),2)))</f>
        <v/>
      </c>
      <c r="U47" s="1" t="str">
        <f>IF(C47="","",IF(C47&lt;20,3,INDEX([1]Data!$R$34:$T$38,MATCH(C47,Max_Width__Inch,1),1)))</f>
        <v/>
      </c>
      <c r="V47" s="1" t="str">
        <f t="shared" si="9"/>
        <v/>
      </c>
    </row>
    <row r="48" spans="1:25">
      <c r="A48" s="856" t="s">
        <v>725</v>
      </c>
      <c r="B48" s="1" t="s">
        <v>726</v>
      </c>
      <c r="C48" s="882"/>
      <c r="D48" s="75"/>
      <c r="E48" s="883"/>
      <c r="F48" s="162" t="str">
        <f t="shared" si="1"/>
        <v/>
      </c>
      <c r="G48" s="35" t="str">
        <f t="shared" si="19"/>
        <v/>
      </c>
      <c r="H48" s="857" t="str">
        <f>IF(C48="","",IF($C$6="Galvanized Steel",VLOOKUP(G48,[1]Data!$A$5:$K$30,11,FALSE),IF($C$6="Stainless Steel",VLOOKUP(G48,[1]Data!$M$5:$W$28,9,FALSE),IF($C$6="Aluminum",VLOOKUP(G48,[1]Data!$A$40:$L$73,9,FALSE)))))</f>
        <v/>
      </c>
      <c r="I48" s="857" t="str">
        <f>IF(C48="","",IF($C$6="Galvanized Steel",VLOOKUP(G48,[1]Data!$A$5:$K$30,8,FALSE),IF($C$6="Stainless Steel",VLOOKUP(G48,[1]Data!$M$5:$W$28,7,FALSE),IF($C$6="Aluminum",VLOOKUP(G48,[1]Data!$A$40:$L$73,7,FALSE)))))</f>
        <v/>
      </c>
      <c r="J48" s="35" t="str">
        <f t="shared" si="2"/>
        <v/>
      </c>
      <c r="K48" s="35" t="str">
        <f t="shared" si="3"/>
        <v/>
      </c>
      <c r="L48" s="35" t="str">
        <f t="shared" si="4"/>
        <v/>
      </c>
      <c r="M48" s="35" t="str">
        <f t="shared" si="0"/>
        <v/>
      </c>
      <c r="N48" s="35" t="str">
        <f t="shared" si="5"/>
        <v/>
      </c>
      <c r="O48" s="35" t="str">
        <f t="shared" si="21"/>
        <v/>
      </c>
      <c r="P48" s="195" t="str">
        <f t="shared" si="7"/>
        <v/>
      </c>
      <c r="Q48" s="78" t="str">
        <f t="shared" si="8"/>
        <v/>
      </c>
      <c r="R48" s="35" t="str">
        <f t="shared" si="20"/>
        <v/>
      </c>
      <c r="S48" s="1" t="str">
        <f>IF(C48="","",IF(C48&lt;20,8,INDEX([1]Data!$R$34:$T$38,MATCH(C48,Max_Width__Inch,1),3)))</f>
        <v/>
      </c>
      <c r="T48" s="1" t="str">
        <f>IF(C48="","",IF(C48&lt;20,"25x25x2",INDEX([1]Data!$R$34:$T$38,MATCH(C48,Max_Width__Inch,1),2)))</f>
        <v/>
      </c>
      <c r="U48" s="1" t="str">
        <f>IF(C48="","",IF(C48&lt;20,3,INDEX([1]Data!$R$34:$T$38,MATCH(C48,Max_Width__Inch,1),1)))</f>
        <v/>
      </c>
      <c r="V48" s="1" t="str">
        <f t="shared" si="9"/>
        <v/>
      </c>
    </row>
    <row r="49" spans="1:28">
      <c r="A49" s="856" t="s">
        <v>725</v>
      </c>
      <c r="B49" s="1" t="s">
        <v>726</v>
      </c>
      <c r="C49" s="882"/>
      <c r="D49" s="75"/>
      <c r="E49" s="883"/>
      <c r="F49" s="162" t="str">
        <f t="shared" si="1"/>
        <v/>
      </c>
      <c r="G49" s="35" t="str">
        <f t="shared" si="19"/>
        <v/>
      </c>
      <c r="H49" s="857" t="str">
        <f>IF(C49="","",IF($C$6="Galvanized Steel",VLOOKUP(G49,[1]Data!$A$5:$K$30,11,FALSE),IF($C$6="Stainless Steel",VLOOKUP(G49,[1]Data!$M$5:$W$28,9,FALSE),IF($C$6="Aluminum",VLOOKUP(G49,[1]Data!$A$40:$L$73,9,FALSE)))))</f>
        <v/>
      </c>
      <c r="I49" s="857" t="str">
        <f>IF(C49="","",IF($C$6="Galvanized Steel",VLOOKUP(G49,[1]Data!$A$5:$K$30,8,FALSE),IF($C$6="Stainless Steel",VLOOKUP(G49,[1]Data!$M$5:$W$28,7,FALSE),IF($C$6="Aluminum",VLOOKUP(G49,[1]Data!$A$40:$L$73,7,FALSE)))))</f>
        <v/>
      </c>
      <c r="J49" s="35" t="str">
        <f t="shared" si="2"/>
        <v/>
      </c>
      <c r="K49" s="35" t="str">
        <f t="shared" si="3"/>
        <v/>
      </c>
      <c r="L49" s="35" t="str">
        <f t="shared" si="4"/>
        <v/>
      </c>
      <c r="M49" s="35" t="str">
        <f t="shared" si="0"/>
        <v/>
      </c>
      <c r="N49" s="35" t="str">
        <f t="shared" si="5"/>
        <v/>
      </c>
      <c r="O49" s="35" t="str">
        <f t="shared" si="21"/>
        <v/>
      </c>
      <c r="P49" s="195" t="str">
        <f t="shared" si="7"/>
        <v/>
      </c>
      <c r="Q49" s="78" t="str">
        <f t="shared" si="8"/>
        <v/>
      </c>
      <c r="R49" s="35" t="str">
        <f t="shared" si="20"/>
        <v/>
      </c>
      <c r="S49" s="1" t="str">
        <f>IF(C49="","",IF(C49&lt;20,8,INDEX([1]Data!$R$34:$T$38,MATCH(C49,Max_Width__Inch,1),3)))</f>
        <v/>
      </c>
      <c r="T49" s="1" t="str">
        <f>IF(C49="","",IF(C49&lt;20,"25x25x2",INDEX([1]Data!$R$34:$T$38,MATCH(C49,Max_Width__Inch,1),2)))</f>
        <v/>
      </c>
      <c r="U49" s="1" t="str">
        <f>IF(C49="","",IF(C49&lt;20,3,INDEX([1]Data!$R$34:$T$38,MATCH(C49,Max_Width__Inch,1),1)))</f>
        <v/>
      </c>
      <c r="V49" s="1" t="str">
        <f t="shared" si="9"/>
        <v/>
      </c>
    </row>
    <row r="50" spans="1:28">
      <c r="A50" s="856" t="s">
        <v>725</v>
      </c>
      <c r="B50" s="1" t="s">
        <v>726</v>
      </c>
      <c r="C50" s="882"/>
      <c r="D50" s="75"/>
      <c r="E50" s="883"/>
      <c r="F50" s="162" t="str">
        <f t="shared" si="1"/>
        <v/>
      </c>
      <c r="G50" s="35" t="str">
        <f t="shared" si="19"/>
        <v/>
      </c>
      <c r="H50" s="857" t="str">
        <f>IF(C50="","",IF($C$6="Galvanized Steel",VLOOKUP(G50,[1]Data!$A$5:$K$30,11,FALSE),IF($C$6="Stainless Steel",VLOOKUP(G50,[1]Data!$M$5:$W$28,9,FALSE),IF($C$6="Aluminum",VLOOKUP(G50,[1]Data!$A$40:$L$73,9,FALSE)))))</f>
        <v/>
      </c>
      <c r="I50" s="857" t="str">
        <f>IF(C50="","",IF($C$6="Galvanized Steel",VLOOKUP(G50,[1]Data!$A$5:$K$30,8,FALSE),IF($C$6="Stainless Steel",VLOOKUP(G50,[1]Data!$M$5:$W$28,7,FALSE),IF($C$6="Aluminum",VLOOKUP(G50,[1]Data!$A$40:$L$73,7,FALSE)))))</f>
        <v/>
      </c>
      <c r="J50" s="35" t="str">
        <f t="shared" si="2"/>
        <v/>
      </c>
      <c r="K50" s="35" t="str">
        <f t="shared" si="3"/>
        <v/>
      </c>
      <c r="L50" s="35" t="str">
        <f t="shared" si="4"/>
        <v/>
      </c>
      <c r="M50" s="35" t="str">
        <f t="shared" si="0"/>
        <v/>
      </c>
      <c r="N50" s="35" t="str">
        <f t="shared" si="5"/>
        <v/>
      </c>
      <c r="O50" s="35" t="str">
        <f t="shared" si="21"/>
        <v/>
      </c>
      <c r="P50" s="195" t="str">
        <f t="shared" si="7"/>
        <v/>
      </c>
      <c r="Q50" s="78" t="str">
        <f t="shared" si="8"/>
        <v/>
      </c>
      <c r="R50" s="35" t="str">
        <f t="shared" si="20"/>
        <v/>
      </c>
      <c r="S50" s="1" t="str">
        <f>IF(C50="","",IF(C50&lt;20,8,INDEX([1]Data!$R$34:$T$38,MATCH(C50,Max_Width__Inch,1),3)))</f>
        <v/>
      </c>
      <c r="T50" s="1" t="str">
        <f>IF(C50="","",IF(C50&lt;20,"25x25x2",INDEX([1]Data!$R$34:$T$38,MATCH(C50,Max_Width__Inch,1),2)))</f>
        <v/>
      </c>
      <c r="U50" s="1" t="str">
        <f>IF(C50="","",IF(C50&lt;20,3,INDEX([1]Data!$R$34:$T$38,MATCH(C50,Max_Width__Inch,1),1)))</f>
        <v/>
      </c>
      <c r="V50" s="1" t="str">
        <f t="shared" si="9"/>
        <v/>
      </c>
    </row>
    <row r="51" spans="1:28">
      <c r="A51" s="856" t="s">
        <v>725</v>
      </c>
      <c r="B51" s="1" t="s">
        <v>726</v>
      </c>
      <c r="C51" s="882"/>
      <c r="D51" s="75"/>
      <c r="E51" s="883"/>
      <c r="F51" s="162" t="str">
        <f t="shared" si="1"/>
        <v/>
      </c>
      <c r="G51" s="35" t="str">
        <f t="shared" si="19"/>
        <v/>
      </c>
      <c r="H51" s="857" t="str">
        <f>IF(C51="","",IF($C$6="Galvanized Steel",VLOOKUP(G51,[1]Data!$A$5:$K$30,11,FALSE),IF($C$6="Stainless Steel",VLOOKUP(G51,[1]Data!$M$5:$W$28,9,FALSE),IF($C$6="Aluminum",VLOOKUP(G51,[1]Data!$A$40:$L$73,9,FALSE)))))</f>
        <v/>
      </c>
      <c r="I51" s="857" t="str">
        <f>IF(C51="","",IF($C$6="Galvanized Steel",VLOOKUP(G51,[1]Data!$A$5:$K$30,8,FALSE),IF($C$6="Stainless Steel",VLOOKUP(G51,[1]Data!$M$5:$W$28,7,FALSE),IF($C$6="Aluminum",VLOOKUP(G51,[1]Data!$A$40:$L$73,7,FALSE)))))</f>
        <v/>
      </c>
      <c r="J51" s="35" t="str">
        <f t="shared" si="2"/>
        <v/>
      </c>
      <c r="K51" s="35" t="str">
        <f t="shared" si="3"/>
        <v/>
      </c>
      <c r="L51" s="35" t="str">
        <f t="shared" si="4"/>
        <v/>
      </c>
      <c r="M51" s="35" t="str">
        <f t="shared" si="0"/>
        <v/>
      </c>
      <c r="N51" s="35" t="str">
        <f t="shared" si="5"/>
        <v/>
      </c>
      <c r="O51" s="35" t="str">
        <f t="shared" si="21"/>
        <v/>
      </c>
      <c r="P51" s="195" t="str">
        <f t="shared" si="7"/>
        <v/>
      </c>
      <c r="Q51" s="78" t="str">
        <f t="shared" si="8"/>
        <v/>
      </c>
      <c r="R51" s="35" t="str">
        <f t="shared" si="20"/>
        <v/>
      </c>
      <c r="S51" s="1" t="str">
        <f>IF(C51="","",IF(C51&lt;20,8,INDEX([1]Data!$R$34:$T$38,MATCH(C51,Max_Width__Inch,1),3)))</f>
        <v/>
      </c>
      <c r="T51" s="1" t="str">
        <f>IF(C51="","",IF(C51&lt;20,"25x25x2",INDEX([1]Data!$R$34:$T$38,MATCH(C51,Max_Width__Inch,1),2)))</f>
        <v/>
      </c>
      <c r="U51" s="1" t="str">
        <f>IF(C51="","",IF(C51&lt;20,3,INDEX([1]Data!$R$34:$T$38,MATCH(C51,Max_Width__Inch,1),1)))</f>
        <v/>
      </c>
      <c r="V51" s="1" t="str">
        <f t="shared" si="9"/>
        <v/>
      </c>
    </row>
    <row r="52" spans="1:28">
      <c r="A52" s="856" t="s">
        <v>725</v>
      </c>
      <c r="B52" s="1" t="s">
        <v>726</v>
      </c>
      <c r="C52" s="882"/>
      <c r="D52" s="75"/>
      <c r="E52" s="883"/>
      <c r="F52" s="162" t="str">
        <f t="shared" si="1"/>
        <v/>
      </c>
      <c r="G52" s="35" t="str">
        <f t="shared" si="19"/>
        <v/>
      </c>
      <c r="H52" s="857" t="str">
        <f>IF(C52="","",IF($C$6="Galvanized Steel",VLOOKUP(G52,[1]Data!$A$5:$K$30,11,FALSE),IF($C$6="Stainless Steel",VLOOKUP(G52,[1]Data!$M$5:$W$28,9,FALSE),IF($C$6="Aluminum",VLOOKUP(G52,[1]Data!$A$40:$L$73,9,FALSE)))))</f>
        <v/>
      </c>
      <c r="I52" s="857" t="str">
        <f>IF(C52="","",IF($C$6="Galvanized Steel",VLOOKUP(G52,[1]Data!$A$5:$K$30,8,FALSE),IF($C$6="Stainless Steel",VLOOKUP(G52,[1]Data!$M$5:$W$28,7,FALSE),IF($C$6="Aluminum",VLOOKUP(G52,[1]Data!$A$40:$L$73,7,FALSE)))))</f>
        <v/>
      </c>
      <c r="J52" s="35" t="str">
        <f t="shared" si="2"/>
        <v/>
      </c>
      <c r="K52" s="35" t="str">
        <f t="shared" si="3"/>
        <v/>
      </c>
      <c r="L52" s="35" t="str">
        <f t="shared" si="4"/>
        <v/>
      </c>
      <c r="M52" s="35" t="str">
        <f t="shared" si="0"/>
        <v/>
      </c>
      <c r="N52" s="35" t="str">
        <f t="shared" si="5"/>
        <v/>
      </c>
      <c r="O52" s="35" t="str">
        <f t="shared" si="21"/>
        <v/>
      </c>
      <c r="P52" s="195" t="str">
        <f t="shared" si="7"/>
        <v/>
      </c>
      <c r="Q52" s="78" t="str">
        <f t="shared" si="8"/>
        <v/>
      </c>
      <c r="R52" s="35" t="str">
        <f t="shared" si="20"/>
        <v/>
      </c>
      <c r="S52" s="1" t="str">
        <f>IF(C52="","",IF(C52&lt;20,8,INDEX([1]Data!$R$34:$T$38,MATCH(C52,Max_Width__Inch,1),3)))</f>
        <v/>
      </c>
      <c r="T52" s="1" t="str">
        <f>IF(C52="","",IF(C52&lt;20,"25x25x2",INDEX([1]Data!$R$34:$T$38,MATCH(C52,Max_Width__Inch,1),2)))</f>
        <v/>
      </c>
      <c r="U52" s="1" t="str">
        <f>IF(C52="","",IF(C52&lt;20,3,INDEX([1]Data!$R$34:$T$38,MATCH(C52,Max_Width__Inch,1),1)))</f>
        <v/>
      </c>
      <c r="V52" s="1" t="str">
        <f t="shared" si="9"/>
        <v/>
      </c>
    </row>
    <row r="53" spans="1:28">
      <c r="A53" s="856" t="s">
        <v>725</v>
      </c>
      <c r="B53" s="1" t="s">
        <v>726</v>
      </c>
      <c r="C53" s="882"/>
      <c r="D53" s="75"/>
      <c r="E53" s="883"/>
      <c r="F53" s="162" t="str">
        <f t="shared" si="1"/>
        <v/>
      </c>
      <c r="G53" s="35" t="str">
        <f t="shared" si="19"/>
        <v/>
      </c>
      <c r="H53" s="857" t="str">
        <f>IF(C53="","",IF($C$6="Galvanized Steel",VLOOKUP(G53,[1]Data!$A$5:$K$30,11,FALSE),IF($C$6="Stainless Steel",VLOOKUP(G53,[1]Data!$M$5:$W$28,9,FALSE),IF($C$6="Aluminum",VLOOKUP(G53,[1]Data!$A$40:$L$73,9,FALSE)))))</f>
        <v/>
      </c>
      <c r="I53" s="857" t="str">
        <f>IF(C53="","",IF($C$6="Galvanized Steel",VLOOKUP(G53,[1]Data!$A$5:$K$30,8,FALSE),IF($C$6="Stainless Steel",VLOOKUP(G53,[1]Data!$M$5:$W$28,7,FALSE),IF($C$6="Aluminum",VLOOKUP(G53,[1]Data!$A$40:$L$73,7,FALSE)))))</f>
        <v/>
      </c>
      <c r="J53" s="35" t="str">
        <f t="shared" si="2"/>
        <v/>
      </c>
      <c r="K53" s="35" t="str">
        <f t="shared" si="3"/>
        <v/>
      </c>
      <c r="L53" s="35" t="str">
        <f t="shared" si="4"/>
        <v/>
      </c>
      <c r="M53" s="35" t="str">
        <f t="shared" si="0"/>
        <v/>
      </c>
      <c r="N53" s="35" t="str">
        <f t="shared" si="5"/>
        <v/>
      </c>
      <c r="O53" s="35" t="str">
        <f t="shared" si="21"/>
        <v/>
      </c>
      <c r="P53" s="195" t="str">
        <f t="shared" si="7"/>
        <v/>
      </c>
      <c r="Q53" s="78" t="str">
        <f t="shared" si="8"/>
        <v/>
      </c>
      <c r="R53" s="35" t="str">
        <f t="shared" si="20"/>
        <v/>
      </c>
      <c r="S53" s="1" t="str">
        <f>IF(C53="","",IF(C53&lt;20,8,INDEX([1]Data!$R$34:$T$38,MATCH(C53,Max_Width__Inch,1),3)))</f>
        <v/>
      </c>
      <c r="T53" s="1" t="str">
        <f>IF(C53="","",IF(C53&lt;20,"25x25x2",INDEX([1]Data!$R$34:$T$38,MATCH(C53,Max_Width__Inch,1),2)))</f>
        <v/>
      </c>
      <c r="U53" s="1" t="str">
        <f>IF(C53="","",IF(C53&lt;20,3,INDEX([1]Data!$R$34:$T$38,MATCH(C53,Max_Width__Inch,1),1)))</f>
        <v/>
      </c>
      <c r="V53" s="1" t="str">
        <f t="shared" si="9"/>
        <v/>
      </c>
    </row>
    <row r="54" spans="1:28">
      <c r="A54" s="856" t="s">
        <v>725</v>
      </c>
      <c r="B54" s="1" t="s">
        <v>726</v>
      </c>
      <c r="C54" s="882"/>
      <c r="D54" s="75"/>
      <c r="E54" s="883"/>
      <c r="F54" s="162" t="str">
        <f t="shared" si="1"/>
        <v/>
      </c>
      <c r="G54" s="35" t="str">
        <f t="shared" si="19"/>
        <v/>
      </c>
      <c r="H54" s="857" t="str">
        <f>IF(C54="","",IF($C$6="Galvanized Steel",VLOOKUP(G54,[1]Data!$A$5:$K$30,11,FALSE),IF($C$6="Stainless Steel",VLOOKUP(G54,[1]Data!$M$5:$W$28,9,FALSE),IF($C$6="Aluminum",VLOOKUP(G54,[1]Data!$A$40:$L$73,9,FALSE)))))</f>
        <v/>
      </c>
      <c r="I54" s="857" t="str">
        <f>IF(C54="","",IF($C$6="Galvanized Steel",VLOOKUP(G54,[1]Data!$A$5:$K$30,8,FALSE),IF($C$6="Stainless Steel",VLOOKUP(G54,[1]Data!$M$5:$W$28,7,FALSE),IF($C$6="Aluminum",VLOOKUP(G54,[1]Data!$A$40:$L$73,7,FALSE)))))</f>
        <v/>
      </c>
      <c r="J54" s="35" t="str">
        <f t="shared" si="2"/>
        <v/>
      </c>
      <c r="K54" s="35" t="str">
        <f t="shared" si="3"/>
        <v/>
      </c>
      <c r="L54" s="35" t="str">
        <f t="shared" si="4"/>
        <v/>
      </c>
      <c r="M54" s="35" t="str">
        <f t="shared" si="0"/>
        <v/>
      </c>
      <c r="N54" s="35" t="str">
        <f t="shared" si="5"/>
        <v/>
      </c>
      <c r="O54" s="35" t="str">
        <f t="shared" si="21"/>
        <v/>
      </c>
      <c r="P54" s="195" t="str">
        <f t="shared" si="7"/>
        <v/>
      </c>
      <c r="Q54" s="78" t="str">
        <f t="shared" si="8"/>
        <v/>
      </c>
      <c r="R54" s="35" t="str">
        <f t="shared" si="20"/>
        <v/>
      </c>
      <c r="S54" s="1" t="str">
        <f>IF(C54="","",IF(C54&lt;20,8,INDEX([1]Data!$R$34:$T$38,MATCH(C54,Max_Width__Inch,1),3)))</f>
        <v/>
      </c>
      <c r="T54" s="1" t="str">
        <f>IF(C54="","",IF(C54&lt;20,"25x25x2",INDEX([1]Data!$R$34:$T$38,MATCH(C54,Max_Width__Inch,1),2)))</f>
        <v/>
      </c>
      <c r="U54" s="1" t="str">
        <f>IF(C54="","",IF(C54&lt;20,3,INDEX([1]Data!$R$34:$T$38,MATCH(C54,Max_Width__Inch,1),1)))</f>
        <v/>
      </c>
      <c r="V54" s="1" t="str">
        <f t="shared" si="9"/>
        <v/>
      </c>
    </row>
    <row r="55" spans="1:28">
      <c r="A55" s="856" t="s">
        <v>725</v>
      </c>
      <c r="B55" s="1" t="s">
        <v>726</v>
      </c>
      <c r="C55" s="882"/>
      <c r="D55" s="75"/>
      <c r="E55" s="883"/>
      <c r="F55" s="162" t="str">
        <f t="shared" si="1"/>
        <v/>
      </c>
      <c r="G55" s="35" t="str">
        <f t="shared" si="19"/>
        <v/>
      </c>
      <c r="H55" s="857" t="str">
        <f>IF(C55="","",IF($C$6="Galvanized Steel",VLOOKUP(G55,[1]Data!$A$5:$K$30,11,FALSE),IF($C$6="Stainless Steel",VLOOKUP(G55,[1]Data!$M$5:$W$28,9,FALSE),IF($C$6="Aluminum",VLOOKUP(G55,[1]Data!$A$40:$L$73,9,FALSE)))))</f>
        <v/>
      </c>
      <c r="I55" s="857" t="str">
        <f>IF(C55="","",IF($C$6="Galvanized Steel",VLOOKUP(G55,[1]Data!$A$5:$K$30,8,FALSE),IF($C$6="Stainless Steel",VLOOKUP(G55,[1]Data!$M$5:$W$28,7,FALSE),IF($C$6="Aluminum",VLOOKUP(G55,[1]Data!$A$40:$L$73,7,FALSE)))))</f>
        <v/>
      </c>
      <c r="J55" s="35" t="str">
        <f t="shared" si="2"/>
        <v/>
      </c>
      <c r="K55" s="35" t="str">
        <f t="shared" si="3"/>
        <v/>
      </c>
      <c r="L55" s="35" t="str">
        <f t="shared" si="4"/>
        <v/>
      </c>
      <c r="M55" s="35" t="str">
        <f t="shared" si="0"/>
        <v/>
      </c>
      <c r="N55" s="35" t="str">
        <f t="shared" si="5"/>
        <v/>
      </c>
      <c r="O55" s="195" t="str">
        <f t="shared" si="21"/>
        <v/>
      </c>
      <c r="P55" s="195" t="str">
        <f t="shared" si="7"/>
        <v/>
      </c>
      <c r="Q55" s="78" t="str">
        <f t="shared" si="8"/>
        <v/>
      </c>
      <c r="R55" s="35" t="str">
        <f t="shared" si="20"/>
        <v/>
      </c>
      <c r="S55" s="1" t="str">
        <f>IF(C55="","",IF(C55&lt;20,8,INDEX([1]Data!$R$34:$T$38,MATCH(C55,Max_Width__Inch,1),3)))</f>
        <v/>
      </c>
      <c r="T55" s="1" t="str">
        <f>IF(C55="","",IF(C55&lt;20,"25x25x2",INDEX([1]Data!$R$34:$T$38,MATCH(C55,Max_Width__Inch,1),2)))</f>
        <v/>
      </c>
      <c r="U55" s="1" t="str">
        <f>IF(C55="","",IF(C55&lt;20,3,INDEX([1]Data!$R$34:$T$38,MATCH(C55,Max_Width__Inch,1),1)))</f>
        <v/>
      </c>
      <c r="V55" s="1" t="str">
        <f t="shared" si="9"/>
        <v/>
      </c>
    </row>
    <row r="56" spans="1:28">
      <c r="A56" s="856" t="s">
        <v>725</v>
      </c>
      <c r="B56" s="1" t="s">
        <v>726</v>
      </c>
      <c r="C56" s="882"/>
      <c r="D56" s="75"/>
      <c r="E56" s="883"/>
      <c r="F56" s="162" t="str">
        <f t="shared" si="1"/>
        <v/>
      </c>
      <c r="G56" s="35" t="str">
        <f t="shared" si="19"/>
        <v/>
      </c>
      <c r="H56" s="857" t="str">
        <f>IF(C56="","",IF($C$6="Galvanized Steel",VLOOKUP(G56,[1]Data!$A$5:$K$30,11,FALSE),IF($C$6="Stainless Steel",VLOOKUP(G56,[1]Data!$M$5:$W$28,9,FALSE),IF($C$6="Aluminum",VLOOKUP(G56,[1]Data!$A$40:$L$73,9,FALSE)))))</f>
        <v/>
      </c>
      <c r="I56" s="857" t="str">
        <f>IF(C56="","",IF($C$6="Galvanized Steel",VLOOKUP(G56,[1]Data!$A$5:$K$30,8,FALSE),IF($C$6="Stainless Steel",VLOOKUP(G56,[1]Data!$M$5:$W$28,7,FALSE),IF($C$6="Aluminum",VLOOKUP(G56,[1]Data!$A$40:$L$73,7,FALSE)))))</f>
        <v/>
      </c>
      <c r="J56" s="35" t="str">
        <f t="shared" si="2"/>
        <v/>
      </c>
      <c r="K56" s="35" t="str">
        <f t="shared" si="3"/>
        <v/>
      </c>
      <c r="L56" s="35" t="str">
        <f t="shared" si="4"/>
        <v/>
      </c>
      <c r="M56" s="35" t="str">
        <f t="shared" si="0"/>
        <v/>
      </c>
      <c r="N56" s="35" t="str">
        <f t="shared" si="5"/>
        <v/>
      </c>
      <c r="O56" s="195" t="str">
        <f t="shared" si="21"/>
        <v/>
      </c>
      <c r="P56" s="195" t="str">
        <f t="shared" si="7"/>
        <v/>
      </c>
      <c r="Q56" s="78" t="str">
        <f t="shared" si="8"/>
        <v/>
      </c>
      <c r="R56" s="35" t="str">
        <f t="shared" si="20"/>
        <v/>
      </c>
      <c r="S56" s="1" t="str">
        <f>IF(C56="","",IF(C56&lt;20,8,INDEX([1]Data!$R$34:$T$38,MATCH(C56,Max_Width__Inch,1),3)))</f>
        <v/>
      </c>
      <c r="T56" s="1" t="str">
        <f>IF(C56="","",IF(C56&lt;20,"25x25x2",INDEX([1]Data!$R$34:$T$38,MATCH(C56,Max_Width__Inch,1),2)))</f>
        <v/>
      </c>
      <c r="U56" s="1" t="str">
        <f>IF(C56="","",IF(C56&lt;20,3,INDEX([1]Data!$R$34:$T$38,MATCH(C56,Max_Width__Inch,1),1)))</f>
        <v/>
      </c>
      <c r="V56" s="1" t="str">
        <f t="shared" si="9"/>
        <v/>
      </c>
      <c r="X56" s="1"/>
      <c r="AB56" s="556"/>
    </row>
    <row r="57" spans="1:28">
      <c r="A57" s="856" t="s">
        <v>725</v>
      </c>
      <c r="B57" s="1" t="s">
        <v>726</v>
      </c>
      <c r="C57" s="882"/>
      <c r="D57" s="75"/>
      <c r="E57" s="883"/>
      <c r="F57" s="162" t="str">
        <f t="shared" si="1"/>
        <v/>
      </c>
      <c r="G57" s="35" t="str">
        <f t="shared" si="19"/>
        <v/>
      </c>
      <c r="H57" s="857" t="str">
        <f>IF(C57="","",IF($C$6="Galvanized Steel",VLOOKUP(G57,[1]Data!$A$5:$K$30,11,FALSE),IF($C$6="Stainless Steel",VLOOKUP(G57,[1]Data!$M$5:$W$28,9,FALSE),IF($C$6="Aluminum",VLOOKUP(G57,[1]Data!$A$40:$L$73,9,FALSE)))))</f>
        <v/>
      </c>
      <c r="I57" s="857" t="str">
        <f>IF(C57="","",IF($C$6="Galvanized Steel",VLOOKUP(G57,[1]Data!$A$5:$K$30,8,FALSE),IF($C$6="Stainless Steel",VLOOKUP(G57,[1]Data!$M$5:$W$28,7,FALSE),IF($C$6="Aluminum",VLOOKUP(G57,[1]Data!$A$40:$L$73,7,FALSE)))))</f>
        <v/>
      </c>
      <c r="J57" s="35" t="str">
        <f t="shared" si="2"/>
        <v/>
      </c>
      <c r="K57" s="35" t="str">
        <f t="shared" si="3"/>
        <v/>
      </c>
      <c r="L57" s="35" t="str">
        <f t="shared" si="4"/>
        <v/>
      </c>
      <c r="M57" s="35" t="str">
        <f t="shared" si="0"/>
        <v/>
      </c>
      <c r="N57" s="35" t="str">
        <f t="shared" si="5"/>
        <v/>
      </c>
      <c r="O57" s="195" t="str">
        <f t="shared" si="21"/>
        <v/>
      </c>
      <c r="P57" s="195" t="str">
        <f t="shared" si="7"/>
        <v/>
      </c>
      <c r="Q57" s="78" t="str">
        <f t="shared" si="8"/>
        <v/>
      </c>
      <c r="R57" s="35" t="str">
        <f t="shared" si="20"/>
        <v/>
      </c>
      <c r="S57" s="1" t="str">
        <f>IF(C57="","",IF(C57&lt;20,8,INDEX([1]Data!$R$34:$T$38,MATCH(C57,Max_Width__Inch,1),3)))</f>
        <v/>
      </c>
      <c r="T57" s="1" t="str">
        <f>IF(C57="","",IF(C57&lt;20,"25x25x2",INDEX([1]Data!$R$34:$T$38,MATCH(C57,Max_Width__Inch,1),2)))</f>
        <v/>
      </c>
      <c r="U57" s="1" t="str">
        <f>IF(C57="","",IF(C57&lt;20,3,INDEX([1]Data!$R$34:$T$38,MATCH(C57,Max_Width__Inch,1),1)))</f>
        <v/>
      </c>
      <c r="V57" s="1" t="str">
        <f t="shared" si="9"/>
        <v/>
      </c>
      <c r="AB57" s="556"/>
    </row>
    <row r="58" spans="1:28">
      <c r="A58" s="856"/>
      <c r="B58" s="1"/>
      <c r="C58" s="882"/>
      <c r="D58" s="75"/>
      <c r="E58" s="1"/>
      <c r="F58" s="162" t="str">
        <f t="shared" si="1"/>
        <v/>
      </c>
      <c r="G58" s="35" t="str">
        <f t="shared" si="19"/>
        <v/>
      </c>
      <c r="H58" s="857" t="str">
        <f>IF(C58="","",IF($C$6="Galvanized Steel",VLOOKUP(G58,[1]Data!$A$5:$K$30,11,FALSE),IF($C$6="Stainless Steel",VLOOKUP(G58,[1]Data!$M$5:$W$28,9,FALSE),IF($C$6="Aluminum",VLOOKUP(G58,[1]Data!$A$40:$L$73,9,FALSE)))))</f>
        <v/>
      </c>
      <c r="I58" s="857" t="str">
        <f>IF(C58="","",IF($C$6="Galvanized Steel",VLOOKUP(G58,[1]Data!$A$5:$K$30,8,FALSE),IF($C$6="Stainless Steel",VLOOKUP(G58,[1]Data!$M$5:$W$28,7,FALSE),IF($C$6="Aluminum",VLOOKUP(G58,[1]Data!$A$40:$L$73,7,FALSE)))))</f>
        <v/>
      </c>
      <c r="J58" s="35" t="str">
        <f t="shared" si="2"/>
        <v/>
      </c>
      <c r="K58" s="35" t="str">
        <f t="shared" si="3"/>
        <v/>
      </c>
      <c r="L58" s="35" t="str">
        <f t="shared" si="4"/>
        <v/>
      </c>
      <c r="M58" s="35" t="str">
        <f t="shared" si="0"/>
        <v/>
      </c>
      <c r="N58" s="35" t="str">
        <f t="shared" si="5"/>
        <v/>
      </c>
      <c r="O58" s="195" t="str">
        <f t="shared" si="21"/>
        <v/>
      </c>
      <c r="P58" s="195" t="str">
        <f t="shared" si="7"/>
        <v/>
      </c>
      <c r="Q58" s="214" t="str">
        <f t="shared" si="8"/>
        <v/>
      </c>
      <c r="R58" s="35" t="str">
        <f t="shared" si="20"/>
        <v/>
      </c>
      <c r="S58" s="1" t="str">
        <f>IF(C58="","",IF(C58&lt;20,8,INDEX([1]Data!$R$34:$T$38,MATCH(C58,Max_Width__Inch,1),3)))</f>
        <v/>
      </c>
      <c r="T58" s="1" t="str">
        <f>IF(C58="","",IF(C58&lt;20,"25x25x2",INDEX([1]Data!$R$34:$T$38,MATCH(C58,Max_Width__Inch,1),2)))</f>
        <v/>
      </c>
      <c r="U58" s="1" t="str">
        <f>IF(C58="","",IF(C58&lt;20,3,INDEX([1]Data!$R$34:$T$38,MATCH(C58,Max_Width__Inch,1),1)))</f>
        <v/>
      </c>
      <c r="V58" s="1" t="str">
        <f t="shared" si="9"/>
        <v/>
      </c>
      <c r="X58" s="878"/>
      <c r="Y58" s="878"/>
      <c r="Z58" s="879"/>
      <c r="AB58" s="556"/>
    </row>
    <row r="59" spans="1:28">
      <c r="A59" s="856"/>
      <c r="B59" s="1"/>
      <c r="C59" s="882"/>
      <c r="D59" s="75"/>
      <c r="E59" s="1"/>
      <c r="F59" s="162" t="str">
        <f t="shared" si="1"/>
        <v/>
      </c>
      <c r="G59" s="1" t="str">
        <f t="shared" si="19"/>
        <v/>
      </c>
      <c r="H59" s="599"/>
      <c r="I59" s="599"/>
      <c r="J59" s="1"/>
      <c r="K59" s="1"/>
      <c r="L59" s="1" t="str">
        <f t="shared" si="4"/>
        <v/>
      </c>
      <c r="M59" s="1" t="str">
        <f t="shared" si="0"/>
        <v/>
      </c>
      <c r="N59" s="35" t="str">
        <f t="shared" si="5"/>
        <v/>
      </c>
      <c r="O59" s="195" t="str">
        <f t="shared" si="21"/>
        <v/>
      </c>
      <c r="P59" s="195" t="str">
        <f t="shared" si="7"/>
        <v/>
      </c>
      <c r="Q59" s="214" t="str">
        <f t="shared" si="8"/>
        <v/>
      </c>
      <c r="R59" s="195" t="str">
        <f t="shared" si="20"/>
        <v/>
      </c>
      <c r="S59" s="1" t="str">
        <f>IF(C59="","",IF(C59&lt;20,8,INDEX([1]Data!$R$34:$T$38,MATCH(C59,Max_Width__Inch,1),3)))</f>
        <v/>
      </c>
      <c r="T59" s="1" t="str">
        <f>IF(C59="","",IF(C59&lt;20,"25x25x2",INDEX([1]Data!$R$34:$T$38,MATCH(C59,Max_Width__Inch,1),2)))</f>
        <v/>
      </c>
      <c r="U59" s="1" t="str">
        <f>IF(C59="","",IF(C59&lt;20,3,INDEX([1]Data!$R$34:$T$38,MATCH(C59,Max_Width__Inch,1),1)))</f>
        <v/>
      </c>
      <c r="V59" s="1" t="str">
        <f t="shared" si="9"/>
        <v/>
      </c>
      <c r="X59" s="879"/>
      <c r="Y59" s="878"/>
      <c r="Z59" s="880"/>
      <c r="AB59" s="556"/>
    </row>
    <row r="60" spans="1:28">
      <c r="A60" s="856"/>
      <c r="B60" s="1"/>
      <c r="C60" s="882"/>
      <c r="D60" s="75"/>
      <c r="E60" s="1"/>
      <c r="F60" s="162" t="str">
        <f t="shared" si="1"/>
        <v/>
      </c>
      <c r="G60" s="1" t="str">
        <f t="shared" si="19"/>
        <v/>
      </c>
      <c r="H60" s="599"/>
      <c r="I60" s="599"/>
      <c r="J60" s="1"/>
      <c r="K60" s="1"/>
      <c r="L60" s="1" t="str">
        <f t="shared" si="4"/>
        <v/>
      </c>
      <c r="M60" s="1" t="str">
        <f t="shared" si="0"/>
        <v/>
      </c>
      <c r="N60" s="35" t="str">
        <f t="shared" si="5"/>
        <v/>
      </c>
      <c r="O60" s="195" t="str">
        <f t="shared" si="21"/>
        <v/>
      </c>
      <c r="P60" s="195" t="str">
        <f t="shared" si="7"/>
        <v/>
      </c>
      <c r="Q60" s="214" t="str">
        <f t="shared" si="8"/>
        <v/>
      </c>
      <c r="R60" s="195" t="str">
        <f t="shared" si="20"/>
        <v/>
      </c>
      <c r="S60" s="1" t="str">
        <f>IF(C60="","",IF(C60&lt;20,8,INDEX([1]Data!$R$34:$T$38,MATCH(C60,Max_Width__Inch,1),3)))</f>
        <v/>
      </c>
      <c r="T60" s="1" t="str">
        <f>IF(C60="","",IF(C60&lt;20,"25x25x2",INDEX([1]Data!$R$34:$T$38,MATCH(C60,Max_Width__Inch,1),2)))</f>
        <v/>
      </c>
      <c r="U60" s="1" t="str">
        <f>IF(C60="","",IF(C60&lt;20,3,INDEX([1]Data!$R$34:$T$38,MATCH(C60,Max_Width__Inch,1),1)))</f>
        <v/>
      </c>
      <c r="V60" s="1" t="str">
        <f t="shared" si="9"/>
        <v/>
      </c>
      <c r="X60" s="879"/>
      <c r="Z60" s="880"/>
      <c r="AB60" s="556"/>
    </row>
    <row r="61" spans="1:28">
      <c r="C61" s="1"/>
      <c r="D61" s="75"/>
      <c r="E61" s="1"/>
      <c r="F61" s="162" t="str">
        <f t="shared" si="1"/>
        <v/>
      </c>
      <c r="G61" s="1"/>
      <c r="H61" s="599"/>
      <c r="I61" s="599"/>
      <c r="J61" s="1"/>
      <c r="K61" s="1"/>
      <c r="L61" s="1"/>
      <c r="M61" s="1"/>
      <c r="N61" s="35" t="str">
        <f t="shared" si="5"/>
        <v/>
      </c>
      <c r="S61" s="1" t="str">
        <f>IF(C61="","",IF(C61&lt;20,8,INDEX([1]Data!$R$34:$T$38,MATCH(C61,Max_Width__Inch,1),3)))</f>
        <v/>
      </c>
      <c r="T61" s="1" t="str">
        <f>IF(C61="","",IF(C61&lt;20,"25x25x2",INDEX([1]Data!$R$34:$T$38,MATCH(C61,Max_Width__Inch,1),2)))</f>
        <v/>
      </c>
      <c r="U61" s="1" t="str">
        <f>IF(C61="","",IF(C61&lt;20,3,INDEX([1]Data!$R$34:$T$38,MATCH(C61,Max_Width__Inch,1),1)))</f>
        <v/>
      </c>
      <c r="V61" s="1" t="str">
        <f t="shared" si="9"/>
        <v/>
      </c>
      <c r="X61" s="879"/>
      <c r="Z61" s="879"/>
      <c r="AB61" s="556"/>
    </row>
    <row r="62" spans="1:28">
      <c r="C62" s="1"/>
      <c r="D62" s="75"/>
      <c r="E62" s="1"/>
      <c r="F62" s="162" t="str">
        <f t="shared" si="1"/>
        <v/>
      </c>
      <c r="G62" s="1"/>
      <c r="H62" s="599"/>
      <c r="I62" s="599"/>
      <c r="J62" s="1"/>
      <c r="K62" s="1"/>
      <c r="L62" s="1"/>
      <c r="M62" s="1"/>
      <c r="N62" s="35" t="str">
        <f t="shared" si="5"/>
        <v/>
      </c>
      <c r="S62" s="1" t="str">
        <f>IF(C62="","",IF(C62&lt;20,8,INDEX([1]Data!$R$34:$T$38,MATCH(C62,Max_Width__Inch,1),3)))</f>
        <v/>
      </c>
      <c r="T62" s="1" t="str">
        <f>IF(C62="","",IF(C62&lt;20,"25x25x2",INDEX([1]Data!$R$34:$T$38,MATCH(C62,Max_Width__Inch,1),2)))</f>
        <v/>
      </c>
      <c r="U62" s="1" t="str">
        <f>IF(C62="","",IF(C62&lt;20,3,INDEX([1]Data!$R$34:$T$38,MATCH(C62,Max_Width__Inch,1),1)))</f>
        <v/>
      </c>
      <c r="V62" s="1" t="str">
        <f t="shared" si="9"/>
        <v/>
      </c>
      <c r="X62" s="879"/>
      <c r="Y62" s="878"/>
      <c r="Z62" s="879"/>
      <c r="AB62" s="556"/>
    </row>
    <row r="63" spans="1:28">
      <c r="C63" s="1"/>
      <c r="D63" s="75"/>
      <c r="E63" s="1"/>
      <c r="F63" s="162" t="str">
        <f t="shared" si="1"/>
        <v/>
      </c>
      <c r="G63" s="1"/>
      <c r="H63" s="599"/>
      <c r="I63" s="599"/>
      <c r="J63" s="1"/>
      <c r="K63" s="1"/>
      <c r="L63" s="1"/>
      <c r="M63" s="1"/>
      <c r="N63" s="35" t="str">
        <f t="shared" si="5"/>
        <v/>
      </c>
      <c r="S63" s="1" t="str">
        <f>IF(C63="","",IF(C63&lt;20,8,INDEX([1]Data!$R$34:$T$38,MATCH(C63,Max_Width__Inch,1),3)))</f>
        <v/>
      </c>
      <c r="T63" s="1" t="str">
        <f>IF(C63="","",IF(C63&lt;20,"25x25x2",INDEX([1]Data!$R$34:$T$38,MATCH(C63,Max_Width__Inch,1),2)))</f>
        <v/>
      </c>
      <c r="U63" s="1" t="str">
        <f>IF(C63="","",IF(C63&lt;20,3,INDEX([1]Data!$R$34:$T$38,MATCH(C63,Max_Width__Inch,1),1)))</f>
        <v/>
      </c>
      <c r="V63" s="1" t="str">
        <f t="shared" si="9"/>
        <v/>
      </c>
      <c r="X63" s="879"/>
      <c r="Y63" s="878"/>
      <c r="Z63" s="879"/>
      <c r="AB63" s="556"/>
    </row>
    <row r="64" spans="1:28">
      <c r="C64" s="1"/>
      <c r="D64" s="75"/>
      <c r="E64" s="1"/>
      <c r="F64" s="162" t="str">
        <f t="shared" si="1"/>
        <v/>
      </c>
      <c r="G64" s="1"/>
      <c r="H64" s="599"/>
      <c r="I64" s="599"/>
      <c r="J64" s="1"/>
      <c r="K64" s="1"/>
      <c r="L64" s="1"/>
      <c r="M64" s="1"/>
      <c r="N64" s="35" t="str">
        <f t="shared" si="5"/>
        <v/>
      </c>
      <c r="S64" s="1" t="str">
        <f>IF(C64="","",IF(C64&lt;20,8,INDEX([1]Data!$R$34:$T$38,MATCH(C64,Max_Width__Inch,1),3)))</f>
        <v/>
      </c>
      <c r="T64" s="1" t="str">
        <f>IF(C64="","",IF(C64&lt;20,"25x25x2",INDEX([1]Data!$R$34:$T$38,MATCH(C64,Max_Width__Inch,1),2)))</f>
        <v/>
      </c>
      <c r="U64" s="1" t="str">
        <f>IF(C64="","",IF(C64&lt;20,3,INDEX([1]Data!$R$34:$T$38,MATCH(C64,Max_Width__Inch,1),1)))</f>
        <v/>
      </c>
      <c r="V64" s="1" t="str">
        <f t="shared" si="9"/>
        <v/>
      </c>
      <c r="X64" s="879"/>
      <c r="Y64" s="878"/>
      <c r="Z64" s="879"/>
      <c r="AB64" s="556"/>
    </row>
    <row r="65" spans="3:28">
      <c r="C65" s="1"/>
      <c r="D65" s="75"/>
      <c r="E65" s="1"/>
      <c r="F65" s="17"/>
      <c r="G65" s="1"/>
      <c r="H65" s="599"/>
      <c r="I65" s="599"/>
      <c r="J65" s="1"/>
      <c r="K65" s="1"/>
      <c r="L65" s="1"/>
      <c r="M65" s="1"/>
      <c r="N65" s="35" t="str">
        <f t="shared" si="5"/>
        <v/>
      </c>
      <c r="S65" s="1" t="str">
        <f>IF(C65="","",IF(C65&lt;20,8,INDEX([1]Data!$R$34:$T$38,MATCH(C65,Max_Width__Inch,1),3)))</f>
        <v/>
      </c>
      <c r="T65" s="1" t="str">
        <f>IF(C65="","",IF(C65&lt;20,"25x25x2",INDEX([1]Data!$R$34:$T$38,MATCH(C65,Max_Width__Inch,1),2)))</f>
        <v/>
      </c>
      <c r="U65" s="1" t="str">
        <f>IF(C65="","",IF(C65&lt;20,3,INDEX([1]Data!$R$34:$T$38,MATCH(C65,Max_Width__Inch,1),1)))</f>
        <v/>
      </c>
      <c r="V65" s="1" t="str">
        <f t="shared" si="9"/>
        <v/>
      </c>
      <c r="X65" s="879"/>
      <c r="Y65" s="878"/>
      <c r="Z65" s="879"/>
      <c r="AB65" s="556"/>
    </row>
    <row r="66" spans="3:28">
      <c r="C66" s="1"/>
      <c r="D66" s="75"/>
      <c r="E66" s="1"/>
      <c r="F66" s="17"/>
      <c r="G66" s="1"/>
      <c r="H66" s="599"/>
      <c r="I66" s="599"/>
      <c r="J66" s="1"/>
      <c r="K66" s="1"/>
      <c r="L66" s="1"/>
      <c r="M66" s="1"/>
      <c r="N66" s="35" t="str">
        <f t="shared" si="5"/>
        <v/>
      </c>
      <c r="S66" s="1" t="str">
        <f>IF(C66="","",IF(C66&lt;20,8,INDEX([1]Data!$R$34:$T$38,MATCH(C66,Max_Width__Inch,1),3)))</f>
        <v/>
      </c>
      <c r="T66" s="1" t="str">
        <f>IF(C66="","",IF(C66&lt;20,"25x25x2",INDEX([1]Data!$R$34:$T$38,MATCH(C66,Max_Width__Inch,1),2)))</f>
        <v/>
      </c>
      <c r="U66" s="1" t="str">
        <f>IF(C66="","",IF(C66&lt;20,3,INDEX([1]Data!$R$34:$T$38,MATCH(C66,Max_Width__Inch,1),1)))</f>
        <v/>
      </c>
      <c r="V66" s="1" t="str">
        <f t="shared" si="9"/>
        <v/>
      </c>
      <c r="X66" s="879"/>
      <c r="Y66" s="879"/>
      <c r="Z66" s="879"/>
      <c r="AB66" s="556"/>
    </row>
    <row r="67" spans="3:28">
      <c r="C67" s="1"/>
      <c r="D67" s="75"/>
      <c r="E67" s="1"/>
      <c r="F67" s="17"/>
      <c r="G67" s="1"/>
      <c r="H67" s="599"/>
      <c r="I67" s="599"/>
      <c r="J67" s="1"/>
      <c r="K67" s="1"/>
      <c r="L67" s="1"/>
      <c r="M67" s="1"/>
      <c r="S67" s="1" t="str">
        <f>IF(C67="","",IF(C67&lt;20,8,INDEX([1]Data!$R$34:$T$38,MATCH(C67,Max_Width__Inch,1),3)))</f>
        <v/>
      </c>
      <c r="T67" s="1" t="str">
        <f>IF(C67="","",IF(C67&lt;20,"25x25x2",INDEX([1]Data!$R$34:$T$38,MATCH(C67,Max_Width__Inch,1),2)))</f>
        <v/>
      </c>
      <c r="U67" s="1" t="str">
        <f>IF(C67="","",IF(C67&lt;20,3,INDEX([1]Data!$R$34:$T$38,MATCH(C67,Max_Width__Inch,1),1)))</f>
        <v/>
      </c>
      <c r="V67" s="1" t="str">
        <f t="shared" si="9"/>
        <v/>
      </c>
      <c r="X67" s="879"/>
      <c r="Y67" s="879"/>
      <c r="Z67" s="879"/>
      <c r="AB67" s="556"/>
    </row>
    <row r="68" spans="3:28">
      <c r="C68" s="1"/>
      <c r="D68" s="75"/>
      <c r="E68" s="1"/>
      <c r="F68" s="17"/>
      <c r="G68" s="1"/>
      <c r="H68" s="599"/>
      <c r="I68" s="599"/>
      <c r="J68" s="1"/>
      <c r="K68" s="1"/>
      <c r="L68" s="1"/>
      <c r="M68" s="1"/>
      <c r="S68" s="1" t="str">
        <f>IF(C68="","",IF(C68&lt;20,8,INDEX([1]Data!$R$34:$T$38,MATCH(C68,Max_Width__Inch,1),3)))</f>
        <v/>
      </c>
      <c r="T68" s="1" t="str">
        <f>IF(C68="","",IF(C68&lt;20,"25x25x2",INDEX([1]Data!$R$34:$T$38,MATCH(C68,Max_Width__Inch,1),2)))</f>
        <v/>
      </c>
      <c r="U68" s="1" t="str">
        <f>IF(C68="","",IF(C68&lt;20,3,INDEX([1]Data!$R$34:$T$38,MATCH(C68,Max_Width__Inch,1),1)))</f>
        <v/>
      </c>
      <c r="V68" s="1" t="str">
        <f t="shared" si="9"/>
        <v/>
      </c>
      <c r="AB68" s="556"/>
    </row>
    <row r="69" spans="3:28">
      <c r="C69" s="1"/>
      <c r="D69" s="75"/>
      <c r="E69" s="1"/>
      <c r="F69" s="17"/>
      <c r="G69" s="1"/>
      <c r="H69" s="599"/>
      <c r="I69" s="599"/>
      <c r="J69" s="1"/>
      <c r="K69" s="1"/>
      <c r="L69" s="1"/>
      <c r="M69" s="1"/>
      <c r="S69" s="1" t="str">
        <f>IF(C69="","",IF(C69&lt;20,8,INDEX([1]Data!$R$34:$T$38,MATCH(C69,Max_Width__Inch,1),3)))</f>
        <v/>
      </c>
      <c r="T69" s="1" t="str">
        <f>IF(C69="","",IF(C69&lt;20,"25x25x2",INDEX([1]Data!$R$34:$T$38,MATCH(C69,Max_Width__Inch,1),2)))</f>
        <v/>
      </c>
      <c r="U69" s="1" t="str">
        <f>IF(C69="","",IF(C69&lt;20,3,INDEX([1]Data!$R$34:$T$38,MATCH(C69,Max_Width__Inch,1),1)))</f>
        <v/>
      </c>
      <c r="V69" s="1" t="str">
        <f t="shared" si="9"/>
        <v/>
      </c>
      <c r="AB69" s="556"/>
    </row>
    <row r="70" spans="3:28">
      <c r="C70" s="1"/>
      <c r="D70" s="75"/>
      <c r="E70" s="1"/>
      <c r="F70" s="17"/>
      <c r="G70" s="1"/>
      <c r="H70" s="599"/>
      <c r="I70" s="599"/>
      <c r="J70" s="1"/>
      <c r="K70" s="1"/>
      <c r="L70" s="1"/>
      <c r="M70" s="1"/>
      <c r="AB70" s="556"/>
    </row>
    <row r="71" spans="3:28">
      <c r="C71" s="1"/>
      <c r="D71" s="75"/>
      <c r="E71" s="1"/>
      <c r="F71" s="17"/>
      <c r="G71" s="1"/>
      <c r="H71" s="599"/>
      <c r="I71" s="599"/>
      <c r="J71" s="1"/>
      <c r="K71" s="1"/>
      <c r="L71" s="1"/>
      <c r="M71" s="1"/>
      <c r="AB71" s="556"/>
    </row>
    <row r="72" spans="3:28">
      <c r="C72" s="1"/>
      <c r="D72" s="75"/>
      <c r="E72" s="1"/>
      <c r="F72" s="17"/>
      <c r="G72" s="1"/>
      <c r="H72" s="599"/>
      <c r="I72" s="599"/>
      <c r="J72" s="1"/>
      <c r="K72" s="1"/>
      <c r="L72" s="1"/>
      <c r="M72" s="1"/>
      <c r="AB72" s="556"/>
    </row>
    <row r="73" spans="3:28">
      <c r="C73" s="1"/>
      <c r="D73" s="75"/>
      <c r="E73" s="1"/>
      <c r="F73" s="17"/>
      <c r="G73" s="1"/>
      <c r="H73" s="599"/>
      <c r="I73" s="599"/>
      <c r="J73" s="1"/>
      <c r="K73" s="1"/>
      <c r="L73" s="1"/>
      <c r="M73" s="1"/>
      <c r="AB73" s="556"/>
    </row>
    <row r="74" spans="3:28">
      <c r="C74" s="1"/>
      <c r="D74" s="75"/>
      <c r="E74" s="1"/>
      <c r="F74" s="17"/>
      <c r="G74" s="1"/>
      <c r="H74" s="599"/>
      <c r="I74" s="599"/>
      <c r="J74" s="1"/>
      <c r="K74" s="1"/>
      <c r="L74" s="1"/>
      <c r="M74" s="1"/>
    </row>
    <row r="75" spans="3:28">
      <c r="C75" s="1"/>
      <c r="D75" s="75"/>
      <c r="E75" s="1"/>
      <c r="F75" s="17"/>
      <c r="G75" s="1"/>
      <c r="H75" s="599"/>
      <c r="I75" s="599"/>
      <c r="J75" s="1"/>
      <c r="K75" s="1"/>
      <c r="L75" s="1"/>
      <c r="M75" s="1"/>
    </row>
    <row r="76" spans="3:28">
      <c r="C76" s="1"/>
      <c r="D76" s="75"/>
      <c r="E76" s="1"/>
      <c r="F76" s="17"/>
      <c r="G76" s="1"/>
      <c r="H76" s="599"/>
      <c r="I76" s="599"/>
      <c r="J76" s="1"/>
      <c r="K76" s="1"/>
      <c r="L76" s="1"/>
      <c r="M76" s="1"/>
    </row>
    <row r="77" spans="3:28">
      <c r="C77" s="1"/>
      <c r="D77" s="75"/>
      <c r="E77" s="1"/>
      <c r="F77" s="17"/>
      <c r="G77" s="1"/>
      <c r="H77" s="599"/>
      <c r="I77" s="599"/>
      <c r="J77" s="1"/>
      <c r="K77" s="1"/>
      <c r="L77" s="1"/>
      <c r="M77" s="1"/>
    </row>
    <row r="78" spans="3:28">
      <c r="C78" s="1"/>
      <c r="D78" s="75"/>
      <c r="E78" s="1"/>
      <c r="F78" s="17"/>
      <c r="G78" s="1"/>
      <c r="H78" s="599"/>
      <c r="I78" s="599"/>
      <c r="J78" s="1"/>
      <c r="K78" s="1"/>
      <c r="L78" s="1"/>
      <c r="M78" s="1"/>
    </row>
    <row r="79" spans="3:28">
      <c r="C79" s="1"/>
      <c r="D79" s="75"/>
      <c r="E79" s="1"/>
      <c r="F79" s="17"/>
      <c r="G79" s="1"/>
      <c r="H79" s="599"/>
      <c r="I79" s="599"/>
      <c r="J79" s="1"/>
      <c r="K79" s="1"/>
      <c r="L79" s="1"/>
      <c r="M79" s="1"/>
    </row>
    <row r="80" spans="3:28">
      <c r="C80" s="1"/>
      <c r="D80" s="75"/>
      <c r="E80" s="1"/>
      <c r="F80" s="17"/>
      <c r="G80" s="1"/>
      <c r="H80" s="599"/>
      <c r="I80" s="599"/>
      <c r="J80" s="1"/>
      <c r="K80" s="1"/>
      <c r="L80" s="1"/>
      <c r="M80" s="1"/>
    </row>
    <row r="81" spans="3:13">
      <c r="C81" s="1"/>
      <c r="D81" s="75"/>
      <c r="E81" s="1"/>
      <c r="F81" s="17"/>
      <c r="G81" s="1"/>
      <c r="H81" s="599"/>
      <c r="I81" s="599"/>
      <c r="J81" s="1"/>
      <c r="K81" s="1"/>
      <c r="L81" s="1"/>
      <c r="M81" s="1"/>
    </row>
    <row r="82" spans="3:13">
      <c r="C82" s="1"/>
      <c r="D82" s="75"/>
      <c r="E82" s="1"/>
      <c r="F82" s="17"/>
      <c r="G82" s="1"/>
      <c r="H82" s="599"/>
      <c r="I82" s="599"/>
      <c r="J82" s="1"/>
      <c r="K82" s="1"/>
      <c r="L82" s="1"/>
      <c r="M82" s="1"/>
    </row>
    <row r="83" spans="3:13">
      <c r="C83" s="1"/>
      <c r="D83" s="75"/>
      <c r="E83" s="1"/>
      <c r="F83" s="17"/>
      <c r="G83" s="1"/>
      <c r="H83" s="599"/>
      <c r="I83" s="599"/>
      <c r="J83" s="1"/>
      <c r="K83" s="1"/>
      <c r="L83" s="1"/>
      <c r="M83" s="1"/>
    </row>
    <row r="84" spans="3:13">
      <c r="C84" s="1"/>
      <c r="D84" s="75"/>
      <c r="E84" s="1"/>
      <c r="F84" s="17"/>
      <c r="G84" s="1"/>
      <c r="H84" s="599"/>
      <c r="I84" s="599"/>
      <c r="J84" s="1"/>
      <c r="K84" s="1"/>
      <c r="L84" s="1"/>
      <c r="M84" s="1"/>
    </row>
    <row r="85" spans="3:13">
      <c r="C85" s="1"/>
      <c r="D85" s="75"/>
      <c r="E85" s="1"/>
      <c r="F85" s="17"/>
      <c r="G85" s="1"/>
      <c r="H85" s="599"/>
      <c r="I85" s="599"/>
      <c r="J85" s="1"/>
      <c r="K85" s="1"/>
      <c r="L85" s="1"/>
      <c r="M85" s="1"/>
    </row>
    <row r="86" spans="3:13">
      <c r="C86" s="1"/>
      <c r="D86" s="75"/>
      <c r="E86" s="1"/>
      <c r="F86" s="17"/>
      <c r="G86" s="1"/>
      <c r="H86" s="599"/>
      <c r="I86" s="599"/>
      <c r="J86" s="1"/>
      <c r="K86" s="1"/>
      <c r="L86" s="1"/>
      <c r="M86" s="1"/>
    </row>
    <row r="87" spans="3:13">
      <c r="C87" s="1"/>
      <c r="D87" s="75"/>
      <c r="E87" s="1"/>
      <c r="F87" s="17"/>
      <c r="G87" s="1"/>
      <c r="H87" s="599"/>
      <c r="I87" s="599"/>
      <c r="J87" s="1"/>
      <c r="K87" s="1"/>
      <c r="L87" s="1"/>
      <c r="M87" s="1"/>
    </row>
    <row r="88" spans="3:13">
      <c r="C88" s="1"/>
      <c r="D88" s="75"/>
      <c r="E88" s="1"/>
      <c r="F88" s="17"/>
      <c r="G88" s="1"/>
      <c r="H88" s="599"/>
      <c r="I88" s="599"/>
      <c r="J88" s="1"/>
      <c r="K88" s="1"/>
      <c r="L88" s="1"/>
      <c r="M88" s="1"/>
    </row>
    <row r="89" spans="3:13">
      <c r="C89" s="1"/>
      <c r="D89" s="75"/>
      <c r="E89" s="1"/>
      <c r="F89" s="17"/>
      <c r="G89" s="1"/>
      <c r="H89" s="599"/>
      <c r="I89" s="599"/>
      <c r="J89" s="1"/>
      <c r="K89" s="1"/>
      <c r="L89" s="1"/>
      <c r="M89" s="1"/>
    </row>
    <row r="90" spans="3:13">
      <c r="C90" s="1"/>
      <c r="D90" s="75"/>
      <c r="E90" s="1"/>
      <c r="F90" s="17"/>
      <c r="G90" s="1"/>
      <c r="H90" s="599"/>
      <c r="I90" s="599"/>
      <c r="J90" s="1"/>
      <c r="K90" s="1"/>
      <c r="L90" s="1"/>
      <c r="M90" s="1"/>
    </row>
    <row r="91" spans="3:13">
      <c r="C91" s="1"/>
      <c r="D91" s="75"/>
      <c r="E91" s="1"/>
      <c r="F91" s="17"/>
      <c r="G91" s="1"/>
      <c r="H91" s="599"/>
      <c r="I91" s="599"/>
      <c r="J91" s="1"/>
      <c r="K91" s="1"/>
      <c r="L91" s="1"/>
      <c r="M91" s="1"/>
    </row>
    <row r="92" spans="3:13">
      <c r="C92" s="1"/>
      <c r="D92" s="75"/>
      <c r="E92" s="1"/>
      <c r="F92" s="17"/>
      <c r="G92" s="1"/>
      <c r="H92" s="599"/>
      <c r="I92" s="599"/>
      <c r="J92" s="1"/>
      <c r="K92" s="1"/>
      <c r="L92" s="1"/>
      <c r="M92" s="1"/>
    </row>
    <row r="93" spans="3:13">
      <c r="C93" s="1"/>
      <c r="D93" s="75"/>
      <c r="E93" s="1"/>
      <c r="F93" s="17"/>
      <c r="G93" s="1"/>
      <c r="H93" s="599"/>
      <c r="I93" s="599"/>
      <c r="J93" s="1"/>
      <c r="K93" s="1"/>
      <c r="L93" s="1"/>
      <c r="M93" s="1"/>
    </row>
    <row r="94" spans="3:13">
      <c r="C94" s="1"/>
      <c r="D94" s="75"/>
      <c r="E94" s="1"/>
      <c r="F94" s="17"/>
      <c r="G94" s="1"/>
      <c r="H94" s="599"/>
      <c r="I94" s="599"/>
      <c r="J94" s="1"/>
      <c r="K94" s="1"/>
      <c r="L94" s="1"/>
      <c r="M94" s="1"/>
    </row>
    <row r="95" spans="3:13">
      <c r="C95" s="1"/>
      <c r="D95" s="75"/>
      <c r="E95" s="1"/>
      <c r="F95" s="17"/>
      <c r="G95" s="1"/>
      <c r="H95" s="599"/>
      <c r="I95" s="599"/>
      <c r="J95" s="1"/>
      <c r="K95" s="1"/>
      <c r="L95" s="1"/>
      <c r="M95" s="1"/>
    </row>
    <row r="96" spans="3:13">
      <c r="C96" s="1"/>
      <c r="D96" s="75"/>
      <c r="E96" s="1"/>
      <c r="F96" s="17"/>
      <c r="G96" s="1"/>
      <c r="H96" s="599"/>
      <c r="I96" s="599"/>
      <c r="J96" s="1"/>
      <c r="K96" s="1"/>
      <c r="L96" s="1"/>
      <c r="M96" s="1"/>
    </row>
    <row r="97" spans="3:13">
      <c r="C97" s="1"/>
      <c r="D97" s="75"/>
      <c r="E97" s="1"/>
      <c r="F97" s="17"/>
      <c r="G97" s="1"/>
      <c r="H97" s="599"/>
      <c r="I97" s="599"/>
      <c r="J97" s="1"/>
      <c r="K97" s="1"/>
      <c r="L97" s="1"/>
      <c r="M97" s="1"/>
    </row>
    <row r="98" spans="3:13">
      <c r="C98" s="1"/>
      <c r="D98" s="75"/>
      <c r="E98" s="1"/>
      <c r="F98" s="17"/>
      <c r="G98" s="1"/>
      <c r="H98" s="599"/>
      <c r="I98" s="599"/>
      <c r="J98" s="1"/>
      <c r="K98" s="1"/>
      <c r="L98" s="1"/>
      <c r="M98" s="1"/>
    </row>
    <row r="99" spans="3:13">
      <c r="C99" s="1"/>
      <c r="D99" s="75"/>
      <c r="E99" s="1"/>
      <c r="F99" s="17"/>
      <c r="G99" s="1"/>
      <c r="H99" s="599"/>
      <c r="I99" s="599"/>
      <c r="J99" s="1"/>
      <c r="K99" s="1"/>
      <c r="L99" s="1"/>
      <c r="M99" s="1"/>
    </row>
    <row r="100" spans="3:13">
      <c r="C100" s="1"/>
      <c r="D100" s="75"/>
      <c r="E100" s="1"/>
      <c r="F100" s="17"/>
      <c r="G100" s="1"/>
      <c r="H100" s="599"/>
      <c r="I100" s="599"/>
      <c r="J100" s="1"/>
      <c r="K100" s="1"/>
      <c r="L100" s="1"/>
      <c r="M100" s="1"/>
    </row>
    <row r="101" spans="3:13">
      <c r="C101" s="1"/>
      <c r="D101" s="75"/>
      <c r="E101" s="1"/>
      <c r="F101" s="17"/>
      <c r="G101" s="1"/>
      <c r="H101" s="599"/>
      <c r="I101" s="599"/>
      <c r="J101" s="1"/>
      <c r="K101" s="1"/>
      <c r="L101" s="1"/>
      <c r="M101" s="1"/>
    </row>
    <row r="102" spans="3:13">
      <c r="C102" s="1"/>
      <c r="D102" s="75"/>
      <c r="E102" s="1"/>
      <c r="F102" s="17"/>
      <c r="G102" s="1"/>
      <c r="H102" s="599"/>
      <c r="I102" s="599"/>
      <c r="J102" s="1"/>
      <c r="K102" s="1"/>
      <c r="L102" s="1"/>
      <c r="M102" s="1"/>
    </row>
    <row r="103" spans="3:13">
      <c r="C103" s="1"/>
      <c r="D103" s="75"/>
      <c r="E103" s="1"/>
      <c r="F103" s="17"/>
      <c r="G103" s="1"/>
      <c r="H103" s="599"/>
      <c r="I103" s="599"/>
      <c r="J103" s="1"/>
      <c r="K103" s="1"/>
      <c r="L103" s="1"/>
      <c r="M103" s="1"/>
    </row>
    <row r="104" spans="3:13">
      <c r="C104" s="1"/>
      <c r="D104" s="75"/>
      <c r="E104" s="1"/>
      <c r="F104" s="17"/>
      <c r="G104" s="1"/>
      <c r="H104" s="599"/>
      <c r="I104" s="599"/>
      <c r="J104" s="1"/>
      <c r="K104" s="1"/>
      <c r="L104" s="1"/>
      <c r="M104" s="1"/>
    </row>
    <row r="105" spans="3:13">
      <c r="C105" s="1"/>
      <c r="D105" s="75"/>
      <c r="E105" s="1"/>
      <c r="F105" s="17"/>
      <c r="G105" s="1"/>
      <c r="H105" s="599"/>
      <c r="I105" s="599"/>
      <c r="J105" s="1"/>
      <c r="K105" s="1"/>
      <c r="L105" s="1"/>
      <c r="M105" s="1"/>
    </row>
    <row r="106" spans="3:13">
      <c r="C106" s="1"/>
      <c r="D106" s="75"/>
      <c r="E106" s="1"/>
      <c r="F106" s="17"/>
      <c r="G106" s="1"/>
      <c r="H106" s="599"/>
      <c r="I106" s="599"/>
      <c r="J106" s="1"/>
      <c r="K106" s="1"/>
      <c r="L106" s="1"/>
      <c r="M106" s="1"/>
    </row>
    <row r="107" spans="3:13">
      <c r="C107" s="1"/>
      <c r="D107" s="75"/>
      <c r="E107" s="1"/>
      <c r="F107" s="17"/>
      <c r="G107" s="1"/>
      <c r="H107" s="599"/>
      <c r="I107" s="599"/>
      <c r="J107" s="1"/>
      <c r="K107" s="1"/>
      <c r="L107" s="1"/>
      <c r="M107" s="1"/>
    </row>
    <row r="108" spans="3:13">
      <c r="C108" s="1"/>
      <c r="D108" s="75"/>
      <c r="E108" s="1"/>
      <c r="F108" s="17"/>
      <c r="G108" s="1"/>
      <c r="H108" s="599"/>
      <c r="I108" s="599"/>
      <c r="J108" s="1"/>
      <c r="K108" s="1"/>
      <c r="L108" s="1"/>
      <c r="M108" s="1"/>
    </row>
    <row r="109" spans="3:13">
      <c r="C109" s="1"/>
      <c r="D109" s="75"/>
      <c r="E109" s="1"/>
      <c r="F109" s="17"/>
      <c r="G109" s="1"/>
      <c r="H109" s="599"/>
      <c r="I109" s="599"/>
      <c r="J109" s="1"/>
      <c r="K109" s="1"/>
      <c r="L109" s="1"/>
      <c r="M109" s="1"/>
    </row>
    <row r="110" spans="3:13">
      <c r="C110" s="1"/>
      <c r="D110" s="75"/>
      <c r="E110" s="1"/>
      <c r="F110" s="17"/>
      <c r="G110" s="1"/>
      <c r="H110" s="599"/>
      <c r="I110" s="599"/>
      <c r="J110" s="1"/>
      <c r="K110" s="1"/>
      <c r="L110" s="1"/>
      <c r="M110" s="1"/>
    </row>
    <row r="111" spans="3:13">
      <c r="C111" s="1"/>
      <c r="D111" s="75"/>
      <c r="E111" s="1"/>
      <c r="F111" s="17"/>
      <c r="G111" s="1"/>
      <c r="H111" s="599"/>
      <c r="I111" s="599"/>
      <c r="J111" s="1"/>
      <c r="K111" s="1"/>
      <c r="L111" s="1"/>
      <c r="M111" s="1"/>
    </row>
    <row r="112" spans="3:13">
      <c r="C112" s="1"/>
      <c r="D112" s="75"/>
      <c r="E112" s="1"/>
      <c r="F112" s="17"/>
      <c r="G112" s="1"/>
      <c r="H112" s="599"/>
      <c r="I112" s="599"/>
      <c r="J112" s="1"/>
      <c r="K112" s="1"/>
      <c r="L112" s="1"/>
      <c r="M112" s="1"/>
    </row>
    <row r="113" spans="3:13">
      <c r="C113" s="1"/>
      <c r="D113" s="75"/>
      <c r="E113" s="1"/>
      <c r="F113" s="17"/>
      <c r="G113" s="1"/>
      <c r="H113" s="599"/>
      <c r="I113" s="599"/>
      <c r="J113" s="1"/>
      <c r="K113" s="1"/>
      <c r="L113" s="1"/>
      <c r="M113" s="1"/>
    </row>
    <row r="114" spans="3:13">
      <c r="C114" s="1"/>
      <c r="D114" s="75"/>
      <c r="E114" s="1"/>
      <c r="F114" s="17"/>
      <c r="G114" s="1"/>
      <c r="H114" s="599"/>
      <c r="I114" s="599"/>
      <c r="J114" s="1"/>
      <c r="K114" s="1"/>
      <c r="L114" s="1"/>
      <c r="M114" s="1"/>
    </row>
    <row r="115" spans="3:13">
      <c r="C115" s="1"/>
      <c r="D115" s="75"/>
      <c r="E115" s="1"/>
      <c r="F115" s="17"/>
      <c r="G115" s="1"/>
      <c r="H115" s="599"/>
      <c r="I115" s="599"/>
      <c r="J115" s="1"/>
      <c r="K115" s="1"/>
      <c r="L115" s="1"/>
      <c r="M115" s="1"/>
    </row>
    <row r="116" spans="3:13">
      <c r="C116" s="1"/>
      <c r="D116" s="75"/>
      <c r="E116" s="1"/>
      <c r="F116" s="17"/>
      <c r="G116" s="1"/>
      <c r="H116" s="599"/>
      <c r="I116" s="599"/>
      <c r="J116" s="1"/>
      <c r="K116" s="1"/>
      <c r="L116" s="1"/>
      <c r="M116" s="1"/>
    </row>
    <row r="117" spans="3:13">
      <c r="C117" s="1"/>
      <c r="D117" s="75"/>
      <c r="E117" s="1"/>
      <c r="F117" s="17"/>
      <c r="G117" s="1"/>
      <c r="H117" s="599"/>
      <c r="I117" s="599"/>
      <c r="J117" s="1"/>
      <c r="K117" s="1"/>
      <c r="L117" s="1"/>
      <c r="M117" s="1"/>
    </row>
    <row r="118" spans="3:13">
      <c r="C118" s="1"/>
      <c r="D118" s="75"/>
      <c r="E118" s="1"/>
      <c r="F118" s="17"/>
      <c r="G118" s="1"/>
      <c r="H118" s="599"/>
      <c r="I118" s="599"/>
      <c r="J118" s="1"/>
      <c r="K118" s="1"/>
      <c r="L118" s="1"/>
      <c r="M118" s="1"/>
    </row>
    <row r="119" spans="3:13">
      <c r="C119" s="1"/>
      <c r="D119" s="75"/>
      <c r="E119" s="1"/>
      <c r="F119" s="17"/>
      <c r="G119" s="1"/>
      <c r="H119" s="599"/>
      <c r="I119" s="599"/>
      <c r="J119" s="1"/>
      <c r="K119" s="1"/>
      <c r="L119" s="1"/>
      <c r="M119" s="1"/>
    </row>
    <row r="120" spans="3:13">
      <c r="C120" s="1"/>
      <c r="D120" s="75"/>
      <c r="E120" s="1"/>
      <c r="F120" s="17"/>
      <c r="G120" s="1"/>
      <c r="H120" s="599"/>
      <c r="I120" s="599"/>
      <c r="J120" s="1"/>
      <c r="K120" s="1"/>
      <c r="L120" s="1"/>
      <c r="M120" s="1"/>
    </row>
    <row r="121" spans="3:13">
      <c r="C121" s="1"/>
      <c r="D121" s="75"/>
      <c r="E121" s="1"/>
      <c r="F121" s="17"/>
      <c r="G121" s="1"/>
      <c r="H121" s="599"/>
      <c r="I121" s="599"/>
      <c r="J121" s="1"/>
      <c r="K121" s="1"/>
      <c r="L121" s="1"/>
      <c r="M121" s="1"/>
    </row>
    <row r="122" spans="3:13">
      <c r="C122" s="1"/>
      <c r="D122" s="75"/>
      <c r="E122" s="1"/>
      <c r="F122" s="17"/>
      <c r="G122" s="1"/>
      <c r="H122" s="599"/>
      <c r="I122" s="599"/>
      <c r="J122" s="1"/>
      <c r="K122" s="1"/>
      <c r="L122" s="1"/>
      <c r="M122" s="1"/>
    </row>
    <row r="123" spans="3:13">
      <c r="C123" s="1"/>
      <c r="D123" s="75"/>
      <c r="E123" s="1"/>
      <c r="F123" s="17"/>
      <c r="G123" s="1"/>
      <c r="H123" s="599"/>
      <c r="I123" s="599"/>
      <c r="J123" s="1"/>
      <c r="K123" s="1"/>
      <c r="L123" s="1"/>
      <c r="M123" s="1"/>
    </row>
    <row r="124" spans="3:13">
      <c r="C124" s="1"/>
      <c r="D124" s="75"/>
      <c r="E124" s="1"/>
      <c r="F124" s="17"/>
      <c r="G124" s="1"/>
      <c r="H124" s="599"/>
      <c r="I124" s="599"/>
      <c r="J124" s="1"/>
      <c r="K124" s="1"/>
      <c r="L124" s="1"/>
      <c r="M124" s="1"/>
    </row>
    <row r="125" spans="3:13">
      <c r="C125" s="1"/>
      <c r="D125" s="75"/>
      <c r="E125" s="1"/>
      <c r="F125" s="17"/>
      <c r="G125" s="1"/>
      <c r="H125" s="599"/>
      <c r="I125" s="599"/>
      <c r="J125" s="1"/>
      <c r="K125" s="1"/>
      <c r="L125" s="1"/>
      <c r="M125" s="1"/>
    </row>
    <row r="126" spans="3:13">
      <c r="C126" s="1"/>
      <c r="D126" s="75"/>
      <c r="E126" s="1"/>
      <c r="F126" s="17"/>
      <c r="G126" s="1"/>
      <c r="H126" s="599"/>
      <c r="I126" s="599"/>
      <c r="J126" s="1"/>
      <c r="K126" s="1"/>
      <c r="L126" s="1"/>
      <c r="M126" s="1"/>
    </row>
    <row r="127" spans="3:13">
      <c r="C127" s="1"/>
      <c r="D127" s="75"/>
      <c r="E127" s="1"/>
      <c r="F127" s="17"/>
      <c r="G127" s="1"/>
      <c r="H127" s="599"/>
      <c r="I127" s="599"/>
      <c r="J127" s="1"/>
      <c r="K127" s="1"/>
      <c r="L127" s="1"/>
      <c r="M127" s="1"/>
    </row>
    <row r="128" spans="3:13">
      <c r="C128" s="1"/>
      <c r="D128" s="75"/>
      <c r="E128" s="1"/>
      <c r="F128" s="17"/>
      <c r="G128" s="1"/>
      <c r="H128" s="599"/>
      <c r="I128" s="599"/>
      <c r="J128" s="1"/>
      <c r="K128" s="1"/>
      <c r="L128" s="1"/>
      <c r="M128" s="1"/>
    </row>
    <row r="129" spans="3:13">
      <c r="C129" s="1"/>
      <c r="D129" s="75"/>
      <c r="E129" s="1"/>
      <c r="F129" s="17"/>
      <c r="G129" s="1"/>
      <c r="H129" s="599"/>
      <c r="I129" s="599"/>
      <c r="J129" s="1"/>
      <c r="K129" s="1"/>
      <c r="L129" s="1"/>
      <c r="M129" s="1"/>
    </row>
    <row r="130" spans="3:13">
      <c r="C130" s="1"/>
      <c r="D130" s="75"/>
      <c r="E130" s="1"/>
      <c r="F130" s="17"/>
      <c r="G130" s="1"/>
      <c r="H130" s="599"/>
      <c r="I130" s="599"/>
      <c r="J130" s="1"/>
      <c r="K130" s="1"/>
      <c r="L130" s="1"/>
      <c r="M130" s="1"/>
    </row>
    <row r="131" spans="3:13">
      <c r="C131" s="1"/>
      <c r="D131" s="75"/>
      <c r="E131" s="1"/>
      <c r="F131" s="17"/>
      <c r="G131" s="1"/>
      <c r="H131" s="599"/>
      <c r="I131" s="599"/>
      <c r="J131" s="1"/>
      <c r="K131" s="1"/>
      <c r="L131" s="1"/>
      <c r="M131" s="1"/>
    </row>
    <row r="132" spans="3:13">
      <c r="C132" s="1"/>
      <c r="D132" s="75"/>
      <c r="E132" s="1"/>
      <c r="F132" s="17"/>
      <c r="G132" s="1"/>
      <c r="H132" s="599"/>
      <c r="I132" s="599"/>
      <c r="J132" s="1"/>
      <c r="K132" s="1"/>
      <c r="L132" s="1"/>
      <c r="M132" s="1"/>
    </row>
    <row r="133" spans="3:13">
      <c r="C133" s="1"/>
      <c r="D133" s="75"/>
      <c r="E133" s="1"/>
      <c r="F133" s="17"/>
      <c r="G133" s="1"/>
      <c r="H133" s="599"/>
      <c r="I133" s="599"/>
      <c r="J133" s="1"/>
      <c r="K133" s="1"/>
      <c r="L133" s="1"/>
      <c r="M133" s="1"/>
    </row>
    <row r="134" spans="3:13">
      <c r="C134" s="1"/>
      <c r="D134" s="75"/>
      <c r="E134" s="1"/>
      <c r="F134" s="17"/>
      <c r="G134" s="1"/>
      <c r="H134" s="599"/>
      <c r="I134" s="599"/>
      <c r="J134" s="1"/>
      <c r="K134" s="1"/>
      <c r="L134" s="1"/>
      <c r="M134" s="1"/>
    </row>
    <row r="135" spans="3:13">
      <c r="C135" s="1"/>
      <c r="D135" s="75"/>
      <c r="E135" s="1"/>
      <c r="F135" s="17"/>
      <c r="G135" s="1"/>
      <c r="H135" s="599"/>
      <c r="I135" s="599"/>
      <c r="J135" s="1"/>
      <c r="K135" s="1"/>
      <c r="L135" s="1"/>
      <c r="M135" s="1"/>
    </row>
    <row r="136" spans="3:13">
      <c r="C136" s="1"/>
      <c r="D136" s="75"/>
      <c r="E136" s="1"/>
      <c r="F136" s="17"/>
      <c r="G136" s="1"/>
      <c r="H136" s="599"/>
      <c r="I136" s="599"/>
      <c r="J136" s="1"/>
      <c r="K136" s="1"/>
      <c r="L136" s="1"/>
      <c r="M136" s="1"/>
    </row>
    <row r="137" spans="3:13">
      <c r="C137" s="1"/>
      <c r="D137" s="75"/>
      <c r="E137" s="1"/>
      <c r="F137" s="17"/>
      <c r="G137" s="1"/>
      <c r="H137" s="599"/>
      <c r="I137" s="599"/>
      <c r="J137" s="1"/>
      <c r="K137" s="1"/>
      <c r="L137" s="1"/>
      <c r="M137" s="1"/>
    </row>
    <row r="138" spans="3:13">
      <c r="C138" s="1"/>
      <c r="D138" s="75"/>
      <c r="E138" s="1"/>
      <c r="F138" s="17"/>
      <c r="G138" s="1"/>
      <c r="H138" s="599"/>
      <c r="I138" s="599"/>
      <c r="J138" s="1"/>
      <c r="K138" s="1"/>
      <c r="L138" s="1"/>
      <c r="M138" s="1"/>
    </row>
    <row r="139" spans="3:13">
      <c r="C139" s="1"/>
      <c r="D139" s="1"/>
      <c r="E139" s="1"/>
      <c r="F139" s="17"/>
      <c r="G139" s="1"/>
      <c r="H139" s="599"/>
      <c r="I139" s="599"/>
      <c r="J139" s="1"/>
      <c r="K139" s="1"/>
      <c r="L139" s="1"/>
      <c r="M139" s="1"/>
    </row>
    <row r="140" spans="3:13">
      <c r="C140" s="1"/>
      <c r="D140" s="1"/>
      <c r="E140" s="1"/>
      <c r="F140" s="17"/>
      <c r="G140" s="1"/>
      <c r="H140" s="599"/>
      <c r="I140" s="599"/>
      <c r="J140" s="1"/>
      <c r="K140" s="1"/>
      <c r="L140" s="1"/>
      <c r="M140" s="1"/>
    </row>
    <row r="141" spans="3:13">
      <c r="C141" s="1"/>
      <c r="D141" s="1"/>
      <c r="E141" s="1"/>
      <c r="F141" s="17"/>
      <c r="G141" s="1"/>
      <c r="H141" s="599"/>
      <c r="I141" s="599"/>
      <c r="J141" s="1"/>
      <c r="K141" s="1"/>
      <c r="L141" s="1"/>
      <c r="M141" s="1"/>
    </row>
    <row r="142" spans="3:13">
      <c r="C142" s="1"/>
      <c r="D142" s="1"/>
      <c r="E142" s="1"/>
      <c r="F142" s="17"/>
      <c r="G142" s="1"/>
      <c r="H142" s="599"/>
      <c r="I142" s="599"/>
      <c r="J142" s="1"/>
      <c r="K142" s="1"/>
      <c r="L142" s="1"/>
      <c r="M142" s="1"/>
    </row>
    <row r="143" spans="3:13">
      <c r="C143" s="1"/>
      <c r="D143" s="1"/>
      <c r="E143" s="1"/>
      <c r="F143" s="17"/>
      <c r="G143" s="1"/>
      <c r="H143" s="599"/>
      <c r="I143" s="599"/>
      <c r="J143" s="1"/>
      <c r="K143" s="1"/>
      <c r="L143" s="1"/>
      <c r="M143" s="1"/>
    </row>
    <row r="144" spans="3:13">
      <c r="C144" s="1"/>
      <c r="D144" s="1"/>
      <c r="E144" s="1"/>
      <c r="F144" s="17"/>
      <c r="G144" s="1"/>
      <c r="H144" s="599"/>
      <c r="I144" s="599"/>
      <c r="J144" s="1"/>
      <c r="K144" s="1"/>
      <c r="L144" s="1"/>
      <c r="M144" s="1"/>
    </row>
    <row r="145" spans="5:13">
      <c r="E145" s="1"/>
      <c r="F145" s="17"/>
      <c r="G145" s="1"/>
      <c r="H145" s="599"/>
      <c r="I145" s="599"/>
      <c r="J145" s="1"/>
      <c r="K145" s="1"/>
      <c r="L145" s="1"/>
      <c r="M145" s="1"/>
    </row>
    <row r="146" spans="5:13">
      <c r="E146" s="1"/>
      <c r="F146" s="17"/>
      <c r="G146" s="1"/>
      <c r="H146" s="599"/>
      <c r="I146" s="599"/>
      <c r="J146" s="1"/>
      <c r="K146" s="1"/>
      <c r="L146" s="1"/>
      <c r="M146" s="1"/>
    </row>
  </sheetData>
  <mergeCells count="4">
    <mergeCell ref="C1:C2"/>
    <mergeCell ref="H1:R5"/>
    <mergeCell ref="X11:Y11"/>
    <mergeCell ref="W32:X32"/>
  </mergeCells>
  <conditionalFormatting sqref="A8">
    <cfRule type="containsBlanks" dxfId="237" priority="1">
      <formula>LEN(TRIM(A8))=0</formula>
    </cfRule>
  </conditionalFormatting>
  <conditionalFormatting sqref="C56:C60">
    <cfRule type="containsBlanks" dxfId="236" priority="38">
      <formula>LEN(TRIM(C56))=0</formula>
    </cfRule>
  </conditionalFormatting>
  <conditionalFormatting sqref="F9:M9 F10:F64 C43:C47 E43:E48 D43:D138">
    <cfRule type="containsBlanks" dxfId="235" priority="39">
      <formula>LEN(TRIM(C9))=0</formula>
    </cfRule>
  </conditionalFormatting>
  <conditionalFormatting sqref="F8:N8 B8:E11 C12:E42 B12:B60">
    <cfRule type="containsBlanks" dxfId="234" priority="2">
      <formula>LEN(TRIM(B8))=0</formula>
    </cfRule>
  </conditionalFormatting>
  <conditionalFormatting sqref="G37:G38 G39:H54 G10:J36 G9:M9 J37:J38 G55 H55:H58 I39:J58 M10:M55 K10:L58">
    <cfRule type="colorScale" priority="40">
      <colorScale>
        <cfvo type="min"/>
        <cfvo type="percentile" val="50"/>
        <cfvo type="max"/>
        <color rgb="FFF8696B"/>
        <color rgb="FFFFEB84"/>
        <color rgb="FF63BE7B"/>
      </colorScale>
    </cfRule>
  </conditionalFormatting>
  <conditionalFormatting sqref="G56:G58 K56:K58 M56:M58">
    <cfRule type="colorScale" priority="41">
      <colorScale>
        <cfvo type="min"/>
        <cfvo type="percentile" val="50"/>
        <cfvo type="max"/>
        <color rgb="FFF8696B"/>
        <color rgb="FFFFEB84"/>
        <color rgb="FF63BE7B"/>
      </colorScale>
    </cfRule>
  </conditionalFormatting>
  <conditionalFormatting sqref="G10:M58">
    <cfRule type="containsBlanks" dxfId="233" priority="36">
      <formula>LEN(TRIM(G10))=0</formula>
    </cfRule>
  </conditionalFormatting>
  <conditionalFormatting sqref="H37:I38">
    <cfRule type="colorScale" priority="37">
      <colorScale>
        <cfvo type="min"/>
        <cfvo type="percentile" val="50"/>
        <cfvo type="max"/>
        <color rgb="FFF8696B"/>
        <color rgb="FFFFEB84"/>
        <color rgb="FF63BE7B"/>
      </colorScale>
    </cfRule>
  </conditionalFormatting>
  <conditionalFormatting sqref="N9:N66">
    <cfRule type="dataBar" priority="3">
      <dataBar>
        <cfvo type="min"/>
        <cfvo type="max"/>
        <color rgb="FF638EC6"/>
      </dataBar>
      <extLst>
        <ext xmlns:x14="http://schemas.microsoft.com/office/spreadsheetml/2009/9/main" uri="{B025F937-C7B1-47D3-B67F-A62EFF666E3E}">
          <x14:id>{F5863757-C5F0-494A-95EE-CE0552CCE5FE}</x14:id>
        </ext>
      </extLst>
    </cfRule>
    <cfRule type="colorScale" priority="4">
      <colorScale>
        <cfvo type="min"/>
        <cfvo type="percentile" val="50"/>
        <cfvo type="max"/>
        <color rgb="FFF8696B"/>
        <color rgb="FFFCFCFF"/>
        <color rgb="FF63BE7B"/>
      </colorScale>
    </cfRule>
    <cfRule type="containsBlanks" dxfId="232" priority="5">
      <formula>LEN(TRIM(N9))=0</formula>
    </cfRule>
    <cfRule type="colorScale" priority="6">
      <colorScale>
        <cfvo type="min"/>
        <cfvo type="percentile" val="50"/>
        <cfvo type="max"/>
        <color rgb="FFF8696B"/>
        <color rgb="FFFFEB84"/>
        <color rgb="FF63BE7B"/>
      </colorScale>
    </cfRule>
  </conditionalFormatting>
  <conditionalFormatting sqref="O9:Q60">
    <cfRule type="colorScale" priority="35">
      <colorScale>
        <cfvo type="min"/>
        <cfvo type="percentile" val="50"/>
        <cfvo type="max"/>
        <color rgb="FFF8696B"/>
        <color rgb="FFFFEB84"/>
        <color rgb="FF63BE7B"/>
      </colorScale>
    </cfRule>
    <cfRule type="containsBlanks" dxfId="231" priority="34">
      <formula>LEN(TRIM(O9))=0</formula>
    </cfRule>
    <cfRule type="colorScale" priority="33">
      <colorScale>
        <cfvo type="min"/>
        <cfvo type="percentile" val="50"/>
        <cfvo type="max"/>
        <color rgb="FFF8696B"/>
        <color rgb="FFFCFCFF"/>
        <color rgb="FF63BE7B"/>
      </colorScale>
    </cfRule>
    <cfRule type="dataBar" priority="32">
      <dataBar>
        <cfvo type="min"/>
        <cfvo type="max"/>
        <color rgb="FF638EC6"/>
      </dataBar>
      <extLst>
        <ext xmlns:x14="http://schemas.microsoft.com/office/spreadsheetml/2009/9/main" uri="{B025F937-C7B1-47D3-B67F-A62EFF666E3E}">
          <x14:id>{5D63D7A9-4992-494A-BF7D-7F90750F9F23}</x14:id>
        </ext>
      </extLst>
    </cfRule>
  </conditionalFormatting>
  <conditionalFormatting sqref="O8:R8">
    <cfRule type="containsBlanks" dxfId="230" priority="31">
      <formula>LEN(TRIM(O8))=0</formula>
    </cfRule>
  </conditionalFormatting>
  <conditionalFormatting sqref="R9:R58">
    <cfRule type="dataBar" priority="27">
      <dataBar>
        <cfvo type="min"/>
        <cfvo type="max"/>
        <color rgb="FF638EC6"/>
      </dataBar>
      <extLst>
        <ext xmlns:x14="http://schemas.microsoft.com/office/spreadsheetml/2009/9/main" uri="{B025F937-C7B1-47D3-B67F-A62EFF666E3E}">
          <x14:id>{4799592A-345E-4324-A00B-B64CA44D1B56}</x14:id>
        </ext>
      </extLst>
    </cfRule>
    <cfRule type="colorScale" priority="28">
      <colorScale>
        <cfvo type="min"/>
        <cfvo type="percentile" val="50"/>
        <cfvo type="max"/>
        <color rgb="FFF8696B"/>
        <color rgb="FFFCFCFF"/>
        <color rgb="FF63BE7B"/>
      </colorScale>
    </cfRule>
    <cfRule type="containsBlanks" dxfId="229" priority="29">
      <formula>LEN(TRIM(R9))=0</formula>
    </cfRule>
    <cfRule type="colorScale" priority="30">
      <colorScale>
        <cfvo type="min"/>
        <cfvo type="percentile" val="50"/>
        <cfvo type="max"/>
        <color rgb="FFF8696B"/>
        <color rgb="FFFFEB84"/>
        <color rgb="FF63BE7B"/>
      </colorScale>
    </cfRule>
  </conditionalFormatting>
  <conditionalFormatting sqref="S8:U69">
    <cfRule type="containsBlanks" dxfId="228" priority="21">
      <formula>LEN(TRIM(S8))=0</formula>
    </cfRule>
  </conditionalFormatting>
  <conditionalFormatting sqref="S9:U69">
    <cfRule type="colorScale" priority="22">
      <colorScale>
        <cfvo type="min"/>
        <cfvo type="percentile" val="50"/>
        <cfvo type="max"/>
        <color rgb="FFF8696B"/>
        <color rgb="FFFFEB84"/>
        <color rgb="FF63BE7B"/>
      </colorScale>
    </cfRule>
    <cfRule type="colorScale" priority="20">
      <colorScale>
        <cfvo type="min"/>
        <cfvo type="percentile" val="50"/>
        <cfvo type="max"/>
        <color rgb="FFF8696B"/>
        <color rgb="FFFCFCFF"/>
        <color rgb="FF63BE7B"/>
      </colorScale>
    </cfRule>
    <cfRule type="dataBar" priority="19">
      <dataBar>
        <cfvo type="min"/>
        <cfvo type="max"/>
        <color rgb="FF638EC6"/>
      </dataBar>
      <extLst>
        <ext xmlns:x14="http://schemas.microsoft.com/office/spreadsheetml/2009/9/main" uri="{B025F937-C7B1-47D3-B67F-A62EFF666E3E}">
          <x14:id>{868765A9-8D3A-49C3-8215-88FC489FAB03}</x14:id>
        </ext>
      </extLst>
    </cfRule>
  </conditionalFormatting>
  <conditionalFormatting sqref="V8:V69">
    <cfRule type="containsBlanks" dxfId="227" priority="13">
      <formula>LEN(TRIM(V8))=0</formula>
    </cfRule>
  </conditionalFormatting>
  <conditionalFormatting sqref="V9:V69">
    <cfRule type="dataBar" priority="11">
      <dataBar>
        <cfvo type="min"/>
        <cfvo type="max"/>
        <color rgb="FF638EC6"/>
      </dataBar>
      <extLst>
        <ext xmlns:x14="http://schemas.microsoft.com/office/spreadsheetml/2009/9/main" uri="{B025F937-C7B1-47D3-B67F-A62EFF666E3E}">
          <x14:id>{CCA445AD-7A4D-4168-8C4D-CF1FD4BC5572}</x14:id>
        </ext>
      </extLst>
    </cfRule>
    <cfRule type="colorScale" priority="14">
      <colorScale>
        <cfvo type="min"/>
        <cfvo type="percentile" val="50"/>
        <cfvo type="max"/>
        <color rgb="FFF8696B"/>
        <color rgb="FFFFEB84"/>
        <color rgb="FF63BE7B"/>
      </colorScale>
    </cfRule>
    <cfRule type="colorScale" priority="12">
      <colorScale>
        <cfvo type="min"/>
        <cfvo type="percentile" val="50"/>
        <cfvo type="max"/>
        <color rgb="FFF8696B"/>
        <color rgb="FFFCFCFF"/>
        <color rgb="FF63BE7B"/>
      </colorScale>
    </cfRule>
  </conditionalFormatting>
  <dataValidations count="5">
    <dataValidation type="list" allowBlank="1" showInputMessage="1" showErrorMessage="1" sqref="E9:E57" xr:uid="{D1CD010D-2B7D-43C3-A6C4-773AA1E43997}">
      <formula1>$AE$4:$AE$5</formula1>
    </dataValidation>
    <dataValidation type="list" allowBlank="1" showInputMessage="1" showErrorMessage="1" promptTitle="Enter Shape of Duct " sqref="B6" xr:uid="{216217D1-9B63-49C2-8642-96AEED606F47}">
      <formula1>$E$2:$E$3</formula1>
    </dataValidation>
    <dataValidation type="list" allowBlank="1" showInputMessage="1" showErrorMessage="1" promptTitle="Enter Type of Sheet" sqref="C6" xr:uid="{7A025C5F-0DE0-426F-9275-A529FBE96225}">
      <formula1>$G$1:$G$4</formula1>
    </dataValidation>
    <dataValidation type="list" allowBlank="1" showInputMessage="1" showErrorMessage="1" sqref="D6" xr:uid="{3F99BBFC-9059-4F3F-BEA4-9DBFEBF13E16}">
      <formula1>"1,2"</formula1>
    </dataValidation>
    <dataValidation type="list" allowBlank="1" showInputMessage="1" showErrorMessage="1" sqref="E6" xr:uid="{0B0F6623-C70E-48AB-AA4F-C92FAB69BEA4}">
      <formula1>".5,.6"</formula1>
    </dataValidation>
  </dataValidations>
  <hyperlinks>
    <hyperlink ref="C1:C2" location="Index!A1" display="Index" xr:uid="{C6493464-D6BA-4DB5-8A25-366D07043D3D}"/>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F5863757-C5F0-494A-95EE-CE0552CCE5FE}">
            <x14:dataBar minLength="0" maxLength="100" gradient="0">
              <x14:cfvo type="autoMin"/>
              <x14:cfvo type="autoMax"/>
              <x14:negativeFillColor rgb="FFFF0000"/>
              <x14:axisColor rgb="FF000000"/>
            </x14:dataBar>
          </x14:cfRule>
          <xm:sqref>N9:N66</xm:sqref>
        </x14:conditionalFormatting>
        <x14:conditionalFormatting xmlns:xm="http://schemas.microsoft.com/office/excel/2006/main">
          <x14:cfRule type="dataBar" id="{5D63D7A9-4992-494A-BF7D-7F90750F9F23}">
            <x14:dataBar minLength="0" maxLength="100" gradient="0">
              <x14:cfvo type="autoMin"/>
              <x14:cfvo type="autoMax"/>
              <x14:negativeFillColor rgb="FFFF0000"/>
              <x14:axisColor rgb="FF000000"/>
            </x14:dataBar>
          </x14:cfRule>
          <xm:sqref>O9:Q60</xm:sqref>
        </x14:conditionalFormatting>
        <x14:conditionalFormatting xmlns:xm="http://schemas.microsoft.com/office/excel/2006/main">
          <x14:cfRule type="dataBar" id="{4799592A-345E-4324-A00B-B64CA44D1B56}">
            <x14:dataBar minLength="0" maxLength="100" gradient="0">
              <x14:cfvo type="autoMin"/>
              <x14:cfvo type="autoMax"/>
              <x14:negativeFillColor rgb="FFFF0000"/>
              <x14:axisColor rgb="FF000000"/>
            </x14:dataBar>
          </x14:cfRule>
          <xm:sqref>R9:R58</xm:sqref>
        </x14:conditionalFormatting>
        <x14:conditionalFormatting xmlns:xm="http://schemas.microsoft.com/office/excel/2006/main">
          <x14:cfRule type="dataBar" id="{868765A9-8D3A-49C3-8215-88FC489FAB03}">
            <x14:dataBar minLength="0" maxLength="100" gradient="0">
              <x14:cfvo type="autoMin"/>
              <x14:cfvo type="autoMax"/>
              <x14:negativeFillColor rgb="FFFF0000"/>
              <x14:axisColor rgb="FF000000"/>
            </x14:dataBar>
          </x14:cfRule>
          <xm:sqref>S9:U69</xm:sqref>
        </x14:conditionalFormatting>
        <x14:conditionalFormatting xmlns:xm="http://schemas.microsoft.com/office/excel/2006/main">
          <x14:cfRule type="dataBar" id="{CCA445AD-7A4D-4168-8C4D-CF1FD4BC5572}">
            <x14:dataBar minLength="0" maxLength="100" gradient="0">
              <x14:cfvo type="autoMin"/>
              <x14:cfvo type="autoMax"/>
              <x14:negativeFillColor rgb="FFFF0000"/>
              <x14:axisColor rgb="FF000000"/>
            </x14:dataBar>
          </x14:cfRule>
          <xm:sqref>V9:V69</xm:sqref>
        </x14:conditionalFormatting>
        <x14:conditionalFormatting xmlns:xm="http://schemas.microsoft.com/office/excel/2006/main">
          <x14:cfRule type="containsText" priority="26" operator="containsText" id="{3C83E44C-2EE2-45C8-9E7D-6846E9FED9DC}">
            <xm:f>NOT(ISERROR(SEARCH("Three Guide Vanes",R1)))</xm:f>
            <xm:f>"Three Guide Vanes"</xm:f>
            <x14:dxf>
              <fill>
                <patternFill>
                  <bgColor rgb="FFFFFF00"/>
                </patternFill>
              </fill>
            </x14:dxf>
          </x14:cfRule>
          <x14:cfRule type="containsText" priority="23" operator="containsText" id="{A1085AD7-06E4-4E7A-AE13-4362F3B10BDE}">
            <xm:f>NOT(ISERROR(SEARCH("No Guide Vanes",R1)))</xm:f>
            <xm:f>"No Guide Vanes"</xm:f>
            <x14:dxf>
              <fill>
                <patternFill>
                  <bgColor rgb="FF92D050"/>
                </patternFill>
              </fill>
            </x14:dxf>
          </x14:cfRule>
          <x14:cfRule type="containsText" priority="24" operator="containsText" id="{8BF766CC-AF30-4DA7-8B55-B39D32F10E34}">
            <xm:f>NOT(ISERROR(SEARCH("One Guide Vanes",R1)))</xm:f>
            <xm:f>"One Guide Vanes"</xm:f>
            <x14:dxf>
              <fill>
                <patternFill>
                  <bgColor theme="7" tint="0.39994506668294322"/>
                </patternFill>
              </fill>
            </x14:dxf>
          </x14:cfRule>
          <x14:cfRule type="containsText" priority="25" operator="containsText" id="{109FC826-D102-48F8-8624-32B4F8630CE0}">
            <xm:f>NOT(ISERROR(SEARCH("Two Guide Vanes",R1)))</xm:f>
            <xm:f>"Two Guide Vanes"</xm:f>
            <x14:dxf>
              <fill>
                <patternFill>
                  <bgColor theme="7" tint="-0.24994659260841701"/>
                </patternFill>
              </fill>
            </x14:dxf>
          </x14:cfRule>
          <xm:sqref>R1:R1048576</xm:sqref>
        </x14:conditionalFormatting>
        <x14:conditionalFormatting xmlns:xm="http://schemas.microsoft.com/office/excel/2006/main">
          <x14:cfRule type="containsText" priority="17" operator="containsText" id="{7B62AFFE-8B92-4373-9A1B-2909BC24A4A4}">
            <xm:f>NOT(ISERROR(SEARCH("Two Guide Vanes",S8)))</xm:f>
            <xm:f>"Two Guide Vanes"</xm:f>
            <x14:dxf>
              <fill>
                <patternFill>
                  <bgColor theme="7" tint="-0.24994659260841701"/>
                </patternFill>
              </fill>
            </x14:dxf>
          </x14:cfRule>
          <x14:cfRule type="containsText" priority="16" operator="containsText" id="{19EF1766-D5D9-41C9-A4D2-A8580D1095E3}">
            <xm:f>NOT(ISERROR(SEARCH("One Guide Vanes",S8)))</xm:f>
            <xm:f>"One Guide Vanes"</xm:f>
            <x14:dxf>
              <fill>
                <patternFill>
                  <bgColor theme="7" tint="0.39994506668294322"/>
                </patternFill>
              </fill>
            </x14:dxf>
          </x14:cfRule>
          <x14:cfRule type="containsText" priority="15" operator="containsText" id="{6878C921-7399-4E7D-83C3-B74BBE97577B}">
            <xm:f>NOT(ISERROR(SEARCH("No Guide Vanes",S8)))</xm:f>
            <xm:f>"No Guide Vanes"</xm:f>
            <x14:dxf>
              <fill>
                <patternFill>
                  <bgColor rgb="FF92D050"/>
                </patternFill>
              </fill>
            </x14:dxf>
          </x14:cfRule>
          <x14:cfRule type="containsText" priority="18" operator="containsText" id="{A2E66D3C-3EC8-4A45-97B9-9475A01D4D71}">
            <xm:f>NOT(ISERROR(SEARCH("Three Guide Vanes",S8)))</xm:f>
            <xm:f>"Three Guide Vanes"</xm:f>
            <x14:dxf>
              <fill>
                <patternFill>
                  <bgColor rgb="FFFFFF00"/>
                </patternFill>
              </fill>
            </x14:dxf>
          </x14:cfRule>
          <xm:sqref>S8:U69</xm:sqref>
        </x14:conditionalFormatting>
        <x14:conditionalFormatting xmlns:xm="http://schemas.microsoft.com/office/excel/2006/main">
          <x14:cfRule type="containsText" priority="7" operator="containsText" id="{B6AC64B7-B2F4-4CCC-BC79-A04113F942FC}">
            <xm:f>NOT(ISERROR(SEARCH("No Guide Vanes",V1)))</xm:f>
            <xm:f>"No Guide Vanes"</xm:f>
            <x14:dxf>
              <fill>
                <patternFill>
                  <bgColor rgb="FF92D050"/>
                </patternFill>
              </fill>
            </x14:dxf>
          </x14:cfRule>
          <x14:cfRule type="containsText" priority="8" operator="containsText" id="{2FB59F4B-22FB-4036-A4BD-6093BED6406D}">
            <xm:f>NOT(ISERROR(SEARCH("One Guide Vanes",V1)))</xm:f>
            <xm:f>"One Guide Vanes"</xm:f>
            <x14:dxf>
              <fill>
                <patternFill>
                  <bgColor theme="7" tint="0.39994506668294322"/>
                </patternFill>
              </fill>
            </x14:dxf>
          </x14:cfRule>
          <x14:cfRule type="containsText" priority="9" operator="containsText" id="{BF0D876F-DB16-40D2-A1AD-E1DA515BE1E4}">
            <xm:f>NOT(ISERROR(SEARCH("Two Guide Vanes",V1)))</xm:f>
            <xm:f>"Two Guide Vanes"</xm:f>
            <x14:dxf>
              <fill>
                <patternFill>
                  <bgColor theme="7" tint="-0.24994659260841701"/>
                </patternFill>
              </fill>
            </x14:dxf>
          </x14:cfRule>
          <x14:cfRule type="containsText" priority="10" operator="containsText" id="{90338B86-941E-4B19-AA01-8CFE5224B8EE}">
            <xm:f>NOT(ISERROR(SEARCH("Three Guide Vanes",V1)))</xm:f>
            <xm:f>"Three Guide Vanes"</xm:f>
            <x14:dxf>
              <fill>
                <patternFill>
                  <bgColor rgb="FFFFFF00"/>
                </patternFill>
              </fill>
            </x14:dxf>
          </x14:cfRule>
          <xm:sqref>V1 V7:V1048576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495CA-9C0D-4A91-BBCC-804B2D7C148C}">
  <dimension ref="A1:AN753"/>
  <sheetViews>
    <sheetView showGridLines="0" zoomScale="75" zoomScaleNormal="75" workbookViewId="0">
      <pane ySplit="3" topLeftCell="A4" activePane="bottomLeft" state="frozen"/>
      <selection pane="bottomLeft" activeCell="A2" sqref="A2"/>
    </sheetView>
  </sheetViews>
  <sheetFormatPr defaultRowHeight="15.75" outlineLevelRow="1"/>
  <cols>
    <col min="17" max="17" width="27.42578125" customWidth="1"/>
    <col min="18" max="18" width="23.7109375" customWidth="1"/>
    <col min="19" max="19" width="17.140625" customWidth="1"/>
    <col min="20" max="20" width="16.28515625" customWidth="1"/>
    <col min="25" max="25" width="15.28515625" bestFit="1" customWidth="1"/>
    <col min="26" max="26" width="14.7109375" bestFit="1" customWidth="1"/>
    <col min="27" max="27" width="18.28515625" bestFit="1" customWidth="1"/>
    <col min="28" max="28" width="14.7109375" bestFit="1" customWidth="1"/>
    <col min="29" max="29" width="17.140625" bestFit="1" customWidth="1"/>
    <col min="36" max="37" width="8.42578125" style="845" customWidth="1"/>
    <col min="38" max="38" width="9.28515625" style="845" customWidth="1"/>
    <col min="39" max="39" width="11.140625" style="845" customWidth="1"/>
    <col min="40" max="40" width="13.7109375" style="845" customWidth="1"/>
  </cols>
  <sheetData>
    <row r="1" spans="1:40" ht="15">
      <c r="A1" s="896" t="s">
        <v>775</v>
      </c>
      <c r="B1" s="897"/>
      <c r="C1" s="897"/>
      <c r="D1" s="897"/>
      <c r="E1" s="897"/>
      <c r="F1" s="897"/>
      <c r="G1" s="897"/>
      <c r="H1" s="897"/>
      <c r="I1" s="897"/>
      <c r="J1" s="897"/>
      <c r="K1" s="898"/>
      <c r="M1" s="896" t="s">
        <v>776</v>
      </c>
      <c r="N1" s="897"/>
      <c r="O1" s="897"/>
      <c r="P1" s="897"/>
      <c r="Q1" s="897"/>
      <c r="R1" s="897"/>
      <c r="S1" s="897"/>
      <c r="T1" s="897"/>
      <c r="U1" s="897"/>
      <c r="V1" s="897"/>
      <c r="W1" s="898"/>
      <c r="AJ1" s="762" t="s">
        <v>777</v>
      </c>
      <c r="AK1" s="762"/>
      <c r="AL1" s="762"/>
      <c r="AM1" s="762"/>
      <c r="AN1" s="762"/>
    </row>
    <row r="2" spans="1:40" ht="15">
      <c r="A2" s="763"/>
      <c r="B2" s="897" t="s">
        <v>778</v>
      </c>
      <c r="C2" s="897"/>
      <c r="D2" s="898"/>
      <c r="E2" s="896" t="s">
        <v>779</v>
      </c>
      <c r="F2" s="897"/>
      <c r="G2" s="897"/>
      <c r="H2" s="898"/>
      <c r="I2" s="896" t="s">
        <v>780</v>
      </c>
      <c r="J2" s="897"/>
      <c r="K2" s="898"/>
      <c r="M2" s="763"/>
      <c r="N2" s="897" t="s">
        <v>778</v>
      </c>
      <c r="O2" s="897"/>
      <c r="P2" s="898"/>
      <c r="Q2" s="896" t="s">
        <v>779</v>
      </c>
      <c r="R2" s="897"/>
      <c r="S2" s="897"/>
      <c r="T2" s="898"/>
      <c r="U2" s="896" t="s">
        <v>780</v>
      </c>
      <c r="V2" s="897"/>
      <c r="W2" s="898"/>
      <c r="Y2" s="908" t="s">
        <v>781</v>
      </c>
      <c r="Z2" s="909"/>
      <c r="AA2" s="909"/>
      <c r="AB2" s="909"/>
      <c r="AC2" s="909"/>
      <c r="AD2" s="909"/>
      <c r="AE2" s="909"/>
      <c r="AF2" s="909"/>
      <c r="AG2" s="910"/>
      <c r="AJ2" s="764"/>
      <c r="AK2" s="762" t="s">
        <v>782</v>
      </c>
      <c r="AL2" s="765"/>
      <c r="AM2" s="762"/>
      <c r="AN2" s="764" t="s">
        <v>783</v>
      </c>
    </row>
    <row r="3" spans="1:40" ht="16.5">
      <c r="A3" s="766"/>
      <c r="B3" s="767"/>
      <c r="C3" s="767"/>
      <c r="D3" s="767"/>
      <c r="E3" s="767" t="s">
        <v>784</v>
      </c>
      <c r="F3" s="767" t="s">
        <v>785</v>
      </c>
      <c r="G3" s="767" t="s">
        <v>786</v>
      </c>
      <c r="H3" s="767" t="s">
        <v>785</v>
      </c>
      <c r="I3" s="767"/>
      <c r="J3" s="767"/>
      <c r="K3" s="767"/>
      <c r="M3" s="766"/>
      <c r="N3" s="767"/>
      <c r="O3" s="767"/>
      <c r="P3" s="767"/>
      <c r="Q3" s="896" t="s">
        <v>787</v>
      </c>
      <c r="R3" s="911"/>
      <c r="S3" s="896" t="s">
        <v>788</v>
      </c>
      <c r="T3" s="911"/>
      <c r="U3" s="767"/>
      <c r="V3" s="767"/>
      <c r="W3" s="767"/>
      <c r="Y3" s="905" t="s">
        <v>789</v>
      </c>
      <c r="Z3" s="906"/>
      <c r="AA3" s="906"/>
      <c r="AB3" s="906"/>
      <c r="AC3" s="906"/>
      <c r="AD3" s="906"/>
      <c r="AE3" s="906"/>
      <c r="AF3" s="906"/>
      <c r="AG3" s="907"/>
      <c r="AJ3" s="770" t="s">
        <v>709</v>
      </c>
      <c r="AK3" s="762" t="s">
        <v>790</v>
      </c>
      <c r="AL3" s="765"/>
      <c r="AM3" s="770" t="s">
        <v>791</v>
      </c>
      <c r="AN3" s="771" t="s">
        <v>792</v>
      </c>
    </row>
    <row r="4" spans="1:40" ht="15">
      <c r="A4" s="772" t="s">
        <v>793</v>
      </c>
      <c r="B4" s="772" t="s">
        <v>784</v>
      </c>
      <c r="C4" s="772" t="s">
        <v>786</v>
      </c>
      <c r="D4" s="772" t="s">
        <v>785</v>
      </c>
      <c r="E4" s="772" t="s">
        <v>787</v>
      </c>
      <c r="F4" s="772" t="s">
        <v>787</v>
      </c>
      <c r="G4" s="772" t="s">
        <v>787</v>
      </c>
      <c r="H4" s="772" t="s">
        <v>788</v>
      </c>
      <c r="I4" s="772" t="s">
        <v>784</v>
      </c>
      <c r="J4" s="772" t="s">
        <v>786</v>
      </c>
      <c r="K4" s="772" t="s">
        <v>785</v>
      </c>
      <c r="M4" s="772" t="s">
        <v>793</v>
      </c>
      <c r="N4" s="772" t="s">
        <v>784</v>
      </c>
      <c r="O4" s="772" t="s">
        <v>786</v>
      </c>
      <c r="P4" s="772" t="s">
        <v>785</v>
      </c>
      <c r="Q4" s="772">
        <v>300</v>
      </c>
      <c r="R4" s="772">
        <v>400</v>
      </c>
      <c r="S4" s="772">
        <v>300</v>
      </c>
      <c r="T4" s="772">
        <v>400</v>
      </c>
      <c r="U4" s="772" t="s">
        <v>785</v>
      </c>
      <c r="V4" s="772" t="s">
        <v>784</v>
      </c>
      <c r="W4" s="772" t="s">
        <v>786</v>
      </c>
      <c r="Y4" s="912" t="s">
        <v>794</v>
      </c>
      <c r="Z4" s="913"/>
      <c r="AA4" s="913"/>
      <c r="AB4" s="913"/>
      <c r="AC4" s="913"/>
      <c r="AD4" s="913"/>
      <c r="AE4" s="913"/>
      <c r="AF4" s="913"/>
      <c r="AG4" s="914"/>
      <c r="AJ4" s="773">
        <v>30</v>
      </c>
      <c r="AK4" s="774">
        <v>0.39900000000000002</v>
      </c>
      <c r="AL4" s="775"/>
      <c r="AM4" s="776">
        <v>0.31900000000000001</v>
      </c>
      <c r="AN4" s="777">
        <v>3.2</v>
      </c>
    </row>
    <row r="5" spans="1:40" ht="15">
      <c r="A5" s="778">
        <v>33</v>
      </c>
      <c r="B5" s="779">
        <v>6.0000000000000001E-3</v>
      </c>
      <c r="C5" s="779">
        <v>1.2E-2</v>
      </c>
      <c r="D5" s="779">
        <v>8.9999999999999993E-3</v>
      </c>
      <c r="E5" s="780">
        <v>0.2409</v>
      </c>
      <c r="F5" s="780">
        <v>0.376</v>
      </c>
      <c r="G5" s="780">
        <v>0.48599999999999999</v>
      </c>
      <c r="H5" s="767"/>
      <c r="I5" s="780">
        <v>0.15240000000000001</v>
      </c>
      <c r="J5" s="780">
        <v>0.30480000000000002</v>
      </c>
      <c r="K5" s="781">
        <v>0.2286</v>
      </c>
      <c r="M5" s="778">
        <v>31</v>
      </c>
      <c r="N5" s="779">
        <v>8.8999999999999999E-3</v>
      </c>
      <c r="O5" s="779">
        <v>1.29E-2</v>
      </c>
      <c r="P5" s="779">
        <v>1.09E-2</v>
      </c>
      <c r="Q5" s="780">
        <v>0.45900000000000002</v>
      </c>
      <c r="R5" s="780">
        <v>0.45100000000000001</v>
      </c>
      <c r="S5" s="780">
        <v>2.2389999999999999</v>
      </c>
      <c r="T5" s="782">
        <v>2.2000000000000002</v>
      </c>
      <c r="U5" s="780">
        <v>0.27689999999999998</v>
      </c>
      <c r="V5" s="780">
        <v>0.22689999999999999</v>
      </c>
      <c r="W5" s="781">
        <v>0.32690000000000002</v>
      </c>
      <c r="Y5" s="899" t="s">
        <v>795</v>
      </c>
      <c r="Z5" s="900"/>
      <c r="AA5" s="901"/>
      <c r="AB5" s="902" t="s">
        <v>796</v>
      </c>
      <c r="AC5" s="903"/>
      <c r="AD5" s="902" t="s">
        <v>797</v>
      </c>
      <c r="AE5" s="904"/>
      <c r="AF5" s="903" t="s">
        <v>798</v>
      </c>
      <c r="AG5" s="904"/>
      <c r="AJ5" s="773">
        <v>28</v>
      </c>
      <c r="AK5" s="775">
        <v>0.47499999999999998</v>
      </c>
      <c r="AL5" s="775"/>
      <c r="AM5" s="776">
        <v>0.39500000000000002</v>
      </c>
      <c r="AN5" s="783">
        <v>3.81</v>
      </c>
    </row>
    <row r="6" spans="1:40" ht="15">
      <c r="A6" s="778">
        <v>32</v>
      </c>
      <c r="B6" s="784">
        <v>1.04E-2</v>
      </c>
      <c r="C6" s="785">
        <v>1.6400000000000001E-2</v>
      </c>
      <c r="D6" s="785">
        <v>1.34E-2</v>
      </c>
      <c r="E6" s="785">
        <v>0.4204</v>
      </c>
      <c r="F6" s="785">
        <v>0.56299999999999994</v>
      </c>
      <c r="G6" s="785">
        <v>0.66500000000000004</v>
      </c>
      <c r="H6" s="785"/>
      <c r="I6" s="785">
        <v>0.26419999999999999</v>
      </c>
      <c r="J6" s="785">
        <v>0.41660000000000003</v>
      </c>
      <c r="K6" s="781">
        <v>0.34039999999999998</v>
      </c>
      <c r="M6" s="778">
        <v>30</v>
      </c>
      <c r="N6" s="784">
        <v>1.0500000000000001E-2</v>
      </c>
      <c r="O6" s="785">
        <v>1.4500000000000001E-2</v>
      </c>
      <c r="P6" s="785">
        <v>1.2500000000000001E-2</v>
      </c>
      <c r="Q6" s="785">
        <v>0.52500000000000002</v>
      </c>
      <c r="R6" s="785">
        <v>0.51500000000000001</v>
      </c>
      <c r="S6" s="785">
        <v>2.5619999999999998</v>
      </c>
      <c r="T6" s="785">
        <v>2.512</v>
      </c>
      <c r="U6" s="785">
        <v>0.3175</v>
      </c>
      <c r="V6" s="785">
        <v>0.26750000000000002</v>
      </c>
      <c r="W6" s="781">
        <v>0.36749999999999999</v>
      </c>
      <c r="Y6" s="905" t="s">
        <v>799</v>
      </c>
      <c r="Z6" s="906"/>
      <c r="AA6" s="907"/>
      <c r="AB6" s="786" t="s">
        <v>800</v>
      </c>
      <c r="AC6" s="787" t="s">
        <v>801</v>
      </c>
      <c r="AD6" s="786" t="s">
        <v>800</v>
      </c>
      <c r="AE6" s="788" t="s">
        <v>801</v>
      </c>
      <c r="AF6" s="787" t="s">
        <v>800</v>
      </c>
      <c r="AG6" s="788" t="s">
        <v>801</v>
      </c>
      <c r="AJ6" s="773">
        <v>26</v>
      </c>
      <c r="AK6" s="775">
        <v>0.55100000000000005</v>
      </c>
      <c r="AL6" s="775"/>
      <c r="AM6" s="776">
        <v>0.47099999999999997</v>
      </c>
      <c r="AN6" s="783">
        <v>4.42</v>
      </c>
    </row>
    <row r="7" spans="1:40" ht="15">
      <c r="A7" s="778">
        <v>31</v>
      </c>
      <c r="B7" s="784">
        <v>1.12E-2</v>
      </c>
      <c r="C7" s="785">
        <v>1.72E-2</v>
      </c>
      <c r="D7" s="785">
        <v>1.4200000000000001E-2</v>
      </c>
      <c r="E7" s="785">
        <v>0.4531</v>
      </c>
      <c r="F7" s="785">
        <v>0.59399999999999997</v>
      </c>
      <c r="G7" s="785">
        <v>0.69799999999999995</v>
      </c>
      <c r="H7" s="785"/>
      <c r="I7" s="785">
        <v>0.28449999999999998</v>
      </c>
      <c r="J7" s="785">
        <v>0.43690000000000001</v>
      </c>
      <c r="K7" s="781">
        <v>0.36070000000000002</v>
      </c>
      <c r="M7" s="778">
        <v>29</v>
      </c>
      <c r="N7" s="784">
        <v>1.21E-2</v>
      </c>
      <c r="O7" s="785">
        <v>1.61E-2</v>
      </c>
      <c r="P7" s="785">
        <v>1.41E-2</v>
      </c>
      <c r="Q7" s="785">
        <v>0.59099999999999997</v>
      </c>
      <c r="R7" s="785">
        <v>0.57899999999999996</v>
      </c>
      <c r="S7" s="785">
        <v>2.883</v>
      </c>
      <c r="T7" s="785">
        <v>2.8250000000000002</v>
      </c>
      <c r="U7" s="785">
        <v>0.35809999999999997</v>
      </c>
      <c r="V7" s="785">
        <v>0.30809999999999998</v>
      </c>
      <c r="W7" s="781">
        <v>0.40810000000000002</v>
      </c>
      <c r="Y7" s="789"/>
      <c r="Z7" s="790"/>
      <c r="AA7" s="791"/>
      <c r="AB7" s="792" t="s">
        <v>802</v>
      </c>
      <c r="AC7" s="793" t="s">
        <v>802</v>
      </c>
      <c r="AD7" s="792" t="s">
        <v>802</v>
      </c>
      <c r="AE7" s="794" t="s">
        <v>802</v>
      </c>
      <c r="AF7" s="793" t="s">
        <v>802</v>
      </c>
      <c r="AG7" s="794" t="s">
        <v>802</v>
      </c>
      <c r="AJ7" s="773">
        <v>24</v>
      </c>
      <c r="AK7" s="795">
        <v>0.70099999999999996</v>
      </c>
      <c r="AL7" s="795"/>
      <c r="AM7" s="776">
        <v>0.60099999999999998</v>
      </c>
      <c r="AN7" s="796">
        <v>5.64</v>
      </c>
    </row>
    <row r="8" spans="1:40" ht="15">
      <c r="A8" s="778">
        <v>30</v>
      </c>
      <c r="B8" s="784">
        <v>1.2699999999999999E-2</v>
      </c>
      <c r="C8" s="785">
        <v>1.8700000000000001E-2</v>
      </c>
      <c r="D8" s="785">
        <v>1.5699999999999999E-2</v>
      </c>
      <c r="E8" s="785">
        <v>0.51429999999999998</v>
      </c>
      <c r="F8" s="785">
        <v>0.65600000000000003</v>
      </c>
      <c r="G8" s="785">
        <v>0.75900000000000001</v>
      </c>
      <c r="H8" s="785">
        <v>3.2</v>
      </c>
      <c r="I8" s="785">
        <v>0.31879999999999997</v>
      </c>
      <c r="J8" s="785">
        <v>0.4783</v>
      </c>
      <c r="K8" s="781">
        <v>0.39879999999999999</v>
      </c>
      <c r="M8" s="778">
        <v>28</v>
      </c>
      <c r="N8" s="784">
        <v>1.3599999999999999E-2</v>
      </c>
      <c r="O8" s="785">
        <v>1.7600000000000001E-2</v>
      </c>
      <c r="P8" s="785">
        <v>1.5599999999999999E-2</v>
      </c>
      <c r="Q8" s="785">
        <v>0.65600000000000003</v>
      </c>
      <c r="R8" s="785">
        <v>0.64400000000000002</v>
      </c>
      <c r="S8" s="797">
        <v>3.2</v>
      </c>
      <c r="T8" s="785">
        <v>3.1419999999999999</v>
      </c>
      <c r="U8" s="785">
        <v>0.3962</v>
      </c>
      <c r="V8" s="785">
        <v>0.34620000000000001</v>
      </c>
      <c r="W8" s="781">
        <v>0.44619999999999999</v>
      </c>
      <c r="Y8" s="798" t="s">
        <v>601</v>
      </c>
      <c r="Z8" s="799" t="s">
        <v>803</v>
      </c>
      <c r="AA8" s="800"/>
      <c r="AB8" s="798">
        <v>28</v>
      </c>
      <c r="AC8" s="801">
        <v>28</v>
      </c>
      <c r="AD8" s="798">
        <v>28</v>
      </c>
      <c r="AE8" s="801">
        <v>28</v>
      </c>
      <c r="AF8" s="798">
        <v>28</v>
      </c>
      <c r="AG8" s="801">
        <v>28</v>
      </c>
      <c r="AJ8" s="773">
        <v>22</v>
      </c>
      <c r="AK8" s="775">
        <v>0.85299999999999998</v>
      </c>
      <c r="AL8" s="775"/>
      <c r="AM8" s="776">
        <v>0.753</v>
      </c>
      <c r="AN8" s="783">
        <v>6.86</v>
      </c>
    </row>
    <row r="9" spans="1:40" ht="15">
      <c r="A9" s="778">
        <v>29</v>
      </c>
      <c r="B9" s="784">
        <v>1.4200000000000001E-2</v>
      </c>
      <c r="C9" s="797">
        <v>0.02</v>
      </c>
      <c r="D9" s="785">
        <v>1.72E-2</v>
      </c>
      <c r="E9" s="785">
        <v>0.57550000000000001</v>
      </c>
      <c r="F9" s="785">
        <v>0.71899999999999997</v>
      </c>
      <c r="G9" s="797">
        <v>0.82</v>
      </c>
      <c r="H9" s="785"/>
      <c r="I9" s="785">
        <v>0.3569</v>
      </c>
      <c r="J9" s="785">
        <v>0.51690000000000003</v>
      </c>
      <c r="K9" s="781">
        <v>0.43690000000000001</v>
      </c>
      <c r="M9" s="778">
        <v>27</v>
      </c>
      <c r="N9" s="784">
        <v>1.4200000000000001E-2</v>
      </c>
      <c r="O9" s="784">
        <v>2.0199999999999999E-2</v>
      </c>
      <c r="P9" s="785">
        <v>1.72E-2</v>
      </c>
      <c r="Q9" s="785">
        <v>0.72199999999999998</v>
      </c>
      <c r="R9" s="785">
        <v>0.70799999999999996</v>
      </c>
      <c r="S9" s="785">
        <v>3.5219999999999998</v>
      </c>
      <c r="T9" s="785">
        <v>3.4540000000000002</v>
      </c>
      <c r="U9" s="785">
        <v>0.43690000000000001</v>
      </c>
      <c r="V9" s="785">
        <v>0.3569</v>
      </c>
      <c r="W9" s="781">
        <v>0.51690000000000003</v>
      </c>
      <c r="Y9" s="778" t="s">
        <v>602</v>
      </c>
      <c r="Z9" s="802" t="s">
        <v>804</v>
      </c>
      <c r="AA9" s="803"/>
      <c r="AB9" s="778">
        <v>28</v>
      </c>
      <c r="AC9" s="781">
        <v>28</v>
      </c>
      <c r="AD9" s="778">
        <v>28</v>
      </c>
      <c r="AE9" s="781">
        <v>28</v>
      </c>
      <c r="AF9" s="778">
        <v>28</v>
      </c>
      <c r="AG9" s="781">
        <v>26</v>
      </c>
      <c r="AJ9" s="773">
        <v>20</v>
      </c>
      <c r="AK9" s="775">
        <v>1.006</v>
      </c>
      <c r="AL9" s="775"/>
      <c r="AM9" s="776">
        <v>0.90600000000000003</v>
      </c>
      <c r="AN9" s="783">
        <v>8.08</v>
      </c>
    </row>
    <row r="10" spans="1:40" ht="15">
      <c r="A10" s="778">
        <v>28</v>
      </c>
      <c r="B10" s="784">
        <v>1.5699999999999999E-2</v>
      </c>
      <c r="C10" s="785">
        <v>2.1700000000000001E-2</v>
      </c>
      <c r="D10" s="785">
        <v>1.8700000000000001E-2</v>
      </c>
      <c r="E10" s="785">
        <v>0.63670000000000004</v>
      </c>
      <c r="F10" s="785">
        <v>0.78100000000000003</v>
      </c>
      <c r="G10" s="785">
        <v>0.88100000000000001</v>
      </c>
      <c r="H10" s="785">
        <v>3.81</v>
      </c>
      <c r="I10" s="785">
        <v>0.39500000000000002</v>
      </c>
      <c r="J10" s="785">
        <v>0.55500000000000005</v>
      </c>
      <c r="K10" s="781">
        <v>0.47499999999999998</v>
      </c>
      <c r="M10" s="778">
        <v>26</v>
      </c>
      <c r="N10" s="784">
        <v>1.5800000000000002E-2</v>
      </c>
      <c r="O10" s="785">
        <v>2.18E-2</v>
      </c>
      <c r="P10" s="785">
        <v>1.8800000000000001E-2</v>
      </c>
      <c r="Q10" s="785">
        <v>0.78800000000000003</v>
      </c>
      <c r="R10" s="785">
        <v>0.77300000000000002</v>
      </c>
      <c r="S10" s="785">
        <v>3.8439999999999999</v>
      </c>
      <c r="T10" s="785">
        <v>3.7709999999999999</v>
      </c>
      <c r="U10" s="785">
        <v>0.47749999999999998</v>
      </c>
      <c r="V10" s="785">
        <v>0.39750000000000002</v>
      </c>
      <c r="W10" s="781">
        <v>0.5575</v>
      </c>
      <c r="Y10" s="778" t="s">
        <v>593</v>
      </c>
      <c r="Z10" s="802" t="s">
        <v>805</v>
      </c>
      <c r="AA10" s="803"/>
      <c r="AB10" s="778">
        <v>28</v>
      </c>
      <c r="AC10" s="781">
        <v>26</v>
      </c>
      <c r="AD10" s="778">
        <v>28</v>
      </c>
      <c r="AE10" s="781">
        <v>26</v>
      </c>
      <c r="AF10" s="778">
        <v>28</v>
      </c>
      <c r="AG10" s="781">
        <v>26</v>
      </c>
      <c r="AJ10" s="773">
        <v>18</v>
      </c>
      <c r="AK10" s="795">
        <v>1.3109999999999999</v>
      </c>
      <c r="AL10" s="795"/>
      <c r="AM10" s="776">
        <v>1.181</v>
      </c>
      <c r="AN10" s="796">
        <v>10.52</v>
      </c>
    </row>
    <row r="11" spans="1:40" ht="15">
      <c r="A11" s="778">
        <v>27</v>
      </c>
      <c r="B11" s="784">
        <v>1.72E-2</v>
      </c>
      <c r="C11" s="785">
        <v>2.3199999999999998E-2</v>
      </c>
      <c r="D11" s="785">
        <v>2.0199999999999999E-2</v>
      </c>
      <c r="E11" s="785">
        <v>0.69789999999999996</v>
      </c>
      <c r="F11" s="785">
        <v>0.84399999999999997</v>
      </c>
      <c r="G11" s="785">
        <v>0.94299999999999995</v>
      </c>
      <c r="H11" s="785"/>
      <c r="I11" s="785">
        <v>0.43309999999999998</v>
      </c>
      <c r="J11" s="785">
        <v>0.59309999999999996</v>
      </c>
      <c r="K11" s="781">
        <v>0.5131</v>
      </c>
      <c r="M11" s="778">
        <v>25</v>
      </c>
      <c r="N11" s="784">
        <v>1.89E-2</v>
      </c>
      <c r="O11" s="785">
        <v>2.4899999999999999E-2</v>
      </c>
      <c r="P11" s="785">
        <v>2.1899999999999999E-2</v>
      </c>
      <c r="Q11" s="785">
        <v>0.91900000000000004</v>
      </c>
      <c r="R11" s="785">
        <v>0.90100000000000002</v>
      </c>
      <c r="S11" s="785">
        <v>4.4829999999999997</v>
      </c>
      <c r="T11" s="785">
        <v>4.3949999999999996</v>
      </c>
      <c r="U11" s="785">
        <v>0.55620000000000003</v>
      </c>
      <c r="V11" s="785">
        <v>0.47620000000000001</v>
      </c>
      <c r="W11" s="781">
        <v>0.63619999999999999</v>
      </c>
      <c r="Y11" s="778" t="s">
        <v>603</v>
      </c>
      <c r="Z11" s="802" t="s">
        <v>806</v>
      </c>
      <c r="AA11" s="803"/>
      <c r="AB11" s="778">
        <v>28</v>
      </c>
      <c r="AC11" s="781">
        <v>26</v>
      </c>
      <c r="AD11" s="778">
        <v>28</v>
      </c>
      <c r="AE11" s="781">
        <v>26</v>
      </c>
      <c r="AF11" s="778">
        <v>26</v>
      </c>
      <c r="AG11" s="781">
        <v>24</v>
      </c>
      <c r="AJ11" s="773">
        <v>16</v>
      </c>
      <c r="AK11" s="775">
        <v>1.613</v>
      </c>
      <c r="AL11" s="775"/>
      <c r="AM11" s="776">
        <v>1.4630000000000001</v>
      </c>
      <c r="AN11" s="783">
        <v>12.96</v>
      </c>
    </row>
    <row r="12" spans="1:40" ht="15">
      <c r="A12" s="778">
        <v>26</v>
      </c>
      <c r="B12" s="784">
        <v>1.8700000000000001E-2</v>
      </c>
      <c r="C12" s="785">
        <v>2.47E-2</v>
      </c>
      <c r="D12" s="785">
        <v>2.1700000000000001E-2</v>
      </c>
      <c r="E12" s="785">
        <v>0.7591</v>
      </c>
      <c r="F12" s="785">
        <v>0.90600000000000003</v>
      </c>
      <c r="G12" s="785">
        <v>1.004</v>
      </c>
      <c r="H12" s="785">
        <v>4.42</v>
      </c>
      <c r="I12" s="785">
        <v>0.47120000000000001</v>
      </c>
      <c r="J12" s="785">
        <v>0.63119999999999998</v>
      </c>
      <c r="K12" s="781">
        <v>0.55120000000000002</v>
      </c>
      <c r="M12" s="778">
        <v>24</v>
      </c>
      <c r="N12" s="784">
        <v>2.1999999999999999E-2</v>
      </c>
      <c r="O12" s="784">
        <v>2.8000000000000001E-2</v>
      </c>
      <c r="P12" s="784">
        <v>2.5000000000000001E-2</v>
      </c>
      <c r="Q12" s="797">
        <v>1.05</v>
      </c>
      <c r="R12" s="797">
        <v>1.03</v>
      </c>
      <c r="S12" s="785">
        <v>5.1219999999999999</v>
      </c>
      <c r="T12" s="785">
        <v>5.0250000000000004</v>
      </c>
      <c r="U12" s="785">
        <v>0.63500000000000001</v>
      </c>
      <c r="V12" s="784">
        <v>0.55500000000000005</v>
      </c>
      <c r="W12" s="804">
        <v>0.71499999999999997</v>
      </c>
      <c r="Y12" s="778" t="s">
        <v>604</v>
      </c>
      <c r="Z12" s="802" t="s">
        <v>807</v>
      </c>
      <c r="AA12" s="803"/>
      <c r="AB12" s="778">
        <v>28</v>
      </c>
      <c r="AC12" s="781">
        <v>26</v>
      </c>
      <c r="AD12" s="778">
        <v>26</v>
      </c>
      <c r="AE12" s="781">
        <v>24</v>
      </c>
      <c r="AF12" s="778">
        <v>26</v>
      </c>
      <c r="AG12" s="781">
        <v>24</v>
      </c>
      <c r="AJ12" s="773">
        <v>14</v>
      </c>
      <c r="AK12" s="775">
        <v>1.994</v>
      </c>
      <c r="AL12" s="775"/>
      <c r="AM12" s="776">
        <v>1.784</v>
      </c>
      <c r="AN12" s="783">
        <v>16.010000000000002</v>
      </c>
    </row>
    <row r="13" spans="1:40" ht="15">
      <c r="A13" s="778">
        <v>25</v>
      </c>
      <c r="B13" s="784">
        <v>2.1700000000000001E-2</v>
      </c>
      <c r="C13" s="785">
        <v>2.87E-2</v>
      </c>
      <c r="D13" s="785">
        <v>2.47E-2</v>
      </c>
      <c r="E13" s="785">
        <v>0.8407</v>
      </c>
      <c r="F13" s="785"/>
      <c r="G13" s="785">
        <v>1.167</v>
      </c>
      <c r="H13" s="785"/>
      <c r="I13" s="785">
        <v>0.52739999999999998</v>
      </c>
      <c r="J13" s="785">
        <v>0.72740000000000005</v>
      </c>
      <c r="K13" s="781">
        <v>0.62739999999999996</v>
      </c>
      <c r="M13" s="778">
        <v>23</v>
      </c>
      <c r="N13" s="784">
        <v>2.41E-2</v>
      </c>
      <c r="O13" s="785">
        <v>3.2099999999999997E-2</v>
      </c>
      <c r="P13" s="785">
        <v>2.81E-2</v>
      </c>
      <c r="Q13" s="785">
        <v>1.181</v>
      </c>
      <c r="R13" s="785">
        <v>1.159</v>
      </c>
      <c r="S13" s="785">
        <v>5.7610000000000001</v>
      </c>
      <c r="T13" s="785">
        <v>5.6539999999999999</v>
      </c>
      <c r="U13" s="785">
        <v>0.7137</v>
      </c>
      <c r="V13" s="785">
        <v>0.61370000000000002</v>
      </c>
      <c r="W13" s="781">
        <v>0.81369999999999998</v>
      </c>
      <c r="Y13" s="778" t="s">
        <v>605</v>
      </c>
      <c r="Z13" s="802" t="s">
        <v>808</v>
      </c>
      <c r="AA13" s="803"/>
      <c r="AB13" s="778">
        <v>26</v>
      </c>
      <c r="AC13" s="781">
        <v>24</v>
      </c>
      <c r="AD13" s="778">
        <v>26</v>
      </c>
      <c r="AE13" s="781">
        <v>24</v>
      </c>
      <c r="AF13" s="778">
        <v>24</v>
      </c>
      <c r="AG13" s="781">
        <v>22</v>
      </c>
      <c r="AJ13" s="773">
        <v>13</v>
      </c>
      <c r="AK13" s="775">
        <v>2.3719999999999999</v>
      </c>
      <c r="AL13" s="775"/>
      <c r="AM13" s="776">
        <v>2.1619999999999999</v>
      </c>
      <c r="AN13" s="783">
        <v>19.07</v>
      </c>
    </row>
    <row r="14" spans="1:40" ht="15">
      <c r="A14" s="805">
        <v>24</v>
      </c>
      <c r="B14" s="806">
        <v>2.3599999999999999E-2</v>
      </c>
      <c r="C14" s="807">
        <v>3.1600000000000003E-2</v>
      </c>
      <c r="D14" s="807">
        <v>2.76E-2</v>
      </c>
      <c r="E14" s="806">
        <v>0.95899999999999996</v>
      </c>
      <c r="F14" s="807">
        <v>1.1559999999999999</v>
      </c>
      <c r="G14" s="807">
        <v>1.2849999999999999</v>
      </c>
      <c r="H14" s="807">
        <v>5.64</v>
      </c>
      <c r="I14" s="806">
        <v>0.60099999999999998</v>
      </c>
      <c r="J14" s="806">
        <v>0.80100000000000005</v>
      </c>
      <c r="K14" s="808">
        <v>0.70099999999999996</v>
      </c>
      <c r="M14" s="778">
        <v>22</v>
      </c>
      <c r="N14" s="784">
        <v>2.7300000000000001E-2</v>
      </c>
      <c r="O14" s="785">
        <v>3.5299999999999998E-2</v>
      </c>
      <c r="P14" s="785">
        <v>3.1300000000000001E-2</v>
      </c>
      <c r="Q14" s="797">
        <v>1.3129999999999999</v>
      </c>
      <c r="R14" s="785">
        <v>1.288</v>
      </c>
      <c r="S14" s="785">
        <v>6.4050000000000002</v>
      </c>
      <c r="T14" s="785">
        <v>6.2830000000000004</v>
      </c>
      <c r="U14" s="784">
        <v>0.79500000000000004</v>
      </c>
      <c r="V14" s="784">
        <v>0.69499999999999995</v>
      </c>
      <c r="W14" s="804">
        <v>0.89500000000000002</v>
      </c>
      <c r="Y14" s="778" t="s">
        <v>606</v>
      </c>
      <c r="Z14" s="802" t="s">
        <v>809</v>
      </c>
      <c r="AA14" s="803"/>
      <c r="AB14" s="778">
        <v>26</v>
      </c>
      <c r="AC14" s="781">
        <v>24</v>
      </c>
      <c r="AD14" s="778">
        <v>24</v>
      </c>
      <c r="AE14" s="781">
        <v>24</v>
      </c>
      <c r="AF14" s="778">
        <v>24</v>
      </c>
      <c r="AG14" s="781">
        <v>22</v>
      </c>
      <c r="AJ14" s="773">
        <v>12</v>
      </c>
      <c r="AK14" s="775">
        <v>2.7530000000000001</v>
      </c>
      <c r="AL14" s="775"/>
      <c r="AM14" s="776">
        <v>2.5230000000000001</v>
      </c>
      <c r="AN14" s="783">
        <v>22.12</v>
      </c>
    </row>
    <row r="15" spans="1:40" ht="15">
      <c r="A15" s="778">
        <v>23</v>
      </c>
      <c r="B15" s="784">
        <v>2.6599999999999999E-2</v>
      </c>
      <c r="C15" s="785">
        <v>3.4599999999999999E-2</v>
      </c>
      <c r="D15" s="785">
        <v>3.0599999999999999E-2</v>
      </c>
      <c r="E15" s="785">
        <v>1.0813999999999999</v>
      </c>
      <c r="F15" s="785"/>
      <c r="G15" s="785">
        <v>1.4079999999999999</v>
      </c>
      <c r="H15" s="785"/>
      <c r="I15" s="785">
        <v>0.67720000000000002</v>
      </c>
      <c r="J15" s="785">
        <v>0.877</v>
      </c>
      <c r="K15" s="781">
        <v>0.7772</v>
      </c>
      <c r="M15" s="778">
        <v>21</v>
      </c>
      <c r="N15" s="784">
        <v>3.04E-2</v>
      </c>
      <c r="O15" s="785">
        <v>3.8399999999999997E-2</v>
      </c>
      <c r="P15" s="785">
        <v>3.44E-2</v>
      </c>
      <c r="Q15" s="785">
        <v>1.444</v>
      </c>
      <c r="R15" s="785">
        <v>1.4159999999999999</v>
      </c>
      <c r="S15" s="785">
        <v>7.0439999999999996</v>
      </c>
      <c r="T15" s="785">
        <v>6.9080000000000004</v>
      </c>
      <c r="U15" s="785">
        <v>0.87380000000000002</v>
      </c>
      <c r="V15" s="785">
        <v>0.77380000000000004</v>
      </c>
      <c r="W15" s="781">
        <v>0.9738</v>
      </c>
      <c r="Y15" s="778" t="s">
        <v>810</v>
      </c>
      <c r="Z15" s="802" t="s">
        <v>811</v>
      </c>
      <c r="AA15" s="803"/>
      <c r="AB15" s="778">
        <v>26</v>
      </c>
      <c r="AC15" s="781">
        <v>24</v>
      </c>
      <c r="AD15" s="778">
        <v>24</v>
      </c>
      <c r="AE15" s="781">
        <v>22</v>
      </c>
      <c r="AF15" s="778">
        <v>24</v>
      </c>
      <c r="AG15" s="781">
        <v>22</v>
      </c>
      <c r="AJ15" s="773">
        <v>11</v>
      </c>
      <c r="AK15" s="775">
        <v>3.1320000000000001</v>
      </c>
      <c r="AL15" s="775"/>
      <c r="AM15" s="776">
        <v>2.9020000000000001</v>
      </c>
      <c r="AN15" s="783">
        <v>25.16</v>
      </c>
    </row>
    <row r="16" spans="1:40" ht="15">
      <c r="A16" s="778">
        <v>22</v>
      </c>
      <c r="B16" s="784">
        <v>2.9600000000000001E-2</v>
      </c>
      <c r="C16" s="785">
        <v>3.7600000000000001E-2</v>
      </c>
      <c r="D16" s="785">
        <v>3.3599999999999998E-2</v>
      </c>
      <c r="E16" s="785">
        <v>1.2038</v>
      </c>
      <c r="F16" s="785">
        <v>1.4059999999999999</v>
      </c>
      <c r="G16" s="797">
        <v>1.53</v>
      </c>
      <c r="H16" s="785">
        <v>6.86</v>
      </c>
      <c r="I16" s="785">
        <v>0.75339999999999996</v>
      </c>
      <c r="J16" s="785">
        <v>0.95340000000000003</v>
      </c>
      <c r="K16" s="781">
        <v>0.85340000000000005</v>
      </c>
      <c r="M16" s="778">
        <v>20</v>
      </c>
      <c r="N16" s="784">
        <v>3.3500000000000002E-2</v>
      </c>
      <c r="O16" s="785">
        <v>4.1500000000000002E-2</v>
      </c>
      <c r="P16" s="785">
        <v>3.7499999999999999E-2</v>
      </c>
      <c r="Q16" s="785">
        <v>1.575</v>
      </c>
      <c r="R16" s="785">
        <v>1.5449999999999999</v>
      </c>
      <c r="S16" s="785">
        <v>7.6829999999999998</v>
      </c>
      <c r="T16" s="785">
        <v>7.5369999999999999</v>
      </c>
      <c r="U16" s="785">
        <v>0.95250000000000001</v>
      </c>
      <c r="V16" s="785">
        <v>0.85250000000000004</v>
      </c>
      <c r="W16" s="781">
        <v>1.0525</v>
      </c>
      <c r="Y16" s="778" t="s">
        <v>812</v>
      </c>
      <c r="Z16" s="802" t="s">
        <v>813</v>
      </c>
      <c r="AA16" s="803"/>
      <c r="AB16" s="778">
        <v>24</v>
      </c>
      <c r="AC16" s="781">
        <v>22</v>
      </c>
      <c r="AD16" s="778">
        <v>22</v>
      </c>
      <c r="AE16" s="781">
        <v>20</v>
      </c>
      <c r="AF16" s="778">
        <v>22</v>
      </c>
      <c r="AG16" s="781">
        <v>20</v>
      </c>
      <c r="AJ16" s="773">
        <v>10</v>
      </c>
      <c r="AK16" s="809">
        <v>3.51</v>
      </c>
      <c r="AL16" s="775"/>
      <c r="AM16" s="810">
        <v>3.28</v>
      </c>
      <c r="AN16" s="783">
        <v>28.21</v>
      </c>
    </row>
    <row r="17" spans="1:40" ht="15">
      <c r="A17" s="778">
        <v>21</v>
      </c>
      <c r="B17" s="784">
        <v>3.2599999999999997E-2</v>
      </c>
      <c r="C17" s="785">
        <v>4.0599999999999997E-2</v>
      </c>
      <c r="D17" s="785">
        <v>3.6600000000000001E-2</v>
      </c>
      <c r="E17" s="785">
        <v>1.3263</v>
      </c>
      <c r="F17" s="785"/>
      <c r="G17" s="785">
        <v>1.653</v>
      </c>
      <c r="H17" s="785"/>
      <c r="I17" s="785">
        <v>0.8296</v>
      </c>
      <c r="J17" s="785">
        <v>1.0296000000000001</v>
      </c>
      <c r="K17" s="781">
        <v>0.92959999999999998</v>
      </c>
      <c r="M17" s="778">
        <v>19</v>
      </c>
      <c r="N17" s="784">
        <v>3.8800000000000001E-2</v>
      </c>
      <c r="O17" s="785">
        <v>4.8800000000000003E-2</v>
      </c>
      <c r="P17" s="785">
        <v>4.3799999999999999E-2</v>
      </c>
      <c r="Q17" s="785">
        <v>1.8380000000000001</v>
      </c>
      <c r="R17" s="785">
        <v>1.8029999999999999</v>
      </c>
      <c r="S17" s="785">
        <v>8.9659999999999993</v>
      </c>
      <c r="T17" s="785">
        <v>8.7959999999999994</v>
      </c>
      <c r="U17" s="785">
        <v>1.1125</v>
      </c>
      <c r="V17" s="785">
        <v>0.98350000000000004</v>
      </c>
      <c r="W17" s="781">
        <v>1.2424999999999999</v>
      </c>
      <c r="Y17" s="778" t="s">
        <v>814</v>
      </c>
      <c r="Z17" s="802" t="s">
        <v>815</v>
      </c>
      <c r="AA17" s="803"/>
      <c r="AB17" s="778">
        <v>22</v>
      </c>
      <c r="AC17" s="781">
        <v>20</v>
      </c>
      <c r="AD17" s="778">
        <v>20</v>
      </c>
      <c r="AE17" s="781">
        <v>20</v>
      </c>
      <c r="AF17" s="778">
        <v>20</v>
      </c>
      <c r="AG17" s="781">
        <v>20</v>
      </c>
      <c r="AJ17" s="811" t="s">
        <v>144</v>
      </c>
      <c r="AK17" s="812"/>
      <c r="AL17" s="813"/>
      <c r="AM17" s="813"/>
      <c r="AN17" s="813"/>
    </row>
    <row r="18" spans="1:40" ht="15">
      <c r="A18" s="778">
        <v>20</v>
      </c>
      <c r="B18" s="784">
        <v>3.56E-2</v>
      </c>
      <c r="C18" s="785">
        <v>4.36E-2</v>
      </c>
      <c r="D18" s="785">
        <v>3.9600000000000003E-2</v>
      </c>
      <c r="E18" s="785">
        <v>1.4486000000000001</v>
      </c>
      <c r="F18" s="785">
        <v>1.6559999999999999</v>
      </c>
      <c r="G18" s="785">
        <v>1.7749999999999999</v>
      </c>
      <c r="H18" s="785">
        <v>8.08</v>
      </c>
      <c r="I18" s="785">
        <v>0.90600000000000003</v>
      </c>
      <c r="J18" s="785">
        <v>1.1060000000000001</v>
      </c>
      <c r="K18" s="781">
        <v>1.006</v>
      </c>
      <c r="M18" s="778">
        <v>18</v>
      </c>
      <c r="N18" s="784">
        <v>4.4999999999999998E-2</v>
      </c>
      <c r="O18" s="784">
        <v>5.5E-2</v>
      </c>
      <c r="P18" s="784">
        <v>0.05</v>
      </c>
      <c r="Q18" s="797">
        <v>2.1</v>
      </c>
      <c r="R18" s="797">
        <v>2.06</v>
      </c>
      <c r="S18" s="785">
        <v>10.244999999999999</v>
      </c>
      <c r="T18" s="797">
        <v>10.050000000000001</v>
      </c>
      <c r="U18" s="784">
        <v>1.27</v>
      </c>
      <c r="V18" s="784">
        <v>1.1399999999999999</v>
      </c>
      <c r="W18" s="804">
        <v>1.4</v>
      </c>
      <c r="Y18" s="778" t="s">
        <v>816</v>
      </c>
      <c r="Z18" s="802" t="s">
        <v>817</v>
      </c>
      <c r="AA18" s="803"/>
      <c r="AB18" s="778">
        <v>20</v>
      </c>
      <c r="AC18" s="781">
        <v>18</v>
      </c>
      <c r="AD18" s="778">
        <v>18</v>
      </c>
      <c r="AE18" s="781">
        <v>18</v>
      </c>
      <c r="AF18" s="778">
        <v>18</v>
      </c>
      <c r="AG18" s="781">
        <v>18</v>
      </c>
      <c r="AJ18" s="915" t="s">
        <v>818</v>
      </c>
      <c r="AK18" s="916"/>
      <c r="AL18" s="916"/>
      <c r="AM18" s="916"/>
      <c r="AN18" s="916"/>
    </row>
    <row r="19" spans="1:40" ht="15">
      <c r="A19" s="778">
        <v>19</v>
      </c>
      <c r="B19" s="784">
        <v>4.0599999999999997E-2</v>
      </c>
      <c r="C19" s="785">
        <v>5.0599999999999999E-2</v>
      </c>
      <c r="D19" s="785">
        <v>4.5600000000000002E-2</v>
      </c>
      <c r="E19" s="785">
        <v>1.6526000000000001</v>
      </c>
      <c r="F19" s="785"/>
      <c r="G19" s="785">
        <v>2.0609999999999999</v>
      </c>
      <c r="H19" s="785"/>
      <c r="I19" s="785">
        <v>1.028</v>
      </c>
      <c r="J19" s="785">
        <v>1.288</v>
      </c>
      <c r="K19" s="781">
        <v>1.1579999999999999</v>
      </c>
      <c r="M19" s="778">
        <v>17</v>
      </c>
      <c r="N19" s="784">
        <v>5.1299999999999998E-2</v>
      </c>
      <c r="O19" s="785">
        <v>6.13E-2</v>
      </c>
      <c r="P19" s="785">
        <v>5.6300000000000003E-2</v>
      </c>
      <c r="Q19" s="785">
        <v>2.363</v>
      </c>
      <c r="R19" s="785">
        <v>2.3180000000000001</v>
      </c>
      <c r="S19" s="785">
        <v>11.528</v>
      </c>
      <c r="T19" s="785">
        <v>11.308</v>
      </c>
      <c r="U19" s="784">
        <v>1.43</v>
      </c>
      <c r="V19" s="797">
        <v>1.3</v>
      </c>
      <c r="W19" s="804">
        <v>1.56</v>
      </c>
      <c r="Y19" s="814" t="s">
        <v>819</v>
      </c>
      <c r="Z19" s="815" t="s">
        <v>820</v>
      </c>
      <c r="AA19" s="791"/>
      <c r="AB19" s="814">
        <v>18</v>
      </c>
      <c r="AC19" s="816">
        <v>16</v>
      </c>
      <c r="AD19" s="814">
        <v>18</v>
      </c>
      <c r="AE19" s="816">
        <v>16</v>
      </c>
      <c r="AF19" s="814">
        <v>18</v>
      </c>
      <c r="AG19" s="816">
        <v>16</v>
      </c>
      <c r="AJ19" s="915" t="s">
        <v>821</v>
      </c>
      <c r="AK19" s="916"/>
      <c r="AL19" s="916"/>
      <c r="AM19" s="916"/>
      <c r="AN19" s="916"/>
    </row>
    <row r="20" spans="1:40">
      <c r="A20" s="778">
        <v>18</v>
      </c>
      <c r="B20" s="784">
        <v>4.6600000000000003E-2</v>
      </c>
      <c r="C20" s="785">
        <v>5.6599999999999998E-2</v>
      </c>
      <c r="D20" s="785">
        <v>5.16E-2</v>
      </c>
      <c r="E20" s="785">
        <v>1.8974</v>
      </c>
      <c r="F20" s="785">
        <v>2.1560000000000001</v>
      </c>
      <c r="G20" s="785">
        <v>2.3050000000000002</v>
      </c>
      <c r="H20" s="785">
        <v>10.52</v>
      </c>
      <c r="I20" s="785">
        <v>1.181</v>
      </c>
      <c r="J20" s="785">
        <v>1.4410000000000001</v>
      </c>
      <c r="K20" s="781">
        <v>1.3109999999999999</v>
      </c>
      <c r="M20" s="778">
        <v>16</v>
      </c>
      <c r="N20" s="784">
        <v>5.6500000000000002E-2</v>
      </c>
      <c r="O20" s="785">
        <v>6.8500000000000005E-2</v>
      </c>
      <c r="P20" s="785">
        <v>6.25E-2</v>
      </c>
      <c r="Q20" s="785">
        <v>2.625</v>
      </c>
      <c r="R20" s="785">
        <v>2.5750000000000002</v>
      </c>
      <c r="S20" s="785">
        <v>12.805999999999999</v>
      </c>
      <c r="T20" s="785">
        <v>12.561999999999999</v>
      </c>
      <c r="U20" s="785">
        <v>1.5874999999999999</v>
      </c>
      <c r="V20" s="785">
        <v>1.4375</v>
      </c>
      <c r="W20" s="781">
        <v>1.7375</v>
      </c>
      <c r="AJ20" s="817"/>
      <c r="AK20" s="817"/>
      <c r="AL20" s="817"/>
      <c r="AM20" s="817"/>
      <c r="AN20" s="817"/>
    </row>
    <row r="21" spans="1:40" ht="15">
      <c r="A21" s="778">
        <v>17</v>
      </c>
      <c r="B21" s="784">
        <v>5.2499999999999998E-2</v>
      </c>
      <c r="C21" s="785">
        <v>6.25E-2</v>
      </c>
      <c r="D21" s="785">
        <v>5.7500000000000002E-2</v>
      </c>
      <c r="E21" s="785">
        <v>2.1381000000000001</v>
      </c>
      <c r="F21" s="785"/>
      <c r="G21" s="785">
        <v>2.5459999999999998</v>
      </c>
      <c r="H21" s="785"/>
      <c r="I21" s="785">
        <v>1.331</v>
      </c>
      <c r="J21" s="785">
        <v>1.591</v>
      </c>
      <c r="K21" s="781">
        <v>1.4610000000000001</v>
      </c>
      <c r="M21" s="778">
        <v>15</v>
      </c>
      <c r="N21" s="784">
        <v>6.4299999999999996E-2</v>
      </c>
      <c r="O21" s="785">
        <v>7.6300000000000007E-2</v>
      </c>
      <c r="P21" s="785">
        <v>7.0300000000000001E-2</v>
      </c>
      <c r="Q21" s="785">
        <v>2.9529999999999998</v>
      </c>
      <c r="R21" s="785">
        <v>2.8969999999999998</v>
      </c>
      <c r="S21" s="785">
        <v>14.406000000000001</v>
      </c>
      <c r="T21" s="785">
        <v>14.132999999999999</v>
      </c>
      <c r="U21" s="785">
        <v>1.2856000000000001</v>
      </c>
      <c r="V21" s="785">
        <v>1.6355999999999999</v>
      </c>
      <c r="W21" s="781">
        <v>1.9356</v>
      </c>
      <c r="AJ21" s="762" t="s">
        <v>822</v>
      </c>
      <c r="AK21" s="762"/>
      <c r="AL21" s="762"/>
      <c r="AM21" s="762"/>
      <c r="AN21" s="762"/>
    </row>
    <row r="22" spans="1:40" ht="15">
      <c r="A22" s="778">
        <v>16</v>
      </c>
      <c r="B22" s="784">
        <v>5.7500000000000002E-2</v>
      </c>
      <c r="C22" s="785">
        <v>6.9500000000000006E-2</v>
      </c>
      <c r="D22" s="785">
        <v>6.3500000000000001E-2</v>
      </c>
      <c r="E22" s="785">
        <v>2.3420000000000001</v>
      </c>
      <c r="F22" s="785">
        <v>2.6560000000000001</v>
      </c>
      <c r="G22" s="785">
        <v>2.8319999999999999</v>
      </c>
      <c r="H22" s="785">
        <v>12.96</v>
      </c>
      <c r="I22" s="785">
        <v>1.4630000000000001</v>
      </c>
      <c r="J22" s="785">
        <v>1.7629999999999999</v>
      </c>
      <c r="K22" s="781">
        <v>1.613</v>
      </c>
      <c r="M22" s="778">
        <v>14</v>
      </c>
      <c r="N22" s="784">
        <v>7.1099999999999997E-2</v>
      </c>
      <c r="O22" s="785">
        <v>8.5099999999999995E-2</v>
      </c>
      <c r="P22" s="785">
        <v>7.8100000000000003E-2</v>
      </c>
      <c r="Q22" s="785">
        <v>3.2810000000000001</v>
      </c>
      <c r="R22" s="785">
        <v>3.2189999999999999</v>
      </c>
      <c r="S22" s="785">
        <v>16.006</v>
      </c>
      <c r="T22" s="785">
        <v>15.704000000000001</v>
      </c>
      <c r="U22" s="785">
        <v>1.9837</v>
      </c>
      <c r="V22" s="785">
        <v>1.8037000000000001</v>
      </c>
      <c r="W22" s="781">
        <v>2.1637</v>
      </c>
      <c r="AJ22" s="764"/>
      <c r="AK22" s="762" t="s">
        <v>782</v>
      </c>
      <c r="AL22" s="762"/>
      <c r="AM22" s="762"/>
      <c r="AN22" s="764" t="s">
        <v>790</v>
      </c>
    </row>
    <row r="23" spans="1:40" ht="15">
      <c r="A23" s="778">
        <v>15</v>
      </c>
      <c r="B23" s="784">
        <v>6.5000000000000002E-2</v>
      </c>
      <c r="C23" s="784">
        <v>7.6999999999999999E-2</v>
      </c>
      <c r="D23" s="784">
        <v>7.0999999999999994E-2</v>
      </c>
      <c r="E23" s="785">
        <v>2.6480999999999999</v>
      </c>
      <c r="F23" s="785"/>
      <c r="G23" s="785">
        <v>3.1379999999999999</v>
      </c>
      <c r="H23" s="785"/>
      <c r="I23" s="785">
        <v>1.653</v>
      </c>
      <c r="J23" s="785">
        <v>1.9530000000000001</v>
      </c>
      <c r="K23" s="781">
        <v>1.8029999999999999</v>
      </c>
      <c r="M23" s="778">
        <v>13</v>
      </c>
      <c r="N23" s="784">
        <v>8.5800000000000001E-2</v>
      </c>
      <c r="O23" s="784">
        <v>0.1018</v>
      </c>
      <c r="P23" s="784">
        <v>9.3799999999999994E-2</v>
      </c>
      <c r="Q23" s="785">
        <v>3.9380000000000002</v>
      </c>
      <c r="R23" s="785">
        <v>3.863</v>
      </c>
      <c r="S23" s="785">
        <v>19.210999999999999</v>
      </c>
      <c r="T23" s="785">
        <v>18.844999999999999</v>
      </c>
      <c r="U23" s="785">
        <v>2.3824999999999998</v>
      </c>
      <c r="V23" s="785">
        <v>2.1825000000000001</v>
      </c>
      <c r="W23" s="781">
        <v>2.5825</v>
      </c>
      <c r="AJ23" s="764"/>
      <c r="AK23" s="764"/>
      <c r="AL23" s="762" t="s">
        <v>791</v>
      </c>
      <c r="AM23" s="762"/>
      <c r="AN23" s="764" t="s">
        <v>823</v>
      </c>
    </row>
    <row r="24" spans="1:40" ht="16.5">
      <c r="A24" s="778">
        <v>14</v>
      </c>
      <c r="B24" s="784">
        <v>7.0499999999999993E-2</v>
      </c>
      <c r="C24" s="785">
        <v>8.6499999999999994E-2</v>
      </c>
      <c r="D24" s="785">
        <v>7.85E-2</v>
      </c>
      <c r="E24" s="785">
        <v>2.8725000000000001</v>
      </c>
      <c r="F24" s="785">
        <v>3.2810000000000001</v>
      </c>
      <c r="G24" s="785">
        <v>3.5249999999999999</v>
      </c>
      <c r="H24" s="785">
        <v>16.010000000000002</v>
      </c>
      <c r="I24" s="785">
        <v>1.784</v>
      </c>
      <c r="J24" s="785">
        <v>2.2040000000000002</v>
      </c>
      <c r="K24" s="781">
        <v>1.994</v>
      </c>
      <c r="M24" s="778">
        <v>12</v>
      </c>
      <c r="N24" s="784">
        <v>0.1</v>
      </c>
      <c r="O24" s="785">
        <v>0.11840000000000001</v>
      </c>
      <c r="P24" s="785">
        <v>0.1094</v>
      </c>
      <c r="Q24" s="785">
        <v>4.5940000000000003</v>
      </c>
      <c r="R24" s="785">
        <v>4.5060000000000002</v>
      </c>
      <c r="S24" s="785">
        <v>22.411000000000001</v>
      </c>
      <c r="T24" s="785">
        <v>21.981999999999999</v>
      </c>
      <c r="U24" s="785">
        <v>2.7787999999999999</v>
      </c>
      <c r="V24" s="785">
        <v>2.5488</v>
      </c>
      <c r="W24" s="781">
        <v>2.9788000000000001</v>
      </c>
      <c r="AA24" s="35" t="s">
        <v>824</v>
      </c>
      <c r="AB24" s="35"/>
      <c r="AC24" s="35" t="s">
        <v>825</v>
      </c>
      <c r="AD24" s="35"/>
      <c r="AJ24" s="770" t="s">
        <v>709</v>
      </c>
      <c r="AK24" s="770" t="s">
        <v>790</v>
      </c>
      <c r="AL24" s="770" t="s">
        <v>826</v>
      </c>
      <c r="AM24" s="770" t="s">
        <v>827</v>
      </c>
      <c r="AN24" s="771" t="s">
        <v>792</v>
      </c>
    </row>
    <row r="25" spans="1:40" ht="15">
      <c r="A25" s="778">
        <v>13</v>
      </c>
      <c r="B25" s="784">
        <v>8.5400000000000004E-2</v>
      </c>
      <c r="C25" s="785">
        <v>0.1014</v>
      </c>
      <c r="D25" s="785">
        <v>9.3399999999999997E-2</v>
      </c>
      <c r="E25" s="785">
        <v>3.4803999999999999</v>
      </c>
      <c r="F25" s="785"/>
      <c r="G25" s="785">
        <v>4.133</v>
      </c>
      <c r="H25" s="785"/>
      <c r="I25" s="785">
        <v>2.1619999999999999</v>
      </c>
      <c r="J25" s="785">
        <v>2.5823</v>
      </c>
      <c r="K25" s="781">
        <v>2.3719999999999999</v>
      </c>
      <c r="M25" s="778">
        <v>11</v>
      </c>
      <c r="N25" s="784">
        <v>0.115</v>
      </c>
      <c r="O25" s="784">
        <v>0.13500000000000001</v>
      </c>
      <c r="P25" s="784">
        <v>0.125</v>
      </c>
      <c r="Q25" s="797">
        <v>5.25</v>
      </c>
      <c r="R25" s="797">
        <v>5.15</v>
      </c>
      <c r="S25" s="785">
        <v>25.611999999999998</v>
      </c>
      <c r="T25" s="785">
        <v>25.123999999999999</v>
      </c>
      <c r="U25" s="784">
        <v>3.1749999999999998</v>
      </c>
      <c r="V25" s="784">
        <v>2.9249999999999998</v>
      </c>
      <c r="W25" s="804">
        <v>3.4249999999999998</v>
      </c>
      <c r="AA25" s="35" t="s">
        <v>828</v>
      </c>
      <c r="AB25" s="35" t="s">
        <v>829</v>
      </c>
      <c r="AC25" s="35" t="s">
        <v>828</v>
      </c>
      <c r="AD25" s="35"/>
      <c r="AJ25" s="773">
        <v>28</v>
      </c>
      <c r="AK25" s="783">
        <v>0.378</v>
      </c>
      <c r="AL25" s="776"/>
      <c r="AM25" s="776">
        <v>0.32800000000000001</v>
      </c>
      <c r="AN25" s="783">
        <v>3.05</v>
      </c>
    </row>
    <row r="26" spans="1:40" ht="15">
      <c r="A26" s="778">
        <v>12</v>
      </c>
      <c r="B26" s="784">
        <v>9.9400000000000002E-2</v>
      </c>
      <c r="C26" s="785">
        <v>0.1174</v>
      </c>
      <c r="D26" s="785">
        <v>0.1084</v>
      </c>
      <c r="E26" s="785">
        <v>4.0515999999999996</v>
      </c>
      <c r="F26" s="785">
        <v>4.5309999999999997</v>
      </c>
      <c r="G26" s="785">
        <v>4.7859999999999996</v>
      </c>
      <c r="H26" s="785">
        <v>22.11</v>
      </c>
      <c r="I26" s="785">
        <v>2.5230000000000001</v>
      </c>
      <c r="J26" s="785">
        <v>2.9830000000000001</v>
      </c>
      <c r="K26" s="781">
        <v>2.7530000000000001</v>
      </c>
      <c r="M26" s="778">
        <v>10</v>
      </c>
      <c r="N26" s="784">
        <v>0.12859999999999999</v>
      </c>
      <c r="O26" s="785">
        <v>0.15260000000000001</v>
      </c>
      <c r="P26" s="785">
        <v>0.1406</v>
      </c>
      <c r="Q26" s="785">
        <v>5.9059999999999997</v>
      </c>
      <c r="R26" s="785">
        <v>5.7939999999999996</v>
      </c>
      <c r="S26" s="785">
        <v>28.812000000000001</v>
      </c>
      <c r="T26" s="785">
        <v>28.265000000000001</v>
      </c>
      <c r="U26" s="785">
        <v>3.5712000000000002</v>
      </c>
      <c r="V26" s="785">
        <v>3.2711999999999999</v>
      </c>
      <c r="W26" s="781">
        <v>3.8712</v>
      </c>
      <c r="AA26" s="35">
        <v>0.5</v>
      </c>
      <c r="AB26" s="35">
        <v>125</v>
      </c>
      <c r="AC26" s="35" t="s">
        <v>830</v>
      </c>
      <c r="AD26" s="35">
        <v>0.5</v>
      </c>
      <c r="AJ26" s="773">
        <v>26</v>
      </c>
      <c r="AK26" s="783">
        <v>0.45500000000000002</v>
      </c>
      <c r="AL26" s="776"/>
      <c r="AM26" s="776">
        <v>0.40500000000000003</v>
      </c>
      <c r="AN26" s="783">
        <v>3.66</v>
      </c>
    </row>
    <row r="27" spans="1:40" ht="15">
      <c r="A27" s="778">
        <v>11</v>
      </c>
      <c r="B27" s="784">
        <v>0.1143</v>
      </c>
      <c r="C27" s="785">
        <v>0.1323</v>
      </c>
      <c r="D27" s="785">
        <v>0.12330000000000001</v>
      </c>
      <c r="E27" s="785">
        <v>4.6505000000000001</v>
      </c>
      <c r="F27" s="785"/>
      <c r="G27" s="785">
        <v>5.3940000000000001</v>
      </c>
      <c r="H27" s="785"/>
      <c r="I27" s="785">
        <v>2.9020000000000001</v>
      </c>
      <c r="J27" s="785">
        <v>3.3620000000000001</v>
      </c>
      <c r="K27" s="781">
        <v>3.1320000000000001</v>
      </c>
      <c r="M27" s="778">
        <v>9</v>
      </c>
      <c r="N27" s="784">
        <v>0.14230000000000001</v>
      </c>
      <c r="O27" s="785">
        <v>0.17030000000000001</v>
      </c>
      <c r="P27" s="785">
        <v>0.15629999999999999</v>
      </c>
      <c r="Q27" s="785">
        <v>6.5629999999999997</v>
      </c>
      <c r="R27" s="785">
        <v>6.4379999999999997</v>
      </c>
      <c r="S27" s="785">
        <v>32.017000000000003</v>
      </c>
      <c r="T27" s="785">
        <v>31.407</v>
      </c>
      <c r="U27" s="784">
        <v>3.97</v>
      </c>
      <c r="V27" s="784">
        <v>3.61</v>
      </c>
      <c r="W27" s="804">
        <v>4.33</v>
      </c>
      <c r="AA27" s="35">
        <v>1</v>
      </c>
      <c r="AB27" s="35">
        <v>250</v>
      </c>
      <c r="AC27" s="35">
        <v>0.5</v>
      </c>
      <c r="AD27" s="35">
        <v>1</v>
      </c>
      <c r="AJ27" s="773">
        <v>24</v>
      </c>
      <c r="AK27" s="783">
        <v>0.66700000000000004</v>
      </c>
      <c r="AL27" s="776"/>
      <c r="AM27" s="776">
        <v>0.58699999999999997</v>
      </c>
      <c r="AN27" s="783">
        <v>4.88</v>
      </c>
    </row>
    <row r="28" spans="1:40" ht="15">
      <c r="A28" s="778">
        <v>10</v>
      </c>
      <c r="B28" s="784">
        <v>0.12920000000000001</v>
      </c>
      <c r="C28" s="785">
        <v>0.1472</v>
      </c>
      <c r="D28" s="785">
        <v>0.13819999999999999</v>
      </c>
      <c r="E28" s="785">
        <v>5.2675000000000001</v>
      </c>
      <c r="F28" s="785">
        <v>5.7809999999999997</v>
      </c>
      <c r="G28" s="785">
        <v>6.0019999999999998</v>
      </c>
      <c r="H28" s="785">
        <v>28.21</v>
      </c>
      <c r="I28" s="785">
        <v>3.28</v>
      </c>
      <c r="J28" s="797">
        <v>3.74</v>
      </c>
      <c r="K28" s="818">
        <v>3.51</v>
      </c>
      <c r="M28" s="814">
        <v>8</v>
      </c>
      <c r="N28" s="819">
        <v>0.15790000000000001</v>
      </c>
      <c r="O28" s="819">
        <v>0.18590000000000001</v>
      </c>
      <c r="P28" s="819">
        <v>0.1719</v>
      </c>
      <c r="Q28" s="819">
        <v>7.2190000000000003</v>
      </c>
      <c r="R28" s="819">
        <v>7.0810000000000004</v>
      </c>
      <c r="S28" s="819">
        <v>35.216999999999999</v>
      </c>
      <c r="T28" s="819">
        <v>34.543999999999997</v>
      </c>
      <c r="U28" s="820">
        <v>4.3662999999999998</v>
      </c>
      <c r="V28" s="820">
        <v>4.0063000000000004</v>
      </c>
      <c r="W28" s="821">
        <v>4.7263000000000002</v>
      </c>
      <c r="AA28" s="35">
        <v>2</v>
      </c>
      <c r="AB28" s="35">
        <v>500</v>
      </c>
      <c r="AC28" s="35">
        <v>1</v>
      </c>
      <c r="AD28" s="35">
        <v>2</v>
      </c>
      <c r="AJ28" s="773">
        <v>22</v>
      </c>
      <c r="AK28" s="783">
        <v>0.75900000000000001</v>
      </c>
      <c r="AL28" s="776"/>
      <c r="AM28" s="776">
        <v>0.67900000000000005</v>
      </c>
      <c r="AN28" s="822">
        <v>6.1</v>
      </c>
    </row>
    <row r="29" spans="1:40" thickBot="1">
      <c r="A29" s="778">
        <v>9</v>
      </c>
      <c r="B29" s="784">
        <v>0.14419999999999999</v>
      </c>
      <c r="C29" s="785">
        <v>0.16220000000000001</v>
      </c>
      <c r="D29" s="785">
        <v>0.1532</v>
      </c>
      <c r="E29" s="785">
        <v>5.8795000000000002</v>
      </c>
      <c r="F29" s="785"/>
      <c r="G29" s="785">
        <v>6.6139999999999999</v>
      </c>
      <c r="H29" s="785"/>
      <c r="I29" s="785">
        <v>3.661</v>
      </c>
      <c r="J29" s="785">
        <v>4.1210000000000004</v>
      </c>
      <c r="K29" s="781">
        <v>3.891</v>
      </c>
      <c r="AA29" s="35">
        <v>3</v>
      </c>
      <c r="AB29" s="35">
        <v>750</v>
      </c>
      <c r="AC29" s="35">
        <v>2</v>
      </c>
      <c r="AD29" s="35">
        <v>3</v>
      </c>
      <c r="AJ29" s="773">
        <v>20</v>
      </c>
      <c r="AK29" s="783">
        <v>0.91200000000000003</v>
      </c>
      <c r="AL29" s="776"/>
      <c r="AM29" s="776">
        <v>0.83199999999999996</v>
      </c>
      <c r="AN29" s="783">
        <v>7.32</v>
      </c>
    </row>
    <row r="30" spans="1:40" thickTop="1">
      <c r="A30" s="814">
        <v>8</v>
      </c>
      <c r="B30" s="819">
        <v>0.15909999999999999</v>
      </c>
      <c r="C30" s="819">
        <v>0.17710000000000001</v>
      </c>
      <c r="D30" s="819">
        <v>0.1681</v>
      </c>
      <c r="E30" s="819">
        <v>6.4874000000000001</v>
      </c>
      <c r="F30" s="819">
        <v>6.875</v>
      </c>
      <c r="G30" s="819">
        <v>7.2220000000000004</v>
      </c>
      <c r="H30" s="819"/>
      <c r="I30" s="823">
        <v>4.04</v>
      </c>
      <c r="J30" s="823">
        <v>4.5</v>
      </c>
      <c r="K30" s="824">
        <v>4.2699999999999996</v>
      </c>
      <c r="L30" s="889" t="s">
        <v>696</v>
      </c>
      <c r="AA30" s="35">
        <v>4</v>
      </c>
      <c r="AB30" s="35">
        <v>1000</v>
      </c>
      <c r="AC30" s="35">
        <v>3</v>
      </c>
      <c r="AD30" s="35">
        <v>4</v>
      </c>
      <c r="AJ30" s="773">
        <v>18</v>
      </c>
      <c r="AK30" s="783">
        <v>1.214</v>
      </c>
      <c r="AL30" s="776">
        <v>1.0840000000000001</v>
      </c>
      <c r="AM30" s="776">
        <v>1.1140000000000001</v>
      </c>
      <c r="AN30" s="783">
        <v>9.76</v>
      </c>
    </row>
    <row r="31" spans="1:40" thickBot="1">
      <c r="L31" s="890"/>
      <c r="AA31" s="35">
        <v>6</v>
      </c>
      <c r="AB31" s="35">
        <v>1500</v>
      </c>
      <c r="AC31" s="35">
        <v>4</v>
      </c>
      <c r="AD31" s="35">
        <v>6</v>
      </c>
      <c r="AJ31" s="773">
        <v>16</v>
      </c>
      <c r="AK31" s="783">
        <v>1.5189999999999999</v>
      </c>
      <c r="AL31" s="776">
        <v>1.369</v>
      </c>
      <c r="AM31" s="776">
        <v>1.389</v>
      </c>
      <c r="AN31" s="822">
        <v>12.2</v>
      </c>
    </row>
    <row r="32" spans="1:40" ht="16.5" thickTop="1" thickBot="1">
      <c r="AA32" s="35">
        <v>10</v>
      </c>
      <c r="AB32" s="35">
        <v>2500</v>
      </c>
      <c r="AC32" s="35">
        <v>6</v>
      </c>
      <c r="AD32" s="35">
        <v>10</v>
      </c>
      <c r="AJ32" s="773">
        <v>14</v>
      </c>
      <c r="AK32" s="783">
        <v>1.897</v>
      </c>
      <c r="AL32" s="776">
        <v>1.7170000000000001</v>
      </c>
      <c r="AM32" s="776">
        <v>1.7669999999999999</v>
      </c>
      <c r="AN32" s="822">
        <v>15.25</v>
      </c>
    </row>
    <row r="33" spans="1:40" ht="17.25" thickBot="1">
      <c r="Q33" s="825" t="s">
        <v>831</v>
      </c>
      <c r="R33" s="826" t="s">
        <v>832</v>
      </c>
      <c r="S33" s="825" t="s">
        <v>722</v>
      </c>
      <c r="T33" s="825" t="s">
        <v>833</v>
      </c>
      <c r="AJ33" s="773">
        <v>13</v>
      </c>
      <c r="AK33" s="783">
        <v>2.278</v>
      </c>
      <c r="AL33" s="776">
        <v>2.101</v>
      </c>
      <c r="AM33" s="776">
        <v>2.456</v>
      </c>
      <c r="AN33" s="822">
        <v>18.309999999999999</v>
      </c>
    </row>
    <row r="34" spans="1:40" ht="17.25" thickBot="1">
      <c r="Q34" s="827">
        <v>20</v>
      </c>
      <c r="R34" s="828">
        <v>3</v>
      </c>
      <c r="S34" s="827" t="s">
        <v>834</v>
      </c>
      <c r="T34" s="827">
        <v>8</v>
      </c>
      <c r="AJ34" s="773">
        <v>12</v>
      </c>
      <c r="AK34" s="783">
        <v>2.6560000000000001</v>
      </c>
      <c r="AL34" s="776">
        <v>2.456</v>
      </c>
      <c r="AM34" s="776">
        <v>2.5059999999999998</v>
      </c>
      <c r="AN34" s="822">
        <v>21.35</v>
      </c>
    </row>
    <row r="35" spans="1:40" ht="17.25" thickBot="1">
      <c r="B35" s="917" t="s">
        <v>835</v>
      </c>
      <c r="C35" s="917"/>
      <c r="D35" s="917"/>
      <c r="E35" s="917"/>
      <c r="F35" s="917"/>
      <c r="G35" s="917"/>
      <c r="H35" s="917"/>
      <c r="I35" s="917"/>
      <c r="J35" s="917"/>
      <c r="K35" s="917"/>
      <c r="L35" s="917"/>
      <c r="Q35" s="827">
        <v>32</v>
      </c>
      <c r="R35" s="830">
        <v>2.5</v>
      </c>
      <c r="S35" s="827" t="s">
        <v>836</v>
      </c>
      <c r="T35" s="827">
        <v>10</v>
      </c>
      <c r="AA35" s="35" t="s">
        <v>837</v>
      </c>
      <c r="AB35" s="35" t="s">
        <v>709</v>
      </c>
      <c r="AC35" s="35" t="s">
        <v>838</v>
      </c>
      <c r="AJ35" s="773">
        <v>11</v>
      </c>
      <c r="AK35" s="783">
        <v>3.0379999999999998</v>
      </c>
      <c r="AL35" s="776">
        <v>2.8380000000000001</v>
      </c>
      <c r="AM35" s="776">
        <v>2.8879999999999999</v>
      </c>
      <c r="AN35" s="822">
        <v>24.4</v>
      </c>
    </row>
    <row r="36" spans="1:40" ht="17.25" thickBot="1">
      <c r="A36" s="134"/>
      <c r="B36" s="917" t="s">
        <v>839</v>
      </c>
      <c r="C36" s="917"/>
      <c r="D36" s="917"/>
      <c r="E36" s="917"/>
      <c r="F36" s="917" t="s">
        <v>779</v>
      </c>
      <c r="G36" s="917"/>
      <c r="H36" s="917"/>
      <c r="I36" s="917" t="s">
        <v>840</v>
      </c>
      <c r="J36" s="917"/>
      <c r="K36" s="917"/>
      <c r="L36" s="917"/>
      <c r="Q36" s="827">
        <v>40</v>
      </c>
      <c r="R36" s="830">
        <v>2.5</v>
      </c>
      <c r="S36" s="827" t="s">
        <v>841</v>
      </c>
      <c r="T36" s="827">
        <v>10</v>
      </c>
      <c r="AA36" s="35" t="s">
        <v>842</v>
      </c>
      <c r="AB36" s="35">
        <v>26</v>
      </c>
      <c r="AC36" s="35" t="s">
        <v>842</v>
      </c>
      <c r="AJ36" s="773">
        <v>10</v>
      </c>
      <c r="AK36" s="783">
        <v>3.4159999999999999</v>
      </c>
      <c r="AL36" s="831">
        <v>3.2160000000000002</v>
      </c>
      <c r="AM36" s="831">
        <v>3.266</v>
      </c>
      <c r="AN36" s="822">
        <v>27.45</v>
      </c>
    </row>
    <row r="37" spans="1:40" ht="17.25" thickBot="1">
      <c r="B37" s="829"/>
      <c r="C37" s="769" t="s">
        <v>843</v>
      </c>
      <c r="D37" s="766"/>
      <c r="E37" s="766"/>
      <c r="F37" s="766"/>
      <c r="G37" s="768"/>
      <c r="H37" s="769"/>
      <c r="I37" s="768"/>
      <c r="J37" s="769"/>
      <c r="K37" s="766"/>
      <c r="L37" s="766"/>
      <c r="Q37" s="827">
        <v>60</v>
      </c>
      <c r="R37" s="830">
        <v>2</v>
      </c>
      <c r="S37" s="827" t="s">
        <v>844</v>
      </c>
      <c r="T37" s="827">
        <v>12</v>
      </c>
      <c r="AA37" s="35" t="s">
        <v>845</v>
      </c>
      <c r="AB37" s="35">
        <v>24</v>
      </c>
      <c r="AC37" s="35" t="s">
        <v>845</v>
      </c>
      <c r="AJ37" s="832" t="s">
        <v>144</v>
      </c>
      <c r="AK37" s="833"/>
      <c r="AL37" s="833"/>
      <c r="AM37" s="833"/>
      <c r="AN37" s="833"/>
    </row>
    <row r="38" spans="1:40" ht="17.25" thickBot="1">
      <c r="B38" s="767"/>
      <c r="C38" s="769" t="s">
        <v>846</v>
      </c>
      <c r="D38" s="766"/>
      <c r="E38" s="766"/>
      <c r="F38" s="766"/>
      <c r="G38" s="768"/>
      <c r="H38" s="769"/>
      <c r="I38" s="768"/>
      <c r="J38" s="769"/>
      <c r="K38" s="766"/>
      <c r="L38" s="766"/>
      <c r="Q38" s="827">
        <v>61</v>
      </c>
      <c r="R38" s="830">
        <v>1.5</v>
      </c>
      <c r="S38" s="827" t="s">
        <v>847</v>
      </c>
      <c r="T38" s="827">
        <v>12</v>
      </c>
      <c r="AA38" s="35" t="s">
        <v>848</v>
      </c>
      <c r="AB38" s="35">
        <v>22</v>
      </c>
      <c r="AC38" s="35" t="s">
        <v>848</v>
      </c>
      <c r="AJ38" s="915" t="s">
        <v>849</v>
      </c>
      <c r="AK38" s="921"/>
      <c r="AL38" s="921"/>
      <c r="AM38" s="921"/>
      <c r="AN38" s="921"/>
    </row>
    <row r="39" spans="1:40" ht="15">
      <c r="A39" s="393" t="s">
        <v>793</v>
      </c>
      <c r="B39" s="829" t="s">
        <v>785</v>
      </c>
      <c r="C39" s="829" t="s">
        <v>850</v>
      </c>
      <c r="D39" s="829" t="s">
        <v>784</v>
      </c>
      <c r="E39" s="829" t="s">
        <v>786</v>
      </c>
      <c r="F39" s="829" t="s">
        <v>851</v>
      </c>
      <c r="G39" s="829" t="s">
        <v>852</v>
      </c>
      <c r="H39" s="829"/>
      <c r="I39" s="829" t="s">
        <v>785</v>
      </c>
      <c r="J39" s="829"/>
      <c r="K39" s="829" t="s">
        <v>784</v>
      </c>
      <c r="L39" s="829" t="s">
        <v>786</v>
      </c>
      <c r="AA39" s="35" t="s">
        <v>853</v>
      </c>
      <c r="AB39" s="35">
        <v>20</v>
      </c>
      <c r="AC39" s="35" t="s">
        <v>853</v>
      </c>
      <c r="AJ39" s="922" t="s">
        <v>854</v>
      </c>
      <c r="AK39" s="922"/>
      <c r="AL39" s="922"/>
      <c r="AM39" s="922"/>
      <c r="AN39" s="922"/>
    </row>
    <row r="40" spans="1:40" ht="15">
      <c r="A40" s="393">
        <v>28</v>
      </c>
      <c r="B40" s="835">
        <v>1.6E-2</v>
      </c>
      <c r="C40" s="836">
        <v>1.5E-3</v>
      </c>
      <c r="D40" s="836">
        <v>1.4500000000000001E-2</v>
      </c>
      <c r="E40" s="836">
        <v>1.7500000000000002E-2</v>
      </c>
      <c r="F40" s="836">
        <v>0.22800000000000001</v>
      </c>
      <c r="G40" s="836">
        <v>1.1140000000000001</v>
      </c>
      <c r="H40" s="836"/>
      <c r="I40" s="836">
        <v>0.40679999999999999</v>
      </c>
      <c r="J40" s="836"/>
      <c r="K40" s="836">
        <v>0.36830000000000002</v>
      </c>
      <c r="L40" s="836">
        <v>0.44450000000000001</v>
      </c>
      <c r="R40" t="s">
        <v>833</v>
      </c>
      <c r="AA40" s="35" t="s">
        <v>855</v>
      </c>
      <c r="AB40" s="35">
        <v>18</v>
      </c>
      <c r="AC40" s="35" t="s">
        <v>855</v>
      </c>
      <c r="AJ40" s="922" t="s">
        <v>856</v>
      </c>
      <c r="AK40" s="922"/>
      <c r="AL40" s="922"/>
      <c r="AM40" s="922"/>
      <c r="AN40" s="922"/>
    </row>
    <row r="41" spans="1:40" ht="15">
      <c r="A41" s="393"/>
      <c r="B41" s="835"/>
      <c r="C41" s="836"/>
      <c r="D41" s="836"/>
      <c r="E41" s="836"/>
      <c r="F41" s="836"/>
      <c r="G41" s="836"/>
      <c r="H41" s="836"/>
      <c r="I41" s="836"/>
      <c r="J41" s="836"/>
      <c r="K41" s="836"/>
      <c r="L41" s="836"/>
      <c r="AJ41" s="834"/>
      <c r="AK41" s="834"/>
      <c r="AL41" s="834"/>
      <c r="AM41" s="834"/>
      <c r="AN41" s="834"/>
    </row>
    <row r="42" spans="1:40" ht="15">
      <c r="A42" s="393">
        <v>26</v>
      </c>
      <c r="B42" s="835">
        <v>0.02</v>
      </c>
      <c r="C42" s="836">
        <v>2E-3</v>
      </c>
      <c r="D42" s="836">
        <v>1.7999999999999999E-2</v>
      </c>
      <c r="E42" s="836">
        <v>2.1999999999999999E-2</v>
      </c>
      <c r="F42" s="836">
        <v>0.28499999999999998</v>
      </c>
      <c r="G42" s="836">
        <v>1.393</v>
      </c>
      <c r="H42" s="836"/>
      <c r="I42" s="836">
        <v>0.50800000000000001</v>
      </c>
      <c r="J42" s="836"/>
      <c r="K42" s="836">
        <v>0.4572</v>
      </c>
      <c r="L42" s="836">
        <v>0.55879999999999996</v>
      </c>
      <c r="AJ42" s="834"/>
      <c r="AK42" s="834"/>
      <c r="AL42" s="834"/>
      <c r="AM42" s="834"/>
      <c r="AN42" s="834"/>
    </row>
    <row r="43" spans="1:40" ht="15">
      <c r="A43" s="393"/>
      <c r="B43" s="835"/>
      <c r="C43" s="837" t="s">
        <v>857</v>
      </c>
      <c r="D43" s="836"/>
      <c r="E43" s="836"/>
      <c r="F43" s="836"/>
      <c r="G43" s="836"/>
      <c r="H43" s="836"/>
      <c r="I43" s="836"/>
      <c r="J43" s="836"/>
      <c r="K43" s="836"/>
      <c r="L43" s="836"/>
      <c r="Y43" s="838" t="s">
        <v>699</v>
      </c>
      <c r="Z43" s="838" t="s">
        <v>858</v>
      </c>
      <c r="AA43" s="838" t="s">
        <v>859</v>
      </c>
      <c r="AB43" s="838" t="s">
        <v>860</v>
      </c>
      <c r="AC43" s="838" t="s">
        <v>858</v>
      </c>
      <c r="AD43" s="838" t="s">
        <v>859</v>
      </c>
      <c r="AJ43" s="834"/>
      <c r="AK43" s="834"/>
      <c r="AL43" s="834"/>
      <c r="AM43" s="834"/>
      <c r="AN43" s="834"/>
    </row>
    <row r="44" spans="1:40" ht="15">
      <c r="A44" s="393"/>
      <c r="B44" s="835"/>
      <c r="C44" s="836"/>
      <c r="D44" s="836"/>
      <c r="E44" s="836"/>
      <c r="F44" s="836"/>
      <c r="G44" s="836"/>
      <c r="H44" s="836"/>
      <c r="I44" s="836"/>
      <c r="J44" s="836"/>
      <c r="K44" s="836"/>
      <c r="L44" s="836"/>
      <c r="Y44" s="838">
        <v>30</v>
      </c>
      <c r="Z44" s="838">
        <v>24</v>
      </c>
      <c r="AA44" s="838">
        <v>22</v>
      </c>
      <c r="AB44" s="838">
        <v>8</v>
      </c>
      <c r="AC44" s="838">
        <v>24</v>
      </c>
      <c r="AD44" s="838">
        <v>22</v>
      </c>
      <c r="AJ44" s="834"/>
      <c r="AK44" s="834"/>
      <c r="AL44" s="834"/>
      <c r="AM44" s="834"/>
      <c r="AN44" s="834"/>
    </row>
    <row r="45" spans="1:40" ht="15">
      <c r="A45" s="393">
        <v>24</v>
      </c>
      <c r="B45" s="835">
        <v>2.4E-2</v>
      </c>
      <c r="C45" s="836">
        <v>2E-3</v>
      </c>
      <c r="D45" s="836">
        <v>2.1999999999999999E-2</v>
      </c>
      <c r="E45" s="836">
        <v>2.5999999999999999E-2</v>
      </c>
      <c r="F45" s="836">
        <v>0.34200000000000003</v>
      </c>
      <c r="G45" s="836">
        <v>1.671</v>
      </c>
      <c r="H45" s="836"/>
      <c r="I45" s="836">
        <v>0.60960000000000003</v>
      </c>
      <c r="J45" s="836"/>
      <c r="K45" s="836">
        <v>0.55879999999999996</v>
      </c>
      <c r="L45" s="836">
        <v>0.66039999999999999</v>
      </c>
      <c r="Y45" s="838">
        <v>60</v>
      </c>
      <c r="Z45" s="838">
        <v>22</v>
      </c>
      <c r="AA45" s="838">
        <v>20</v>
      </c>
      <c r="AB45" s="838">
        <v>24</v>
      </c>
      <c r="AC45" s="838">
        <v>22</v>
      </c>
      <c r="AD45" s="838">
        <v>20</v>
      </c>
      <c r="AJ45" s="762" t="s">
        <v>861</v>
      </c>
      <c r="AK45" s="762"/>
      <c r="AL45" s="762"/>
      <c r="AM45" s="762"/>
      <c r="AN45" s="762"/>
    </row>
    <row r="46" spans="1:40" ht="16.5">
      <c r="A46" s="393"/>
      <c r="B46" s="835"/>
      <c r="C46" s="837" t="s">
        <v>857</v>
      </c>
      <c r="D46" s="836"/>
      <c r="E46" s="836"/>
      <c r="F46" s="836"/>
      <c r="G46" s="836"/>
      <c r="H46" s="836"/>
      <c r="I46" s="836"/>
      <c r="J46" s="836"/>
      <c r="K46" s="836"/>
      <c r="L46" s="836"/>
      <c r="Y46" s="838">
        <v>90</v>
      </c>
      <c r="Z46" s="838">
        <v>20</v>
      </c>
      <c r="AA46" s="838">
        <v>18</v>
      </c>
      <c r="AB46" s="838">
        <v>48</v>
      </c>
      <c r="AC46" s="838">
        <v>20</v>
      </c>
      <c r="AD46" s="838">
        <v>18</v>
      </c>
      <c r="AJ46" s="839"/>
      <c r="AK46" s="839"/>
      <c r="AL46" s="839"/>
      <c r="AM46" s="840" t="s">
        <v>862</v>
      </c>
      <c r="AN46" s="841"/>
    </row>
    <row r="47" spans="1:40" ht="15">
      <c r="A47" s="393"/>
      <c r="B47" s="835"/>
      <c r="C47" s="836"/>
      <c r="D47" s="836"/>
      <c r="E47" s="836"/>
      <c r="F47" s="836"/>
      <c r="G47" s="836"/>
      <c r="H47" s="836"/>
      <c r="I47" s="836"/>
      <c r="J47" s="836"/>
      <c r="K47" s="836"/>
      <c r="L47" s="836"/>
      <c r="Y47" s="838">
        <v>91</v>
      </c>
      <c r="Z47" s="838">
        <v>18</v>
      </c>
      <c r="AA47" s="838">
        <v>16</v>
      </c>
      <c r="AB47" s="838">
        <v>72</v>
      </c>
      <c r="AC47" s="838">
        <v>18</v>
      </c>
      <c r="AD47" s="838">
        <v>16</v>
      </c>
      <c r="AJ47" s="839"/>
      <c r="AK47" s="842" t="s">
        <v>782</v>
      </c>
      <c r="AL47" s="842"/>
      <c r="AM47" s="842" t="s">
        <v>700</v>
      </c>
      <c r="AN47" s="842"/>
    </row>
    <row r="48" spans="1:40" ht="15">
      <c r="A48" s="393">
        <v>22</v>
      </c>
      <c r="B48" s="835">
        <v>2.5000000000000001E-2</v>
      </c>
      <c r="C48" s="836">
        <v>2E-3</v>
      </c>
      <c r="D48" s="836">
        <v>2.3E-2</v>
      </c>
      <c r="E48" s="836">
        <v>2.7E-2</v>
      </c>
      <c r="F48" s="836">
        <v>0.35599999999999998</v>
      </c>
      <c r="G48" s="836">
        <v>1.7398</v>
      </c>
      <c r="H48" s="836"/>
      <c r="I48" s="836">
        <v>0.63500000000000001</v>
      </c>
      <c r="J48" s="836"/>
      <c r="K48" s="836">
        <v>0.58420000000000005</v>
      </c>
      <c r="L48" s="836">
        <v>0.68579999999999997</v>
      </c>
      <c r="AJ48" s="770" t="s">
        <v>709</v>
      </c>
      <c r="AK48" s="770" t="s">
        <v>790</v>
      </c>
      <c r="AL48" s="770" t="s">
        <v>791</v>
      </c>
      <c r="AM48" s="770" t="s">
        <v>863</v>
      </c>
      <c r="AN48" s="770" t="s">
        <v>864</v>
      </c>
    </row>
    <row r="49" spans="1:40" ht="15">
      <c r="A49" s="393"/>
      <c r="B49" s="835"/>
      <c r="C49" s="837" t="s">
        <v>857</v>
      </c>
      <c r="D49" s="836"/>
      <c r="E49" s="836"/>
      <c r="F49" s="836"/>
      <c r="G49" s="836"/>
      <c r="H49" s="836"/>
      <c r="I49" s="836"/>
      <c r="J49" s="836"/>
      <c r="K49" s="836"/>
      <c r="L49" s="836"/>
      <c r="AJ49" s="773">
        <v>28</v>
      </c>
      <c r="AK49" s="783">
        <v>0.38400000000000001</v>
      </c>
      <c r="AL49" s="843">
        <v>0.33400000000000002</v>
      </c>
      <c r="AM49" s="783">
        <v>3.09</v>
      </c>
      <c r="AN49" s="843">
        <v>3.04</v>
      </c>
    </row>
    <row r="50" spans="1:40" ht="15">
      <c r="A50" s="393"/>
      <c r="B50" s="835"/>
      <c r="C50" s="836"/>
      <c r="D50" s="836"/>
      <c r="E50" s="836"/>
      <c r="F50" s="836"/>
      <c r="G50" s="836"/>
      <c r="H50" s="836"/>
      <c r="I50" s="836"/>
      <c r="J50" s="836"/>
      <c r="K50" s="836"/>
      <c r="L50" s="836"/>
      <c r="Y50" s="838" t="s">
        <v>865</v>
      </c>
      <c r="Z50" s="838">
        <v>0.5</v>
      </c>
      <c r="AA50" s="838">
        <v>1</v>
      </c>
      <c r="AB50" s="838">
        <v>2</v>
      </c>
      <c r="AC50" s="838">
        <v>3</v>
      </c>
      <c r="AD50" s="838">
        <v>4</v>
      </c>
      <c r="AE50" s="838">
        <v>6</v>
      </c>
      <c r="AF50" s="838">
        <v>10</v>
      </c>
      <c r="AJ50" s="773">
        <v>26</v>
      </c>
      <c r="AK50" s="783">
        <v>0.45200000000000001</v>
      </c>
      <c r="AL50" s="843">
        <v>0.372</v>
      </c>
      <c r="AM50" s="783">
        <v>3.65</v>
      </c>
      <c r="AN50" s="843">
        <v>3.58</v>
      </c>
    </row>
    <row r="51" spans="1:40" ht="15">
      <c r="A51" s="393">
        <v>20</v>
      </c>
      <c r="B51" s="835">
        <v>3.2000000000000001E-2</v>
      </c>
      <c r="C51" s="836">
        <v>2.5000000000000001E-3</v>
      </c>
      <c r="D51" s="836">
        <v>2.9499999999999998E-2</v>
      </c>
      <c r="E51" s="836">
        <v>3.4500000000000003E-2</v>
      </c>
      <c r="F51" s="836">
        <v>0.45600000000000002</v>
      </c>
      <c r="G51" s="836">
        <v>2.2280000000000002</v>
      </c>
      <c r="H51" s="836"/>
      <c r="I51" s="836">
        <v>0.81279999999999997</v>
      </c>
      <c r="J51" s="836"/>
      <c r="K51" s="836">
        <v>0.74929999999999997</v>
      </c>
      <c r="L51" s="836">
        <v>0.87629999999999997</v>
      </c>
      <c r="Y51" s="838">
        <v>8</v>
      </c>
      <c r="Z51" s="838">
        <v>26</v>
      </c>
      <c r="AA51" s="838">
        <v>26</v>
      </c>
      <c r="AB51" s="838">
        <v>26</v>
      </c>
      <c r="AC51" s="838">
        <v>24</v>
      </c>
      <c r="AD51" s="838">
        <v>24</v>
      </c>
      <c r="AE51" s="838">
        <v>24</v>
      </c>
      <c r="AF51" s="838">
        <v>22</v>
      </c>
      <c r="AJ51" s="773">
        <v>24</v>
      </c>
      <c r="AK51" s="783">
        <v>0.59699999999999998</v>
      </c>
      <c r="AL51" s="843">
        <v>0.51700000000000002</v>
      </c>
      <c r="AM51" s="783">
        <v>4.82</v>
      </c>
      <c r="AN51" s="843">
        <v>4.72</v>
      </c>
    </row>
    <row r="52" spans="1:40" ht="15">
      <c r="A52" s="393"/>
      <c r="B52" s="835"/>
      <c r="C52" s="837" t="s">
        <v>866</v>
      </c>
      <c r="D52" s="836"/>
      <c r="E52" s="836"/>
      <c r="F52" s="836"/>
      <c r="G52" s="836"/>
      <c r="H52" s="836"/>
      <c r="I52" s="836"/>
      <c r="J52" s="836"/>
      <c r="K52" s="836"/>
      <c r="L52" s="836"/>
      <c r="Y52" s="838">
        <v>10</v>
      </c>
      <c r="Z52" s="838">
        <v>26</v>
      </c>
      <c r="AA52" s="838">
        <v>26</v>
      </c>
      <c r="AB52" s="838">
        <v>26</v>
      </c>
      <c r="AC52" s="838">
        <v>24</v>
      </c>
      <c r="AD52" s="838">
        <v>22</v>
      </c>
      <c r="AE52" s="838">
        <v>20</v>
      </c>
      <c r="AF52" s="838">
        <v>18</v>
      </c>
      <c r="AJ52" s="773">
        <v>22</v>
      </c>
      <c r="AK52" s="783">
        <v>0.74399999999999999</v>
      </c>
      <c r="AL52" s="843">
        <v>0.64400000000000002</v>
      </c>
      <c r="AM52" s="783">
        <v>6.01</v>
      </c>
      <c r="AN52" s="843">
        <v>5.89</v>
      </c>
    </row>
    <row r="53" spans="1:40" ht="15">
      <c r="A53" s="393"/>
      <c r="B53" s="835"/>
      <c r="C53" s="836"/>
      <c r="D53" s="836"/>
      <c r="E53" s="836"/>
      <c r="F53" s="836"/>
      <c r="G53" s="836"/>
      <c r="H53" s="836"/>
      <c r="I53" s="836"/>
      <c r="J53" s="836"/>
      <c r="K53" s="836"/>
      <c r="L53" s="836"/>
      <c r="Y53" s="838">
        <v>12</v>
      </c>
      <c r="Z53" s="838">
        <v>26</v>
      </c>
      <c r="AA53" s="838">
        <v>26</v>
      </c>
      <c r="AB53" s="838">
        <v>24</v>
      </c>
      <c r="AC53" s="838">
        <v>22</v>
      </c>
      <c r="AD53" s="838">
        <v>20</v>
      </c>
      <c r="AE53" s="838">
        <v>18</v>
      </c>
      <c r="AF53" s="838">
        <v>16</v>
      </c>
      <c r="AJ53" s="773">
        <v>20</v>
      </c>
      <c r="AK53" s="783">
        <v>0.90200000000000002</v>
      </c>
      <c r="AL53" s="843">
        <v>0.80200000000000005</v>
      </c>
      <c r="AM53" s="783">
        <v>7.28</v>
      </c>
      <c r="AN53" s="843">
        <v>7.14</v>
      </c>
    </row>
    <row r="54" spans="1:40" ht="15">
      <c r="A54" s="393">
        <v>18</v>
      </c>
      <c r="B54" s="835">
        <v>0.04</v>
      </c>
      <c r="C54" s="836">
        <v>3.5000000000000001E-3</v>
      </c>
      <c r="D54" s="836">
        <v>3.6499999999999998E-2</v>
      </c>
      <c r="E54" s="836">
        <v>4.3499999999999997E-2</v>
      </c>
      <c r="F54" s="835">
        <v>0.56999999999999995</v>
      </c>
      <c r="G54" s="836">
        <v>2.786</v>
      </c>
      <c r="H54" s="836"/>
      <c r="I54" s="836">
        <v>1.1015999999999999</v>
      </c>
      <c r="J54" s="836"/>
      <c r="K54" s="836">
        <v>0.92710000000000004</v>
      </c>
      <c r="L54" s="836">
        <v>1.1049</v>
      </c>
      <c r="Y54" s="838">
        <v>14</v>
      </c>
      <c r="Z54" s="838">
        <v>26</v>
      </c>
      <c r="AA54" s="838">
        <v>24</v>
      </c>
      <c r="AB54" s="838">
        <v>22</v>
      </c>
      <c r="AC54" s="838">
        <v>20</v>
      </c>
      <c r="AD54" s="838">
        <v>18</v>
      </c>
      <c r="AE54" s="838">
        <v>18</v>
      </c>
      <c r="AF54" s="918"/>
      <c r="AJ54" s="773">
        <v>18</v>
      </c>
      <c r="AK54" s="783">
        <v>1.2190000000000001</v>
      </c>
      <c r="AL54" s="843">
        <v>1.089</v>
      </c>
      <c r="AM54" s="783">
        <v>9.84</v>
      </c>
      <c r="AN54" s="843">
        <v>9.65</v>
      </c>
    </row>
    <row r="55" spans="1:40" ht="15">
      <c r="A55" s="393"/>
      <c r="B55" s="835"/>
      <c r="C55" s="837" t="s">
        <v>867</v>
      </c>
      <c r="D55" s="836"/>
      <c r="E55" s="836"/>
      <c r="F55" s="836"/>
      <c r="G55" s="836"/>
      <c r="H55" s="836"/>
      <c r="I55" s="836"/>
      <c r="J55" s="836"/>
      <c r="K55" s="836"/>
      <c r="L55" s="836"/>
      <c r="Y55" s="838">
        <v>16</v>
      </c>
      <c r="Z55" s="838">
        <v>26</v>
      </c>
      <c r="AA55" s="838">
        <v>22</v>
      </c>
      <c r="AB55" s="838">
        <v>20</v>
      </c>
      <c r="AC55" s="838">
        <v>18</v>
      </c>
      <c r="AD55" s="838">
        <v>18</v>
      </c>
      <c r="AE55" s="838">
        <v>16</v>
      </c>
      <c r="AF55" s="919"/>
      <c r="AJ55" s="773">
        <v>16</v>
      </c>
      <c r="AK55" s="783">
        <v>1.5109999999999999</v>
      </c>
      <c r="AL55" s="843">
        <v>1.361</v>
      </c>
      <c r="AM55" s="822">
        <v>12.2</v>
      </c>
      <c r="AN55" s="843">
        <v>11.96</v>
      </c>
    </row>
    <row r="56" spans="1:40" ht="15">
      <c r="A56" s="393"/>
      <c r="B56" s="835"/>
      <c r="C56" s="836"/>
      <c r="D56" s="836"/>
      <c r="E56" s="836"/>
      <c r="F56" s="836"/>
      <c r="G56" s="836"/>
      <c r="H56" s="836"/>
      <c r="I56" s="836"/>
      <c r="J56" s="836"/>
      <c r="K56" s="836"/>
      <c r="L56" s="836"/>
      <c r="Y56" s="838">
        <v>18</v>
      </c>
      <c r="Z56" s="838">
        <v>26</v>
      </c>
      <c r="AA56" s="838">
        <v>22</v>
      </c>
      <c r="AB56" s="838">
        <v>20</v>
      </c>
      <c r="AC56" s="838">
        <v>18</v>
      </c>
      <c r="AD56" s="838">
        <v>16</v>
      </c>
      <c r="AE56" s="918"/>
      <c r="AF56" s="919"/>
      <c r="AJ56" s="773">
        <v>14</v>
      </c>
      <c r="AK56" s="783">
        <v>1.9079999999999999</v>
      </c>
      <c r="AL56" s="843">
        <v>1.728</v>
      </c>
      <c r="AM56" s="822">
        <v>15.39</v>
      </c>
      <c r="AN56" s="843">
        <v>15.1</v>
      </c>
    </row>
    <row r="57" spans="1:40" ht="15">
      <c r="A57" s="393">
        <v>16</v>
      </c>
      <c r="B57" s="835">
        <v>0.05</v>
      </c>
      <c r="C57" s="836">
        <v>3.5000000000000001E-3</v>
      </c>
      <c r="D57" s="836">
        <v>4.65E-2</v>
      </c>
      <c r="E57" s="836">
        <v>5.3499999999999999E-2</v>
      </c>
      <c r="F57" s="836">
        <v>0.71299999999999997</v>
      </c>
      <c r="G57" s="836">
        <v>3.484</v>
      </c>
      <c r="H57" s="836"/>
      <c r="I57" s="836">
        <v>1.27</v>
      </c>
      <c r="J57" s="836"/>
      <c r="K57" s="836">
        <v>1.1811</v>
      </c>
      <c r="L57" s="836">
        <v>1.3589</v>
      </c>
      <c r="Y57" s="838">
        <v>20</v>
      </c>
      <c r="Z57" s="838">
        <v>24</v>
      </c>
      <c r="AA57" s="838">
        <v>20</v>
      </c>
      <c r="AB57" s="838">
        <v>18</v>
      </c>
      <c r="AC57" s="838">
        <v>16</v>
      </c>
      <c r="AD57" s="918"/>
      <c r="AE57" s="919"/>
      <c r="AF57" s="919"/>
      <c r="AJ57" s="773">
        <v>13</v>
      </c>
      <c r="AK57" s="783">
        <v>2.286</v>
      </c>
      <c r="AL57" s="843">
        <v>2.056</v>
      </c>
      <c r="AM57" s="822">
        <v>18.45</v>
      </c>
      <c r="AN57" s="843">
        <v>18.100000000000001</v>
      </c>
    </row>
    <row r="58" spans="1:40" ht="15">
      <c r="A58" s="393"/>
      <c r="B58" s="835"/>
      <c r="C58" s="837" t="s">
        <v>868</v>
      </c>
      <c r="D58" s="836"/>
      <c r="E58" s="836"/>
      <c r="F58" s="836"/>
      <c r="G58" s="836"/>
      <c r="H58" s="836"/>
      <c r="I58" s="836"/>
      <c r="J58" s="836"/>
      <c r="K58" s="836"/>
      <c r="L58" s="836"/>
      <c r="Y58" s="838">
        <v>22</v>
      </c>
      <c r="Z58" s="838">
        <v>22</v>
      </c>
      <c r="AA58" s="838">
        <v>18</v>
      </c>
      <c r="AB58" s="838">
        <v>16</v>
      </c>
      <c r="AC58" s="838">
        <v>16</v>
      </c>
      <c r="AD58" s="919"/>
      <c r="AE58" s="919"/>
      <c r="AF58" s="919"/>
      <c r="AJ58" s="773">
        <v>12</v>
      </c>
      <c r="AK58" s="783">
        <v>2.677</v>
      </c>
      <c r="AL58" s="843">
        <v>2.4470000000000001</v>
      </c>
      <c r="AM58" s="822">
        <v>21.6</v>
      </c>
      <c r="AN58" s="843">
        <v>21.19</v>
      </c>
    </row>
    <row r="59" spans="1:40" ht="15">
      <c r="A59" s="393"/>
      <c r="B59" s="835"/>
      <c r="C59" s="836"/>
      <c r="D59" s="836"/>
      <c r="E59" s="836"/>
      <c r="F59" s="836"/>
      <c r="G59" s="836"/>
      <c r="H59" s="836"/>
      <c r="I59" s="836"/>
      <c r="J59" s="836"/>
      <c r="K59" s="836"/>
      <c r="L59" s="836"/>
      <c r="Y59" s="838">
        <v>24</v>
      </c>
      <c r="Z59" s="838">
        <v>22</v>
      </c>
      <c r="AA59" s="838">
        <v>18</v>
      </c>
      <c r="AB59" s="838">
        <v>16</v>
      </c>
      <c r="AC59" s="838">
        <v>16</v>
      </c>
      <c r="AD59" s="919"/>
      <c r="AE59" s="919"/>
      <c r="AF59" s="919"/>
      <c r="AJ59" s="773">
        <v>11</v>
      </c>
      <c r="AK59" s="783">
        <v>3.048</v>
      </c>
      <c r="AL59" s="843">
        <v>2.798</v>
      </c>
      <c r="AM59" s="822">
        <v>24.6</v>
      </c>
      <c r="AN59" s="843">
        <v>24.13</v>
      </c>
    </row>
    <row r="60" spans="1:40" ht="15">
      <c r="A60" s="393">
        <v>14</v>
      </c>
      <c r="B60" s="835">
        <v>6.3E-2</v>
      </c>
      <c r="C60" s="836">
        <v>3.5000000000000001E-3</v>
      </c>
      <c r="D60" s="836">
        <v>5.9499999999999997E-2</v>
      </c>
      <c r="E60" s="836">
        <v>6.6500000000000004E-2</v>
      </c>
      <c r="F60" s="836">
        <v>0.89800000000000002</v>
      </c>
      <c r="G60" s="836">
        <v>4.3890000000000002</v>
      </c>
      <c r="H60" s="836"/>
      <c r="I60" s="835">
        <v>1.6</v>
      </c>
      <c r="J60" s="835"/>
      <c r="K60" s="836">
        <v>1.5113000000000001</v>
      </c>
      <c r="L60" s="836">
        <v>1.6891</v>
      </c>
      <c r="Y60" s="838">
        <v>26</v>
      </c>
      <c r="Z60" s="838">
        <v>20</v>
      </c>
      <c r="AA60" s="838">
        <v>18</v>
      </c>
      <c r="AB60" s="918"/>
      <c r="AC60" s="918"/>
      <c r="AD60" s="919"/>
      <c r="AE60" s="919"/>
      <c r="AF60" s="919"/>
      <c r="AJ60" s="773">
        <v>10</v>
      </c>
      <c r="AK60" s="783">
        <v>3.4289999999999998</v>
      </c>
      <c r="AL60" s="843">
        <v>3.129</v>
      </c>
      <c r="AM60" s="822">
        <v>27.67</v>
      </c>
      <c r="AN60" s="843">
        <v>27.14</v>
      </c>
    </row>
    <row r="61" spans="1:40">
      <c r="A61" s="393"/>
      <c r="B61" s="835"/>
      <c r="C61" s="837" t="s">
        <v>868</v>
      </c>
      <c r="D61" s="836"/>
      <c r="E61" s="836"/>
      <c r="F61" s="836"/>
      <c r="G61" s="836"/>
      <c r="H61" s="836"/>
      <c r="I61" s="836"/>
      <c r="J61" s="836"/>
      <c r="K61" s="836"/>
      <c r="L61" s="836"/>
      <c r="Y61" s="838">
        <v>28</v>
      </c>
      <c r="Z61" s="838">
        <v>18</v>
      </c>
      <c r="AA61" s="838">
        <v>16</v>
      </c>
      <c r="AB61" s="919"/>
      <c r="AC61" s="919"/>
      <c r="AD61" s="919"/>
      <c r="AE61" s="919"/>
      <c r="AF61" s="919"/>
      <c r="AJ61" s="832"/>
      <c r="AK61" s="844"/>
      <c r="AL61" s="844"/>
      <c r="AM61" s="844"/>
      <c r="AN61" s="844"/>
    </row>
    <row r="62" spans="1:40">
      <c r="A62" s="393"/>
      <c r="B62" s="835"/>
      <c r="C62" s="836"/>
      <c r="D62" s="836"/>
      <c r="E62" s="836"/>
      <c r="F62" s="836"/>
      <c r="G62" s="836"/>
      <c r="H62" s="836"/>
      <c r="I62" s="836"/>
      <c r="J62" s="836"/>
      <c r="K62" s="836"/>
      <c r="L62" s="836"/>
      <c r="Y62" s="838">
        <v>30</v>
      </c>
      <c r="Z62" s="838">
        <v>18</v>
      </c>
      <c r="AA62" s="838">
        <v>16</v>
      </c>
      <c r="AB62" s="919"/>
      <c r="AC62" s="919"/>
      <c r="AD62" s="919"/>
      <c r="AE62" s="919"/>
      <c r="AF62" s="919"/>
      <c r="AJ62" s="844"/>
      <c r="AK62" s="844"/>
      <c r="AL62" s="844"/>
      <c r="AM62" s="844"/>
      <c r="AN62" s="844"/>
    </row>
    <row r="63" spans="1:40">
      <c r="A63" s="393">
        <v>12</v>
      </c>
      <c r="B63" s="835">
        <v>0.08</v>
      </c>
      <c r="C63" s="836">
        <v>4.4999999999999997E-3</v>
      </c>
      <c r="D63" s="836">
        <v>7.5499999999999998E-2</v>
      </c>
      <c r="E63" s="836">
        <v>8.4500000000000006E-2</v>
      </c>
      <c r="F63" s="835">
        <v>1.1399999999999999</v>
      </c>
      <c r="G63" s="836">
        <v>5.5709999999999997</v>
      </c>
      <c r="H63" s="836"/>
      <c r="I63" s="836">
        <v>2.032</v>
      </c>
      <c r="J63" s="836"/>
      <c r="K63" s="836">
        <v>1.9117</v>
      </c>
      <c r="L63" s="836">
        <v>2.1463000000000001</v>
      </c>
      <c r="Y63" s="838">
        <v>36</v>
      </c>
      <c r="Z63" s="838">
        <v>16</v>
      </c>
      <c r="AA63" s="838"/>
      <c r="AB63" s="920"/>
      <c r="AC63" s="920"/>
      <c r="AD63" s="920"/>
      <c r="AE63" s="920"/>
      <c r="AF63" s="920"/>
      <c r="AJ63" s="844"/>
      <c r="AK63" s="844"/>
      <c r="AL63" s="844"/>
      <c r="AM63" s="844"/>
      <c r="AN63" s="844"/>
    </row>
    <row r="64" spans="1:40">
      <c r="A64" s="393"/>
      <c r="B64" s="835"/>
      <c r="C64" s="837" t="s">
        <v>869</v>
      </c>
      <c r="D64" s="836"/>
      <c r="E64" s="836"/>
      <c r="F64" s="836"/>
      <c r="G64" s="836"/>
      <c r="H64" s="836"/>
      <c r="I64" s="836"/>
      <c r="J64" s="836"/>
      <c r="K64" s="836"/>
      <c r="L64" s="836"/>
      <c r="AJ64" s="844"/>
      <c r="AK64" s="844"/>
      <c r="AL64" s="844"/>
      <c r="AM64" s="844"/>
      <c r="AN64" s="844"/>
    </row>
    <row r="65" spans="1:40">
      <c r="A65" s="393"/>
      <c r="B65" s="835"/>
      <c r="C65" s="836"/>
      <c r="D65" s="836"/>
      <c r="E65" s="836"/>
      <c r="F65" s="836"/>
      <c r="G65" s="836"/>
      <c r="H65" s="836"/>
      <c r="I65" s="836"/>
      <c r="J65" s="836"/>
      <c r="K65" s="836"/>
      <c r="L65" s="836"/>
      <c r="AJ65" s="844"/>
      <c r="AK65" s="844"/>
      <c r="AL65" s="844"/>
      <c r="AM65" s="844"/>
      <c r="AN65" s="844"/>
    </row>
    <row r="66" spans="1:40">
      <c r="A66" s="393">
        <v>10</v>
      </c>
      <c r="B66" s="835">
        <v>0.09</v>
      </c>
      <c r="C66" s="836">
        <v>4.4999999999999997E-3</v>
      </c>
      <c r="D66" s="836">
        <v>8.5500000000000007E-2</v>
      </c>
      <c r="E66" s="836">
        <v>9.4500000000000001E-2</v>
      </c>
      <c r="F66" s="836">
        <v>1.2829999999999999</v>
      </c>
      <c r="G66" s="835">
        <v>6.27</v>
      </c>
      <c r="H66" s="835"/>
      <c r="I66" s="836">
        <v>2.286</v>
      </c>
      <c r="J66" s="836"/>
      <c r="K66" s="836">
        <v>2.1717</v>
      </c>
      <c r="L66" s="836">
        <v>2.4003000000000001</v>
      </c>
      <c r="AJ66" s="844"/>
      <c r="AK66" s="844"/>
      <c r="AL66" s="844"/>
      <c r="AM66" s="844"/>
      <c r="AN66" s="844"/>
    </row>
    <row r="67" spans="1:40">
      <c r="A67" s="393"/>
      <c r="B67" s="835"/>
      <c r="C67" s="837" t="s">
        <v>869</v>
      </c>
      <c r="D67" s="836"/>
      <c r="E67" s="836"/>
      <c r="F67" s="836"/>
      <c r="G67" s="836"/>
      <c r="H67" s="836"/>
      <c r="I67" s="836"/>
      <c r="J67" s="836"/>
      <c r="K67" s="836"/>
      <c r="L67" s="836"/>
      <c r="AJ67" s="844"/>
      <c r="AK67" s="844"/>
      <c r="AL67" s="844"/>
      <c r="AM67" s="844"/>
      <c r="AN67" s="844"/>
    </row>
    <row r="68" spans="1:40">
      <c r="A68" s="393"/>
      <c r="B68" s="835"/>
      <c r="C68" s="836"/>
      <c r="D68" s="836"/>
      <c r="E68" s="836"/>
      <c r="F68" s="836"/>
      <c r="G68" s="836"/>
      <c r="H68" s="836"/>
      <c r="I68" s="836"/>
      <c r="J68" s="836"/>
      <c r="K68" s="836"/>
      <c r="L68" s="836"/>
      <c r="AJ68" s="844"/>
      <c r="AK68" s="844"/>
      <c r="AL68" s="844"/>
      <c r="AM68" s="844"/>
      <c r="AN68" s="844"/>
    </row>
    <row r="69" spans="1:40">
      <c r="A69" s="393">
        <v>8</v>
      </c>
      <c r="B69" s="835">
        <v>0.1</v>
      </c>
      <c r="C69" s="836">
        <v>5.4999999999999997E-3</v>
      </c>
      <c r="D69" s="836">
        <v>9.4500000000000001E-2</v>
      </c>
      <c r="E69" s="836">
        <v>0.1055</v>
      </c>
      <c r="F69" s="836">
        <v>1.4259999999999999</v>
      </c>
      <c r="G69" s="836">
        <v>6.9690000000000003</v>
      </c>
      <c r="H69" s="836"/>
      <c r="I69" s="836">
        <v>2.54</v>
      </c>
      <c r="J69" s="836"/>
      <c r="K69" s="836">
        <v>2.4003000000000001</v>
      </c>
      <c r="L69" s="836">
        <v>2.6797</v>
      </c>
      <c r="AJ69" s="844"/>
      <c r="AK69" s="844"/>
      <c r="AL69" s="844"/>
      <c r="AM69" s="844"/>
      <c r="AN69" s="844"/>
    </row>
    <row r="70" spans="1:40">
      <c r="A70" s="393"/>
      <c r="B70" s="835"/>
      <c r="C70" s="837" t="s">
        <v>870</v>
      </c>
      <c r="D70" s="836"/>
      <c r="E70" s="836"/>
      <c r="F70" s="836"/>
      <c r="G70" s="836"/>
      <c r="H70" s="836"/>
      <c r="I70" s="836"/>
      <c r="J70" s="836"/>
      <c r="K70" s="836"/>
      <c r="L70" s="836"/>
      <c r="AJ70" s="844"/>
      <c r="AK70" s="844"/>
      <c r="AL70" s="844"/>
      <c r="AM70" s="844"/>
      <c r="AN70" s="844"/>
    </row>
    <row r="71" spans="1:40">
      <c r="A71" s="393"/>
      <c r="B71" s="835"/>
      <c r="C71" s="836"/>
      <c r="D71" s="836"/>
      <c r="E71" s="836"/>
      <c r="F71" s="836"/>
      <c r="G71" s="836"/>
      <c r="H71" s="838"/>
      <c r="I71" s="836"/>
      <c r="J71" s="838"/>
      <c r="K71" s="836"/>
      <c r="L71" s="836"/>
      <c r="AJ71" s="844"/>
      <c r="AK71" s="844"/>
      <c r="AL71" s="844"/>
      <c r="AM71" s="844"/>
      <c r="AN71" s="844"/>
    </row>
    <row r="72" spans="1:40">
      <c r="A72" s="393">
        <v>6</v>
      </c>
      <c r="B72" s="835">
        <v>0.125</v>
      </c>
      <c r="C72" s="836">
        <v>5.4999999999999997E-3</v>
      </c>
      <c r="D72" s="836">
        <v>0.1195</v>
      </c>
      <c r="E72" s="836">
        <v>0.1305</v>
      </c>
      <c r="F72" s="836">
        <v>1.782</v>
      </c>
      <c r="G72" s="836">
        <v>8.7089999999999996</v>
      </c>
      <c r="H72" s="838"/>
      <c r="I72" s="836">
        <v>3.1749999999999998</v>
      </c>
      <c r="J72" s="838"/>
      <c r="K72" s="836">
        <v>3.0352999999999999</v>
      </c>
      <c r="L72" s="836">
        <v>3.3147000000000002</v>
      </c>
      <c r="AJ72" s="844"/>
      <c r="AK72" s="844"/>
      <c r="AL72" s="844"/>
      <c r="AM72" s="844"/>
      <c r="AN72" s="844"/>
    </row>
    <row r="73" spans="1:40">
      <c r="A73" s="393"/>
      <c r="B73" s="835"/>
      <c r="C73" s="837" t="s">
        <v>870</v>
      </c>
      <c r="D73" s="836"/>
      <c r="E73" s="836"/>
      <c r="F73" s="836"/>
      <c r="G73" s="836"/>
      <c r="H73" s="838"/>
      <c r="I73" s="836"/>
      <c r="J73" s="838"/>
      <c r="K73" s="836"/>
      <c r="L73" s="836"/>
      <c r="AJ73" s="844"/>
      <c r="AK73" s="844"/>
      <c r="AL73" s="844"/>
      <c r="AM73" s="844"/>
      <c r="AN73" s="844"/>
    </row>
    <row r="74" spans="1:40">
      <c r="AJ74" s="844"/>
      <c r="AK74" s="844"/>
      <c r="AL74" s="844"/>
      <c r="AM74" s="844"/>
      <c r="AN74" s="844"/>
    </row>
    <row r="75" spans="1:40">
      <c r="AJ75" s="844"/>
      <c r="AK75" s="844"/>
      <c r="AL75" s="844"/>
      <c r="AM75" s="844"/>
      <c r="AN75" s="844"/>
    </row>
    <row r="76" spans="1:40">
      <c r="AJ76" s="844"/>
      <c r="AK76" s="844"/>
      <c r="AL76" s="844"/>
      <c r="AM76" s="844"/>
      <c r="AN76" s="844"/>
    </row>
    <row r="77" spans="1:40">
      <c r="AJ77" s="844"/>
      <c r="AK77" s="844"/>
      <c r="AL77" s="844"/>
      <c r="AM77" s="844"/>
      <c r="AN77" s="844"/>
    </row>
    <row r="78" spans="1:40">
      <c r="AJ78" s="844"/>
      <c r="AK78" s="844"/>
      <c r="AL78" s="844"/>
      <c r="AM78" s="844"/>
      <c r="AN78" s="844"/>
    </row>
    <row r="79" spans="1:40">
      <c r="AJ79" s="844"/>
      <c r="AK79" s="844"/>
      <c r="AL79" s="844"/>
      <c r="AM79" s="844"/>
      <c r="AN79" s="844"/>
    </row>
    <row r="80" spans="1:40">
      <c r="AJ80" s="844"/>
      <c r="AK80" s="844"/>
      <c r="AL80" s="844"/>
      <c r="AM80" s="844"/>
      <c r="AN80" s="844"/>
    </row>
    <row r="81" spans="36:40">
      <c r="AJ81" s="844"/>
      <c r="AK81" s="844"/>
      <c r="AL81" s="844"/>
      <c r="AM81" s="844"/>
      <c r="AN81" s="844"/>
    </row>
    <row r="82" spans="36:40">
      <c r="AJ82" s="844"/>
      <c r="AK82" s="844"/>
      <c r="AL82" s="844"/>
      <c r="AM82" s="844"/>
      <c r="AN82" s="844"/>
    </row>
    <row r="83" spans="36:40">
      <c r="AJ83" s="844"/>
      <c r="AK83" s="844"/>
      <c r="AL83" s="844"/>
      <c r="AM83" s="844"/>
      <c r="AN83" s="844"/>
    </row>
    <row r="84" spans="36:40">
      <c r="AJ84" s="844"/>
      <c r="AK84" s="844"/>
      <c r="AL84" s="844"/>
      <c r="AM84" s="844"/>
      <c r="AN84" s="844"/>
    </row>
    <row r="85" spans="36:40">
      <c r="AJ85" s="844"/>
      <c r="AK85" s="844"/>
      <c r="AL85" s="844"/>
      <c r="AM85" s="844"/>
      <c r="AN85" s="844"/>
    </row>
    <row r="86" spans="36:40">
      <c r="AJ86" s="844"/>
      <c r="AK86" s="844"/>
      <c r="AL86" s="844"/>
      <c r="AM86" s="844"/>
      <c r="AN86" s="844"/>
    </row>
    <row r="87" spans="36:40">
      <c r="AJ87" s="844"/>
      <c r="AK87" s="844"/>
      <c r="AL87" s="844"/>
      <c r="AM87" s="844"/>
      <c r="AN87" s="844"/>
    </row>
    <row r="88" spans="36:40">
      <c r="AJ88" s="844"/>
      <c r="AK88" s="844"/>
      <c r="AL88" s="844"/>
      <c r="AM88" s="844"/>
      <c r="AN88" s="844"/>
    </row>
    <row r="89" spans="36:40">
      <c r="AJ89" s="844"/>
      <c r="AK89" s="844"/>
      <c r="AL89" s="844"/>
      <c r="AM89" s="844"/>
      <c r="AN89" s="844"/>
    </row>
    <row r="90" spans="36:40">
      <c r="AJ90" s="844"/>
      <c r="AK90" s="844"/>
      <c r="AL90" s="844"/>
      <c r="AM90" s="844"/>
      <c r="AN90" s="844"/>
    </row>
    <row r="91" spans="36:40">
      <c r="AJ91" s="844"/>
      <c r="AK91" s="844"/>
      <c r="AL91" s="844"/>
      <c r="AM91" s="844"/>
      <c r="AN91" s="844"/>
    </row>
    <row r="92" spans="36:40">
      <c r="AJ92" s="844"/>
      <c r="AK92" s="844"/>
      <c r="AL92" s="844"/>
      <c r="AM92" s="844"/>
      <c r="AN92" s="844"/>
    </row>
    <row r="93" spans="36:40">
      <c r="AJ93" s="844"/>
      <c r="AK93" s="844"/>
      <c r="AL93" s="844"/>
      <c r="AM93" s="844"/>
      <c r="AN93" s="844"/>
    </row>
    <row r="94" spans="36:40">
      <c r="AJ94" s="844"/>
      <c r="AK94" s="844"/>
      <c r="AL94" s="844"/>
      <c r="AM94" s="844"/>
      <c r="AN94" s="844"/>
    </row>
    <row r="95" spans="36:40">
      <c r="AJ95" s="844"/>
      <c r="AK95" s="844"/>
      <c r="AL95" s="844"/>
      <c r="AM95" s="844"/>
      <c r="AN95" s="844"/>
    </row>
    <row r="96" spans="36:40">
      <c r="AJ96" s="844"/>
      <c r="AK96" s="844"/>
      <c r="AL96" s="844"/>
      <c r="AM96" s="844"/>
      <c r="AN96" s="844"/>
    </row>
    <row r="97" spans="36:40">
      <c r="AJ97" s="844"/>
      <c r="AK97" s="844"/>
      <c r="AL97" s="844"/>
      <c r="AM97" s="844"/>
      <c r="AN97" s="844"/>
    </row>
    <row r="98" spans="36:40">
      <c r="AJ98" s="844"/>
      <c r="AK98" s="844"/>
      <c r="AL98" s="844"/>
      <c r="AM98" s="844"/>
      <c r="AN98" s="844"/>
    </row>
    <row r="99" spans="36:40">
      <c r="AJ99" s="844"/>
      <c r="AK99" s="844"/>
      <c r="AL99" s="844"/>
      <c r="AM99" s="844"/>
      <c r="AN99" s="844"/>
    </row>
    <row r="100" spans="36:40">
      <c r="AJ100" s="844"/>
      <c r="AK100" s="844"/>
      <c r="AL100" s="844"/>
      <c r="AM100" s="844"/>
      <c r="AN100" s="844"/>
    </row>
    <row r="101" spans="36:40">
      <c r="AJ101" s="844"/>
      <c r="AK101" s="844"/>
      <c r="AL101" s="844"/>
      <c r="AM101" s="844"/>
      <c r="AN101" s="844"/>
    </row>
    <row r="102" spans="36:40">
      <c r="AJ102" s="844"/>
      <c r="AK102" s="844"/>
      <c r="AL102" s="844"/>
      <c r="AM102" s="844"/>
      <c r="AN102" s="844"/>
    </row>
    <row r="103" spans="36:40">
      <c r="AJ103" s="844"/>
      <c r="AK103" s="844"/>
      <c r="AL103" s="844"/>
      <c r="AM103" s="844"/>
      <c r="AN103" s="844"/>
    </row>
    <row r="104" spans="36:40">
      <c r="AJ104" s="844"/>
      <c r="AK104" s="844"/>
      <c r="AL104" s="844"/>
      <c r="AM104" s="844"/>
      <c r="AN104" s="844"/>
    </row>
    <row r="105" spans="36:40">
      <c r="AJ105" s="844"/>
      <c r="AK105" s="844"/>
      <c r="AL105" s="844"/>
      <c r="AM105" s="844"/>
      <c r="AN105" s="844"/>
    </row>
    <row r="106" spans="36:40" outlineLevel="1"/>
    <row r="107" spans="36:40" outlineLevel="1"/>
    <row r="108" spans="36:40" outlineLevel="1"/>
    <row r="109" spans="36:40" outlineLevel="1"/>
    <row r="110" spans="36:40" outlineLevel="1"/>
    <row r="111" spans="36:40" outlineLevel="1"/>
    <row r="112" spans="36:40" outlineLevel="1"/>
    <row r="113" outlineLevel="1"/>
    <row r="114" outlineLevel="1"/>
    <row r="115" outlineLevel="1"/>
    <row r="116" outlineLevel="1"/>
    <row r="117" outlineLevel="1"/>
    <row r="118" outlineLevel="1"/>
    <row r="119" outlineLevel="1"/>
    <row r="120" outlineLevel="1"/>
    <row r="121" outlineLevel="1"/>
    <row r="122" outlineLevel="1"/>
    <row r="123" outlineLevel="1"/>
    <row r="124" outlineLevel="1"/>
    <row r="125" outlineLevel="1"/>
    <row r="126" outlineLevel="1"/>
    <row r="127" outlineLevel="1"/>
    <row r="128" outlineLevel="1"/>
    <row r="129" outlineLevel="1"/>
    <row r="130" outlineLevel="1"/>
    <row r="131" outlineLevel="1"/>
    <row r="132" outlineLevel="1"/>
    <row r="133" outlineLevel="1"/>
    <row r="134" outlineLevel="1"/>
    <row r="135" outlineLevel="1"/>
    <row r="136" outlineLevel="1"/>
    <row r="137" outlineLevel="1"/>
    <row r="138" outlineLevel="1"/>
    <row r="139" outlineLevel="1"/>
    <row r="140" outlineLevel="1"/>
    <row r="141" outlineLevel="1"/>
    <row r="142" outlineLevel="1"/>
    <row r="143" outlineLevel="1"/>
    <row r="144" outlineLevel="1"/>
    <row r="145" outlineLevel="1"/>
    <row r="146" outlineLevel="1"/>
    <row r="147" outlineLevel="1"/>
    <row r="148" outlineLevel="1"/>
    <row r="149" outlineLevel="1"/>
    <row r="150" outlineLevel="1"/>
    <row r="151" outlineLevel="1"/>
    <row r="152" outlineLevel="1"/>
    <row r="153" outlineLevel="1"/>
    <row r="154" outlineLevel="1"/>
    <row r="155" outlineLevel="1"/>
    <row r="156" outlineLevel="1"/>
    <row r="157" outlineLevel="1"/>
    <row r="158" outlineLevel="1"/>
    <row r="159" outlineLevel="1"/>
    <row r="160" outlineLevel="1"/>
    <row r="161" outlineLevel="1"/>
    <row r="162" outlineLevel="1"/>
    <row r="163" outlineLevel="1"/>
    <row r="164" outlineLevel="1"/>
    <row r="165" outlineLevel="1"/>
    <row r="166" outlineLevel="1"/>
    <row r="167" outlineLevel="1"/>
    <row r="168" outlineLevel="1"/>
    <row r="169" outlineLevel="1"/>
    <row r="170" outlineLevel="1"/>
    <row r="171" outlineLevel="1"/>
    <row r="172" outlineLevel="1"/>
    <row r="173" outlineLevel="1"/>
    <row r="174" outlineLevel="1"/>
    <row r="175" outlineLevel="1"/>
    <row r="176" outlineLevel="1"/>
    <row r="177" outlineLevel="1"/>
    <row r="178" outlineLevel="1"/>
    <row r="179" outlineLevel="1"/>
    <row r="180" outlineLevel="1"/>
    <row r="181" outlineLevel="1"/>
    <row r="182" outlineLevel="1"/>
    <row r="183" outlineLevel="1"/>
    <row r="184" outlineLevel="1"/>
    <row r="185" outlineLevel="1"/>
    <row r="186" outlineLevel="1"/>
    <row r="187" outlineLevel="1"/>
    <row r="188" outlineLevel="1"/>
    <row r="189" outlineLevel="1"/>
    <row r="190" outlineLevel="1"/>
    <row r="191" outlineLevel="1"/>
    <row r="192" outlineLevel="1"/>
    <row r="193" outlineLevel="1"/>
    <row r="194" outlineLevel="1"/>
    <row r="195" outlineLevel="1"/>
    <row r="196" outlineLevel="1"/>
    <row r="197" outlineLevel="1"/>
    <row r="198" outlineLevel="1"/>
    <row r="199" outlineLevel="1"/>
    <row r="200" outlineLevel="1"/>
    <row r="201" outlineLevel="1"/>
    <row r="202" outlineLevel="1"/>
    <row r="203" outlineLevel="1"/>
    <row r="204" outlineLevel="1"/>
    <row r="205" outlineLevel="1"/>
    <row r="206" outlineLevel="1"/>
    <row r="207" outlineLevel="1"/>
    <row r="208" outlineLevel="1"/>
    <row r="209" outlineLevel="1"/>
    <row r="210" outlineLevel="1"/>
    <row r="211" outlineLevel="1"/>
    <row r="212" outlineLevel="1"/>
    <row r="213" outlineLevel="1"/>
    <row r="214" outlineLevel="1"/>
    <row r="215" outlineLevel="1"/>
    <row r="216" outlineLevel="1"/>
    <row r="217" outlineLevel="1"/>
    <row r="218" outlineLevel="1"/>
    <row r="219" outlineLevel="1"/>
    <row r="220" outlineLevel="1"/>
    <row r="221" outlineLevel="1"/>
    <row r="222" outlineLevel="1"/>
    <row r="223" outlineLevel="1"/>
    <row r="224" outlineLevel="1"/>
    <row r="225" outlineLevel="1"/>
    <row r="226" outlineLevel="1"/>
    <row r="227" outlineLevel="1"/>
    <row r="228" outlineLevel="1"/>
    <row r="229" outlineLevel="1"/>
    <row r="230" outlineLevel="1"/>
    <row r="231" outlineLevel="1"/>
    <row r="232" outlineLevel="1"/>
    <row r="233" outlineLevel="1"/>
    <row r="234" outlineLevel="1"/>
    <row r="235" outlineLevel="1"/>
    <row r="236" outlineLevel="1"/>
    <row r="237" outlineLevel="1"/>
    <row r="238" outlineLevel="1"/>
    <row r="239" outlineLevel="1"/>
    <row r="240" outlineLevel="1"/>
    <row r="241" outlineLevel="1"/>
    <row r="242" outlineLevel="1"/>
    <row r="243" outlineLevel="1"/>
    <row r="244" outlineLevel="1"/>
    <row r="245" outlineLevel="1"/>
    <row r="246" outlineLevel="1"/>
    <row r="247" outlineLevel="1"/>
    <row r="248" outlineLevel="1"/>
    <row r="249" outlineLevel="1"/>
    <row r="250" outlineLevel="1"/>
    <row r="251" outlineLevel="1"/>
    <row r="252" outlineLevel="1"/>
    <row r="253" outlineLevel="1"/>
    <row r="254" outlineLevel="1"/>
    <row r="255" outlineLevel="1"/>
    <row r="256" outlineLevel="1"/>
    <row r="257" outlineLevel="1"/>
    <row r="258" outlineLevel="1"/>
    <row r="259" outlineLevel="1"/>
    <row r="260" outlineLevel="1"/>
    <row r="261" outlineLevel="1"/>
    <row r="262" outlineLevel="1"/>
    <row r="263" outlineLevel="1"/>
    <row r="264" outlineLevel="1"/>
    <row r="265" outlineLevel="1"/>
    <row r="266" outlineLevel="1"/>
    <row r="267" outlineLevel="1"/>
    <row r="268" outlineLevel="1"/>
    <row r="269" outlineLevel="1"/>
    <row r="270" outlineLevel="1"/>
    <row r="271" outlineLevel="1"/>
    <row r="272" outlineLevel="1"/>
    <row r="273" outlineLevel="1"/>
    <row r="274" outlineLevel="1"/>
    <row r="275" outlineLevel="1"/>
    <row r="276" outlineLevel="1"/>
    <row r="277" outlineLevel="1"/>
    <row r="278" outlineLevel="1"/>
    <row r="279" outlineLevel="1"/>
    <row r="280" outlineLevel="1"/>
    <row r="281" outlineLevel="1"/>
    <row r="282" outlineLevel="1"/>
    <row r="283" outlineLevel="1"/>
    <row r="284" outlineLevel="1"/>
    <row r="285" outlineLevel="1"/>
    <row r="286" outlineLevel="1"/>
    <row r="287" outlineLevel="1"/>
    <row r="288" outlineLevel="1"/>
    <row r="289" outlineLevel="1"/>
    <row r="290" outlineLevel="1"/>
    <row r="291" outlineLevel="1"/>
    <row r="292" outlineLevel="1"/>
    <row r="293" outlineLevel="1"/>
    <row r="294" outlineLevel="1"/>
    <row r="295" outlineLevel="1"/>
    <row r="296" outlineLevel="1"/>
    <row r="297" outlineLevel="1"/>
    <row r="298" outlineLevel="1"/>
    <row r="299" outlineLevel="1"/>
    <row r="300" outlineLevel="1"/>
    <row r="301" outlineLevel="1"/>
    <row r="302" outlineLevel="1"/>
    <row r="303" outlineLevel="1"/>
    <row r="304" outlineLevel="1"/>
    <row r="305" outlineLevel="1"/>
    <row r="306" outlineLevel="1"/>
    <row r="307" outlineLevel="1"/>
    <row r="308" outlineLevel="1"/>
    <row r="309" outlineLevel="1"/>
    <row r="310" outlineLevel="1"/>
    <row r="311" outlineLevel="1"/>
    <row r="312" outlineLevel="1"/>
    <row r="313" outlineLevel="1"/>
    <row r="314" outlineLevel="1"/>
    <row r="315" outlineLevel="1"/>
    <row r="316" outlineLevel="1"/>
    <row r="317" outlineLevel="1"/>
    <row r="318" outlineLevel="1"/>
    <row r="319" outlineLevel="1"/>
    <row r="320" outlineLevel="1"/>
    <row r="321" outlineLevel="1"/>
    <row r="322" outlineLevel="1"/>
    <row r="323" outlineLevel="1"/>
    <row r="324" outlineLevel="1"/>
    <row r="325" outlineLevel="1"/>
    <row r="326" outlineLevel="1"/>
    <row r="327" outlineLevel="1"/>
    <row r="328" outlineLevel="1"/>
    <row r="329" outlineLevel="1"/>
    <row r="330" outlineLevel="1"/>
    <row r="331" outlineLevel="1"/>
    <row r="332" outlineLevel="1"/>
    <row r="333" outlineLevel="1"/>
    <row r="334" outlineLevel="1"/>
    <row r="335" outlineLevel="1"/>
    <row r="336" outlineLevel="1"/>
    <row r="337" outlineLevel="1"/>
    <row r="338" outlineLevel="1"/>
    <row r="339" outlineLevel="1"/>
    <row r="340" outlineLevel="1"/>
    <row r="341" outlineLevel="1"/>
    <row r="342" outlineLevel="1"/>
    <row r="343" outlineLevel="1"/>
    <row r="344" outlineLevel="1"/>
    <row r="345" outlineLevel="1"/>
    <row r="346" outlineLevel="1"/>
    <row r="347" outlineLevel="1"/>
    <row r="348" outlineLevel="1"/>
    <row r="349" outlineLevel="1"/>
    <row r="350" outlineLevel="1"/>
    <row r="351" outlineLevel="1"/>
    <row r="352" outlineLevel="1"/>
    <row r="353" outlineLevel="1"/>
    <row r="354" outlineLevel="1"/>
    <row r="355" outlineLevel="1"/>
    <row r="356" outlineLevel="1"/>
    <row r="357" outlineLevel="1"/>
    <row r="358" outlineLevel="1"/>
    <row r="359" outlineLevel="1"/>
    <row r="360" outlineLevel="1"/>
    <row r="361" outlineLevel="1"/>
    <row r="362" outlineLevel="1"/>
    <row r="363" outlineLevel="1"/>
    <row r="364" outlineLevel="1"/>
    <row r="365" outlineLevel="1"/>
    <row r="366" outlineLevel="1"/>
    <row r="367" outlineLevel="1"/>
    <row r="368" outlineLevel="1"/>
    <row r="369" outlineLevel="1"/>
    <row r="370" outlineLevel="1"/>
    <row r="371" outlineLevel="1"/>
    <row r="372" outlineLevel="1"/>
    <row r="373" outlineLevel="1"/>
    <row r="374" outlineLevel="1"/>
    <row r="375" outlineLevel="1"/>
    <row r="376" outlineLevel="1"/>
    <row r="377" outlineLevel="1"/>
    <row r="378" outlineLevel="1"/>
    <row r="379" outlineLevel="1"/>
    <row r="380" outlineLevel="1"/>
    <row r="381" outlineLevel="1"/>
    <row r="382" outlineLevel="1"/>
    <row r="383" outlineLevel="1"/>
    <row r="384" outlineLevel="1"/>
    <row r="385" outlineLevel="1"/>
    <row r="386" outlineLevel="1"/>
    <row r="387" outlineLevel="1"/>
    <row r="388" outlineLevel="1"/>
    <row r="389" outlineLevel="1"/>
    <row r="390" outlineLevel="1"/>
    <row r="391" outlineLevel="1"/>
    <row r="392" outlineLevel="1"/>
    <row r="393" outlineLevel="1"/>
    <row r="394" outlineLevel="1"/>
    <row r="395" outlineLevel="1"/>
    <row r="396" outlineLevel="1"/>
    <row r="397" outlineLevel="1"/>
    <row r="398" outlineLevel="1"/>
    <row r="399" outlineLevel="1"/>
    <row r="400" outlineLevel="1"/>
    <row r="401" outlineLevel="1"/>
    <row r="402" outlineLevel="1"/>
    <row r="403" outlineLevel="1"/>
    <row r="404" outlineLevel="1"/>
    <row r="405" outlineLevel="1"/>
    <row r="406" outlineLevel="1"/>
    <row r="407" outlineLevel="1"/>
    <row r="408" outlineLevel="1"/>
    <row r="409" outlineLevel="1"/>
    <row r="410" outlineLevel="1"/>
    <row r="411" outlineLevel="1"/>
    <row r="412" outlineLevel="1"/>
    <row r="413" outlineLevel="1"/>
    <row r="414" outlineLevel="1"/>
    <row r="415" outlineLevel="1"/>
    <row r="416" outlineLevel="1"/>
    <row r="417" outlineLevel="1"/>
    <row r="418" outlineLevel="1"/>
    <row r="419" outlineLevel="1"/>
    <row r="420" outlineLevel="1"/>
    <row r="421" outlineLevel="1"/>
    <row r="422" outlineLevel="1"/>
    <row r="423" outlineLevel="1"/>
    <row r="424" outlineLevel="1"/>
    <row r="425" outlineLevel="1"/>
    <row r="426" outlineLevel="1"/>
    <row r="427" outlineLevel="1"/>
    <row r="428" outlineLevel="1"/>
    <row r="429" outlineLevel="1"/>
    <row r="430" outlineLevel="1"/>
    <row r="431" outlineLevel="1"/>
    <row r="432" outlineLevel="1"/>
    <row r="433" outlineLevel="1"/>
    <row r="434" outlineLevel="1"/>
    <row r="435" outlineLevel="1"/>
    <row r="436" outlineLevel="1"/>
    <row r="437" outlineLevel="1"/>
    <row r="438" outlineLevel="1"/>
    <row r="439" outlineLevel="1"/>
    <row r="440" outlineLevel="1"/>
    <row r="441" outlineLevel="1"/>
    <row r="442" outlineLevel="1"/>
    <row r="443" outlineLevel="1"/>
    <row r="444" outlineLevel="1"/>
    <row r="445" outlineLevel="1"/>
    <row r="446" outlineLevel="1"/>
    <row r="447" outlineLevel="1"/>
    <row r="448" outlineLevel="1"/>
    <row r="449" outlineLevel="1"/>
    <row r="450" outlineLevel="1"/>
    <row r="451" outlineLevel="1"/>
    <row r="452" outlineLevel="1"/>
    <row r="453" outlineLevel="1"/>
    <row r="454" outlineLevel="1"/>
    <row r="455" outlineLevel="1"/>
    <row r="456" outlineLevel="1"/>
    <row r="457" outlineLevel="1"/>
    <row r="458" outlineLevel="1"/>
    <row r="459" outlineLevel="1"/>
    <row r="460" outlineLevel="1"/>
    <row r="461" outlineLevel="1"/>
    <row r="462" outlineLevel="1"/>
    <row r="463" outlineLevel="1"/>
    <row r="464" outlineLevel="1"/>
    <row r="465" outlineLevel="1"/>
    <row r="466" outlineLevel="1"/>
    <row r="467" outlineLevel="1"/>
    <row r="468" outlineLevel="1"/>
    <row r="469" outlineLevel="1"/>
    <row r="470" outlineLevel="1"/>
    <row r="471" outlineLevel="1"/>
    <row r="472" outlineLevel="1"/>
    <row r="473" outlineLevel="1"/>
    <row r="474" outlineLevel="1"/>
    <row r="475" outlineLevel="1"/>
    <row r="476" outlineLevel="1"/>
    <row r="477" outlineLevel="1"/>
    <row r="478" outlineLevel="1"/>
    <row r="479" outlineLevel="1"/>
    <row r="480" outlineLevel="1"/>
    <row r="481" outlineLevel="1"/>
    <row r="482" outlineLevel="1"/>
    <row r="483" outlineLevel="1"/>
    <row r="484" outlineLevel="1"/>
    <row r="485" outlineLevel="1"/>
    <row r="486" outlineLevel="1"/>
    <row r="487" outlineLevel="1"/>
    <row r="488" outlineLevel="1"/>
    <row r="489" outlineLevel="1"/>
    <row r="490" outlineLevel="1"/>
    <row r="491" outlineLevel="1"/>
    <row r="492" outlineLevel="1"/>
    <row r="493" outlineLevel="1"/>
    <row r="494" outlineLevel="1"/>
    <row r="495" outlineLevel="1"/>
    <row r="496" outlineLevel="1"/>
    <row r="497" outlineLevel="1"/>
    <row r="498" outlineLevel="1"/>
    <row r="499" outlineLevel="1"/>
    <row r="500" outlineLevel="1"/>
    <row r="501" outlineLevel="1"/>
    <row r="502" outlineLevel="1"/>
    <row r="503" outlineLevel="1"/>
    <row r="504" outlineLevel="1"/>
    <row r="505" outlineLevel="1"/>
    <row r="506" outlineLevel="1"/>
    <row r="507" outlineLevel="1"/>
    <row r="508" outlineLevel="1"/>
    <row r="509" outlineLevel="1"/>
    <row r="510" outlineLevel="1"/>
    <row r="511" outlineLevel="1"/>
    <row r="512" outlineLevel="1"/>
    <row r="513" outlineLevel="1"/>
    <row r="514" outlineLevel="1"/>
    <row r="515" outlineLevel="1"/>
    <row r="516" outlineLevel="1"/>
    <row r="517" outlineLevel="1"/>
    <row r="518" outlineLevel="1"/>
    <row r="519" outlineLevel="1"/>
    <row r="520" outlineLevel="1"/>
    <row r="521" outlineLevel="1"/>
    <row r="522" outlineLevel="1"/>
    <row r="523" outlineLevel="1"/>
    <row r="524" outlineLevel="1"/>
    <row r="525" outlineLevel="1"/>
    <row r="526" outlineLevel="1"/>
    <row r="527" outlineLevel="1"/>
    <row r="528" outlineLevel="1"/>
    <row r="529" outlineLevel="1"/>
    <row r="530" outlineLevel="1"/>
    <row r="531" outlineLevel="1"/>
    <row r="532" outlineLevel="1"/>
    <row r="533" outlineLevel="1"/>
    <row r="534" outlineLevel="1"/>
    <row r="535" outlineLevel="1"/>
    <row r="536" outlineLevel="1"/>
    <row r="537" outlineLevel="1"/>
    <row r="538" outlineLevel="1"/>
    <row r="539" outlineLevel="1"/>
    <row r="540" outlineLevel="1"/>
    <row r="541" outlineLevel="1"/>
    <row r="542" outlineLevel="1"/>
    <row r="543" outlineLevel="1"/>
    <row r="544" outlineLevel="1"/>
    <row r="545" outlineLevel="1"/>
    <row r="546" outlineLevel="1"/>
    <row r="547" outlineLevel="1"/>
    <row r="548" outlineLevel="1"/>
    <row r="549" outlineLevel="1"/>
    <row r="550" outlineLevel="1"/>
    <row r="551" outlineLevel="1"/>
    <row r="552" outlineLevel="1"/>
    <row r="553" outlineLevel="1"/>
    <row r="554" outlineLevel="1"/>
    <row r="555" outlineLevel="1"/>
    <row r="556" outlineLevel="1"/>
    <row r="557" outlineLevel="1"/>
    <row r="558" outlineLevel="1"/>
    <row r="559" outlineLevel="1"/>
    <row r="560" outlineLevel="1"/>
    <row r="561" outlineLevel="1"/>
    <row r="562" outlineLevel="1"/>
    <row r="563" outlineLevel="1"/>
    <row r="564" outlineLevel="1"/>
    <row r="565" outlineLevel="1"/>
    <row r="566" outlineLevel="1"/>
    <row r="567" outlineLevel="1"/>
    <row r="568" outlineLevel="1"/>
    <row r="569" outlineLevel="1"/>
    <row r="570" outlineLevel="1"/>
    <row r="571" outlineLevel="1"/>
    <row r="572" outlineLevel="1"/>
    <row r="573" outlineLevel="1"/>
    <row r="574" outlineLevel="1"/>
    <row r="575" outlineLevel="1"/>
    <row r="576" outlineLevel="1"/>
    <row r="577" outlineLevel="1"/>
    <row r="578" outlineLevel="1"/>
    <row r="579" outlineLevel="1"/>
    <row r="580" outlineLevel="1"/>
    <row r="581" outlineLevel="1"/>
    <row r="582" outlineLevel="1"/>
    <row r="583" outlineLevel="1"/>
    <row r="584" outlineLevel="1"/>
    <row r="585" outlineLevel="1"/>
    <row r="586" outlineLevel="1"/>
    <row r="587" outlineLevel="1"/>
    <row r="588" outlineLevel="1"/>
    <row r="589" outlineLevel="1"/>
    <row r="590" outlineLevel="1"/>
    <row r="591" outlineLevel="1"/>
    <row r="592" outlineLevel="1"/>
    <row r="593" outlineLevel="1"/>
    <row r="594" outlineLevel="1"/>
    <row r="595" outlineLevel="1"/>
    <row r="596" outlineLevel="1"/>
    <row r="597" outlineLevel="1"/>
    <row r="598" outlineLevel="1"/>
    <row r="599" outlineLevel="1"/>
    <row r="600" outlineLevel="1"/>
    <row r="601" outlineLevel="1"/>
    <row r="602" outlineLevel="1"/>
    <row r="603" outlineLevel="1"/>
    <row r="604" outlineLevel="1"/>
    <row r="605" outlineLevel="1"/>
    <row r="606" outlineLevel="1"/>
    <row r="607" outlineLevel="1"/>
    <row r="608" outlineLevel="1"/>
    <row r="609" outlineLevel="1"/>
    <row r="610" outlineLevel="1"/>
    <row r="611" outlineLevel="1"/>
    <row r="612" outlineLevel="1"/>
    <row r="613" outlineLevel="1"/>
    <row r="614" outlineLevel="1"/>
    <row r="615" outlineLevel="1"/>
    <row r="616" outlineLevel="1"/>
    <row r="617" outlineLevel="1"/>
    <row r="618" outlineLevel="1"/>
    <row r="619" outlineLevel="1"/>
    <row r="620" outlineLevel="1"/>
    <row r="621" outlineLevel="1"/>
    <row r="622" outlineLevel="1"/>
    <row r="623" outlineLevel="1"/>
    <row r="624" outlineLevel="1"/>
    <row r="625" outlineLevel="1"/>
    <row r="626" outlineLevel="1"/>
    <row r="627" outlineLevel="1"/>
    <row r="628" outlineLevel="1"/>
    <row r="629" outlineLevel="1"/>
    <row r="630" outlineLevel="1"/>
    <row r="631" outlineLevel="1"/>
    <row r="632" outlineLevel="1"/>
    <row r="633" outlineLevel="1"/>
    <row r="634" outlineLevel="1"/>
    <row r="635" outlineLevel="1"/>
    <row r="636" outlineLevel="1"/>
    <row r="637" outlineLevel="1"/>
    <row r="638" outlineLevel="1"/>
    <row r="639" outlineLevel="1"/>
    <row r="640" outlineLevel="1"/>
    <row r="641" outlineLevel="1"/>
    <row r="642" outlineLevel="1"/>
    <row r="643" outlineLevel="1"/>
    <row r="644" outlineLevel="1"/>
    <row r="645" outlineLevel="1"/>
    <row r="646" outlineLevel="1"/>
    <row r="647" outlineLevel="1"/>
    <row r="648" outlineLevel="1"/>
    <row r="649" outlineLevel="1"/>
    <row r="650" outlineLevel="1"/>
    <row r="651" outlineLevel="1"/>
    <row r="652" outlineLevel="1"/>
    <row r="653" outlineLevel="1"/>
    <row r="654" outlineLevel="1"/>
    <row r="655" outlineLevel="1"/>
    <row r="656" outlineLevel="1"/>
    <row r="657" outlineLevel="1"/>
    <row r="658" outlineLevel="1"/>
    <row r="659" outlineLevel="1"/>
    <row r="660" outlineLevel="1"/>
    <row r="661" outlineLevel="1"/>
    <row r="662" outlineLevel="1"/>
    <row r="663" outlineLevel="1"/>
    <row r="664" outlineLevel="1"/>
    <row r="665" outlineLevel="1"/>
    <row r="666" outlineLevel="1"/>
    <row r="667" outlineLevel="1"/>
    <row r="668" outlineLevel="1"/>
    <row r="669" outlineLevel="1"/>
    <row r="670" outlineLevel="1"/>
    <row r="671" outlineLevel="1"/>
    <row r="672" outlineLevel="1"/>
    <row r="673" outlineLevel="1"/>
    <row r="674" outlineLevel="1"/>
    <row r="675" outlineLevel="1"/>
    <row r="676" outlineLevel="1"/>
    <row r="677" outlineLevel="1"/>
    <row r="678" outlineLevel="1"/>
    <row r="679" outlineLevel="1"/>
    <row r="680" outlineLevel="1"/>
    <row r="681" outlineLevel="1"/>
    <row r="753" ht="17.45" customHeight="1"/>
  </sheetData>
  <mergeCells count="33">
    <mergeCell ref="AJ18:AN18"/>
    <mergeCell ref="AJ19:AN19"/>
    <mergeCell ref="L30:L31"/>
    <mergeCell ref="B35:L35"/>
    <mergeCell ref="AB60:AB63"/>
    <mergeCell ref="AC60:AC63"/>
    <mergeCell ref="AJ38:AN38"/>
    <mergeCell ref="AJ39:AN39"/>
    <mergeCell ref="AJ40:AN40"/>
    <mergeCell ref="AF54:AF63"/>
    <mergeCell ref="AE56:AE63"/>
    <mergeCell ref="AD57:AD63"/>
    <mergeCell ref="B36:E36"/>
    <mergeCell ref="F36:H36"/>
    <mergeCell ref="I36:L36"/>
    <mergeCell ref="Y2:AG2"/>
    <mergeCell ref="Q3:R3"/>
    <mergeCell ref="S3:T3"/>
    <mergeCell ref="Y3:AG3"/>
    <mergeCell ref="Y4:AG4"/>
    <mergeCell ref="Y5:AA5"/>
    <mergeCell ref="AB5:AC5"/>
    <mergeCell ref="AD5:AE5"/>
    <mergeCell ref="AF5:AG5"/>
    <mergeCell ref="Y6:AA6"/>
    <mergeCell ref="A1:K1"/>
    <mergeCell ref="M1:W1"/>
    <mergeCell ref="B2:D2"/>
    <mergeCell ref="E2:H2"/>
    <mergeCell ref="I2:K2"/>
    <mergeCell ref="N2:P2"/>
    <mergeCell ref="Q2:T2"/>
    <mergeCell ref="U2:W2"/>
  </mergeCells>
  <dataValidations count="2">
    <dataValidation type="list" allowBlank="1" showInputMessage="1" showErrorMessage="1" sqref="R40" xr:uid="{42992F7F-1D60-4D2A-95EE-9AD46E60A94C}">
      <formula1>$R$33:$T$33</formula1>
    </dataValidation>
    <dataValidation type="list" allowBlank="1" showInputMessage="1" showErrorMessage="1" sqref="Q40" xr:uid="{1048088F-7352-4434-8FE5-D581B1185AF2}">
      <formula1>INDIRECT(R40)</formula1>
    </dataValidation>
  </dataValidations>
  <hyperlinks>
    <hyperlink ref="L30:L31" location="Index!A1" display="Index" xr:uid="{6B0A95A1-7EC3-4DAA-ACE0-D4A80EE0C44A}"/>
  </hyperlinks>
  <pageMargins left="0.7" right="0.7" top="0.75" bottom="0.75" header="0.3" footer="0.3"/>
  <pageSetup orientation="portrait" horizontalDpi="300" verticalDpi="300"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D79EE-CBFB-43C8-8920-3EC9857FF506}">
  <sheetPr codeName="Sheet9"/>
  <dimension ref="B1:AC34"/>
  <sheetViews>
    <sheetView showGridLines="0" zoomScale="75" zoomScaleNormal="75" workbookViewId="0">
      <pane xSplit="2" ySplit="4" topLeftCell="C5" activePane="bottomRight" state="frozen"/>
      <selection pane="bottomRight" activeCell="C5" sqref="C5"/>
      <selection pane="bottomLeft" activeCell="A4" sqref="A4"/>
      <selection pane="topRight" activeCell="C1" sqref="C1"/>
    </sheetView>
  </sheetViews>
  <sheetFormatPr defaultRowHeight="15"/>
  <cols>
    <col min="1" max="1" width="2.140625" customWidth="1"/>
    <col min="3" max="13" width="14.7109375" customWidth="1"/>
    <col min="14" max="16" width="14.7109375" style="6" customWidth="1"/>
    <col min="17" max="17" width="14.7109375" customWidth="1"/>
    <col min="18" max="18" width="64.7109375" customWidth="1"/>
    <col min="19" max="19" width="14.7109375" customWidth="1"/>
    <col min="20" max="20" width="19.42578125" bestFit="1" customWidth="1"/>
    <col min="22" max="22" width="17.28515625" bestFit="1" customWidth="1"/>
    <col min="23" max="23" width="10.28515625" bestFit="1" customWidth="1"/>
    <col min="24" max="24" width="12.7109375" bestFit="1" customWidth="1"/>
    <col min="26" max="26" width="17.28515625" bestFit="1" customWidth="1"/>
    <col min="27" max="27" width="6.28515625" bestFit="1" customWidth="1"/>
    <col min="28" max="28" width="12.7109375" bestFit="1" customWidth="1"/>
    <col min="30" max="30" width="17.28515625" bestFit="1" customWidth="1"/>
    <col min="33" max="33" width="10.28515625" bestFit="1" customWidth="1"/>
  </cols>
  <sheetData>
    <row r="1" spans="2:29" ht="18.75">
      <c r="B1" s="59">
        <f>Summary!$C$1</f>
        <v>0</v>
      </c>
      <c r="C1" s="60"/>
      <c r="D1" s="60"/>
      <c r="E1" s="60"/>
      <c r="F1" s="60"/>
      <c r="G1" s="60"/>
      <c r="H1" s="60"/>
      <c r="I1" s="60"/>
      <c r="J1" s="60"/>
      <c r="K1" s="60"/>
      <c r="L1" s="60"/>
      <c r="M1" s="28"/>
      <c r="N1" s="61"/>
      <c r="O1" s="61"/>
      <c r="P1" s="61"/>
      <c r="Q1" s="62"/>
      <c r="R1" s="60"/>
      <c r="S1" s="60"/>
      <c r="T1" s="60"/>
      <c r="U1" s="60"/>
      <c r="V1" s="60"/>
      <c r="W1" s="60"/>
    </row>
    <row r="2" spans="2:29">
      <c r="B2" s="727" t="s">
        <v>871</v>
      </c>
      <c r="C2" s="133"/>
      <c r="D2" s="133"/>
      <c r="E2" s="133"/>
      <c r="F2" s="133"/>
      <c r="G2" s="133"/>
      <c r="H2" s="133"/>
      <c r="I2" s="133"/>
      <c r="J2" s="133"/>
      <c r="K2" s="133"/>
      <c r="L2" s="133"/>
      <c r="M2" s="133"/>
      <c r="N2" s="728"/>
      <c r="O2" s="728"/>
      <c r="P2" s="728"/>
      <c r="Q2" s="133"/>
      <c r="R2" s="133"/>
    </row>
    <row r="3" spans="2:29">
      <c r="B3" s="126"/>
      <c r="I3" s="923" t="s">
        <v>872</v>
      </c>
      <c r="J3" s="924"/>
      <c r="K3" s="75"/>
      <c r="L3" s="78" t="s">
        <v>873</v>
      </c>
      <c r="M3" s="79">
        <v>0.2</v>
      </c>
      <c r="N3" s="17"/>
      <c r="O3" s="17"/>
      <c r="P3" s="17"/>
      <c r="Z3" s="150" t="s">
        <v>874</v>
      </c>
      <c r="AA3" s="60"/>
      <c r="AB3" s="75" t="s">
        <v>140</v>
      </c>
      <c r="AC3" s="256">
        <v>25</v>
      </c>
    </row>
    <row r="4" spans="2:29" s="1" customFormat="1">
      <c r="B4" s="7" t="s">
        <v>212</v>
      </c>
      <c r="C4" s="7" t="s">
        <v>617</v>
      </c>
      <c r="D4" s="7" t="s">
        <v>875</v>
      </c>
      <c r="E4" s="7" t="s">
        <v>24</v>
      </c>
      <c r="F4" s="7" t="s">
        <v>876</v>
      </c>
      <c r="G4" s="7" t="s">
        <v>621</v>
      </c>
      <c r="H4" s="7" t="s">
        <v>877</v>
      </c>
      <c r="I4" s="7" t="s">
        <v>878</v>
      </c>
      <c r="J4" s="7" t="s">
        <v>879</v>
      </c>
      <c r="K4" s="7" t="s">
        <v>880</v>
      </c>
      <c r="L4" s="7" t="s">
        <v>624</v>
      </c>
      <c r="M4" s="7" t="s">
        <v>421</v>
      </c>
      <c r="N4" s="7" t="s">
        <v>881</v>
      </c>
      <c r="O4" s="7" t="s">
        <v>882</v>
      </c>
      <c r="P4" s="30" t="s">
        <v>883</v>
      </c>
      <c r="Q4" s="85" t="s">
        <v>568</v>
      </c>
      <c r="R4" s="7" t="s">
        <v>39</v>
      </c>
      <c r="T4" s="724" t="s">
        <v>884</v>
      </c>
      <c r="V4" s="35" t="s">
        <v>885</v>
      </c>
      <c r="W4" s="35" t="s">
        <v>379</v>
      </c>
      <c r="X4" s="162" t="s">
        <v>886</v>
      </c>
      <c r="Z4" s="215" t="s">
        <v>885</v>
      </c>
      <c r="AA4" s="446" t="s">
        <v>253</v>
      </c>
      <c r="AB4" s="446" t="s">
        <v>261</v>
      </c>
      <c r="AC4" s="460" t="s">
        <v>887</v>
      </c>
    </row>
    <row r="5" spans="2:29">
      <c r="B5" s="11">
        <v>1</v>
      </c>
      <c r="C5" s="37"/>
      <c r="D5" s="37"/>
      <c r="E5" s="37"/>
      <c r="F5" s="37"/>
      <c r="G5" s="82"/>
      <c r="H5" s="83"/>
      <c r="I5" s="725"/>
      <c r="J5" s="729"/>
      <c r="K5" s="731" t="str">
        <f>IF(E5="","",IF(I5="x",$T$5,IF(J5="x",$T$7,0)))</f>
        <v/>
      </c>
      <c r="L5" s="26" t="str">
        <f>IF(E5="","",SUM(G5:H5)*$M$3)</f>
        <v/>
      </c>
      <c r="M5" s="737" t="str">
        <f>IF(E5="","",SUM(G5:H5)+SUM(K5:L5))</f>
        <v/>
      </c>
      <c r="N5" s="80"/>
      <c r="O5" s="739" t="str">
        <f t="shared" ref="O5:O29" si="0">IFERROR(INDEX($AA$5:$AC$15,MATCH($E5,$Z$5:$Z$15,0),MATCH($F5,$AA$4:$AC$4,0))*$AC$3,"")</f>
        <v/>
      </c>
      <c r="P5" s="736" t="str">
        <f>IF(E5="","",IF(N5&gt;0,N5,O5))</f>
        <v/>
      </c>
      <c r="Q5" s="86" t="str">
        <f>IF(C5="","",M5+P5)</f>
        <v/>
      </c>
      <c r="R5" s="13"/>
      <c r="T5" s="219">
        <v>100</v>
      </c>
      <c r="V5" s="724" t="s">
        <v>888</v>
      </c>
      <c r="W5" s="195" t="s">
        <v>253</v>
      </c>
      <c r="X5" s="459" t="s">
        <v>448</v>
      </c>
      <c r="Z5" s="621" t="s">
        <v>888</v>
      </c>
      <c r="AA5" s="499">
        <f>1500/25</f>
        <v>60</v>
      </c>
      <c r="AB5" s="499">
        <f>2500/25</f>
        <v>100</v>
      </c>
      <c r="AC5" s="741">
        <f>3500/25</f>
        <v>140</v>
      </c>
    </row>
    <row r="6" spans="2:29">
      <c r="B6" s="14">
        <f>1+B5</f>
        <v>2</v>
      </c>
      <c r="C6" s="37"/>
      <c r="D6" s="37"/>
      <c r="E6" s="37"/>
      <c r="F6" s="37"/>
      <c r="G6" s="82"/>
      <c r="H6" s="83"/>
      <c r="I6" s="725"/>
      <c r="J6" s="729"/>
      <c r="K6" s="732" t="str">
        <f t="shared" ref="K6:K29" si="1">IF(E6="","",IF(I6="x",$T$5,IF(J6="x",$T$7,0)))</f>
        <v/>
      </c>
      <c r="L6" s="26" t="str">
        <f t="shared" ref="L6:L29" si="2">IF(E6="","",SUM(G6:H6)*$M$3)</f>
        <v/>
      </c>
      <c r="M6" s="738" t="str">
        <f t="shared" ref="M6:M29" si="3">IF(E6="","",SUM(G6:H6)+SUM(K6:L6))</f>
        <v/>
      </c>
      <c r="N6" s="80"/>
      <c r="O6" s="739" t="str">
        <f t="shared" si="0"/>
        <v/>
      </c>
      <c r="P6" s="734" t="str">
        <f t="shared" ref="P6:P29" si="4">IF(E6="","",IF(N6&gt;0,N6,O6))</f>
        <v/>
      </c>
      <c r="Q6" s="86" t="str">
        <f t="shared" ref="Q6:Q29" si="5">IF(C6="","",M6+P6)</f>
        <v/>
      </c>
      <c r="R6" s="15"/>
      <c r="T6" s="724" t="s">
        <v>889</v>
      </c>
      <c r="V6" s="208" t="s">
        <v>890</v>
      </c>
      <c r="W6" s="195" t="s">
        <v>261</v>
      </c>
      <c r="X6" s="255"/>
      <c r="Z6" s="621" t="s">
        <v>890</v>
      </c>
      <c r="AA6" s="499">
        <f>200/25</f>
        <v>8</v>
      </c>
      <c r="AB6" s="499">
        <f>250/25</f>
        <v>10</v>
      </c>
      <c r="AC6" s="741">
        <f>350/25</f>
        <v>14</v>
      </c>
    </row>
    <row r="7" spans="2:29">
      <c r="B7" s="14">
        <f>1+B6</f>
        <v>3</v>
      </c>
      <c r="C7" s="37"/>
      <c r="D7" s="37"/>
      <c r="E7" s="37"/>
      <c r="F7" s="37"/>
      <c r="G7" s="82"/>
      <c r="H7" s="83"/>
      <c r="I7" s="725"/>
      <c r="J7" s="729"/>
      <c r="K7" s="732" t="str">
        <f t="shared" si="1"/>
        <v/>
      </c>
      <c r="L7" s="26" t="str">
        <f t="shared" si="2"/>
        <v/>
      </c>
      <c r="M7" s="738" t="str">
        <f t="shared" si="3"/>
        <v/>
      </c>
      <c r="N7" s="80"/>
      <c r="O7" s="739" t="str">
        <f t="shared" si="0"/>
        <v/>
      </c>
      <c r="P7" s="734" t="str">
        <f t="shared" si="4"/>
        <v/>
      </c>
      <c r="Q7" s="86" t="str">
        <f t="shared" si="5"/>
        <v/>
      </c>
      <c r="R7" s="15"/>
      <c r="T7" s="219">
        <v>200</v>
      </c>
      <c r="V7" s="195" t="s">
        <v>891</v>
      </c>
      <c r="W7" s="196" t="s">
        <v>887</v>
      </c>
      <c r="Z7" s="621" t="s">
        <v>891</v>
      </c>
      <c r="AA7" s="499">
        <f>125/25</f>
        <v>5</v>
      </c>
      <c r="AB7" s="499">
        <f>150/25</f>
        <v>6</v>
      </c>
      <c r="AC7" s="741">
        <f>175/25</f>
        <v>7</v>
      </c>
    </row>
    <row r="8" spans="2:29">
      <c r="B8" s="14">
        <f t="shared" ref="B8:B29" si="6">1+B7</f>
        <v>4</v>
      </c>
      <c r="C8" s="37"/>
      <c r="D8" s="37"/>
      <c r="E8" s="37"/>
      <c r="F8" s="37"/>
      <c r="G8" s="82"/>
      <c r="H8" s="83"/>
      <c r="I8" s="725"/>
      <c r="J8" s="729"/>
      <c r="K8" s="732" t="str">
        <f t="shared" si="1"/>
        <v/>
      </c>
      <c r="L8" s="26" t="str">
        <f t="shared" si="2"/>
        <v/>
      </c>
      <c r="M8" s="738" t="str">
        <f t="shared" si="3"/>
        <v/>
      </c>
      <c r="N8" s="80"/>
      <c r="O8" s="739" t="str">
        <f t="shared" si="0"/>
        <v/>
      </c>
      <c r="P8" s="734" t="str">
        <f t="shared" si="4"/>
        <v/>
      </c>
      <c r="Q8" s="86" t="str">
        <f t="shared" si="5"/>
        <v/>
      </c>
      <c r="R8" s="15"/>
      <c r="V8" s="195" t="s">
        <v>892</v>
      </c>
      <c r="W8" s="1"/>
      <c r="Z8" s="621" t="s">
        <v>892</v>
      </c>
      <c r="AA8" s="499">
        <f>225/25</f>
        <v>9</v>
      </c>
      <c r="AB8" s="499">
        <f>275/25</f>
        <v>11</v>
      </c>
      <c r="AC8" s="741">
        <f>350/25</f>
        <v>14</v>
      </c>
    </row>
    <row r="9" spans="2:29">
      <c r="B9" s="14">
        <f t="shared" si="6"/>
        <v>5</v>
      </c>
      <c r="C9" s="37"/>
      <c r="D9" s="37"/>
      <c r="E9" s="37"/>
      <c r="F9" s="37"/>
      <c r="G9" s="82"/>
      <c r="H9" s="83"/>
      <c r="I9" s="725"/>
      <c r="J9" s="729"/>
      <c r="K9" s="732" t="str">
        <f t="shared" si="1"/>
        <v/>
      </c>
      <c r="L9" s="26" t="str">
        <f t="shared" si="2"/>
        <v/>
      </c>
      <c r="M9" s="738" t="str">
        <f t="shared" si="3"/>
        <v/>
      </c>
      <c r="N9" s="80"/>
      <c r="O9" s="739" t="str">
        <f t="shared" si="0"/>
        <v/>
      </c>
      <c r="P9" s="734" t="str">
        <f t="shared" si="4"/>
        <v/>
      </c>
      <c r="Q9" s="86" t="str">
        <f t="shared" si="5"/>
        <v/>
      </c>
      <c r="R9" s="15"/>
      <c r="V9" s="195" t="s">
        <v>893</v>
      </c>
      <c r="W9" s="1"/>
      <c r="Z9" s="621" t="s">
        <v>893</v>
      </c>
      <c r="AA9" s="499">
        <f>250/25</f>
        <v>10</v>
      </c>
      <c r="AB9" s="499">
        <f>350/25</f>
        <v>14</v>
      </c>
      <c r="AC9" s="741">
        <f>500/25</f>
        <v>20</v>
      </c>
    </row>
    <row r="10" spans="2:29">
      <c r="B10" s="14">
        <f t="shared" si="6"/>
        <v>6</v>
      </c>
      <c r="C10" s="37"/>
      <c r="D10" s="37"/>
      <c r="E10" s="37"/>
      <c r="F10" s="37"/>
      <c r="G10" s="82"/>
      <c r="H10" s="83"/>
      <c r="I10" s="725"/>
      <c r="J10" s="729"/>
      <c r="K10" s="732" t="str">
        <f t="shared" si="1"/>
        <v/>
      </c>
      <c r="L10" s="26" t="str">
        <f t="shared" si="2"/>
        <v/>
      </c>
      <c r="M10" s="738" t="str">
        <f t="shared" si="3"/>
        <v/>
      </c>
      <c r="N10" s="80"/>
      <c r="O10" s="739" t="str">
        <f t="shared" si="0"/>
        <v/>
      </c>
      <c r="P10" s="734" t="str">
        <f t="shared" si="4"/>
        <v/>
      </c>
      <c r="Q10" s="86" t="str">
        <f t="shared" si="5"/>
        <v/>
      </c>
      <c r="R10" s="15"/>
      <c r="V10" s="195" t="s">
        <v>894</v>
      </c>
      <c r="W10" s="1"/>
      <c r="Z10" s="621" t="s">
        <v>894</v>
      </c>
      <c r="AA10" s="499">
        <f>300/25</f>
        <v>12</v>
      </c>
      <c r="AB10" s="499">
        <f>400/25</f>
        <v>16</v>
      </c>
      <c r="AC10" s="741">
        <f>1200/25</f>
        <v>48</v>
      </c>
    </row>
    <row r="11" spans="2:29">
      <c r="B11" s="14">
        <f t="shared" si="6"/>
        <v>7</v>
      </c>
      <c r="C11" s="37"/>
      <c r="D11" s="37"/>
      <c r="E11" s="37"/>
      <c r="F11" s="37"/>
      <c r="G11" s="82"/>
      <c r="H11" s="83"/>
      <c r="I11" s="725"/>
      <c r="J11" s="729"/>
      <c r="K11" s="732" t="str">
        <f t="shared" si="1"/>
        <v/>
      </c>
      <c r="L11" s="26" t="str">
        <f t="shared" si="2"/>
        <v/>
      </c>
      <c r="M11" s="738" t="str">
        <f t="shared" si="3"/>
        <v/>
      </c>
      <c r="N11" s="80"/>
      <c r="O11" s="739" t="str">
        <f t="shared" si="0"/>
        <v/>
      </c>
      <c r="P11" s="734" t="str">
        <f t="shared" si="4"/>
        <v/>
      </c>
      <c r="Q11" s="86" t="str">
        <f t="shared" si="5"/>
        <v/>
      </c>
      <c r="R11" s="15"/>
      <c r="V11" s="195" t="s">
        <v>623</v>
      </c>
      <c r="W11" s="1"/>
      <c r="Z11" s="621" t="s">
        <v>623</v>
      </c>
      <c r="AC11" s="532"/>
    </row>
    <row r="12" spans="2:29">
      <c r="B12" s="14">
        <f t="shared" si="6"/>
        <v>8</v>
      </c>
      <c r="C12" s="37"/>
      <c r="D12" s="37"/>
      <c r="E12" s="37"/>
      <c r="F12" s="37"/>
      <c r="G12" s="82"/>
      <c r="H12" s="83"/>
      <c r="I12" s="725"/>
      <c r="J12" s="729"/>
      <c r="K12" s="732" t="str">
        <f t="shared" si="1"/>
        <v/>
      </c>
      <c r="L12" s="26" t="str">
        <f t="shared" si="2"/>
        <v/>
      </c>
      <c r="M12" s="738" t="str">
        <f t="shared" si="3"/>
        <v/>
      </c>
      <c r="N12" s="80"/>
      <c r="O12" s="739" t="str">
        <f t="shared" si="0"/>
        <v/>
      </c>
      <c r="P12" s="734" t="str">
        <f t="shared" si="4"/>
        <v/>
      </c>
      <c r="Q12" s="86" t="str">
        <f t="shared" si="5"/>
        <v/>
      </c>
      <c r="R12" s="15"/>
      <c r="V12" s="208"/>
      <c r="W12" s="1"/>
      <c r="Z12" s="621"/>
      <c r="AC12" s="532"/>
    </row>
    <row r="13" spans="2:29">
      <c r="B13" s="14">
        <f t="shared" si="6"/>
        <v>9</v>
      </c>
      <c r="C13" s="37"/>
      <c r="D13" s="37"/>
      <c r="E13" s="37"/>
      <c r="F13" s="37"/>
      <c r="G13" s="82"/>
      <c r="H13" s="83"/>
      <c r="I13" s="725"/>
      <c r="J13" s="729"/>
      <c r="K13" s="732" t="str">
        <f t="shared" si="1"/>
        <v/>
      </c>
      <c r="L13" s="26" t="str">
        <f t="shared" si="2"/>
        <v/>
      </c>
      <c r="M13" s="738" t="str">
        <f t="shared" si="3"/>
        <v/>
      </c>
      <c r="N13" s="80"/>
      <c r="O13" s="739" t="str">
        <f t="shared" si="0"/>
        <v/>
      </c>
      <c r="P13" s="734" t="str">
        <f t="shared" si="4"/>
        <v/>
      </c>
      <c r="Q13" s="86" t="str">
        <f t="shared" si="5"/>
        <v/>
      </c>
      <c r="R13" s="15"/>
      <c r="V13" s="208"/>
      <c r="Z13" s="621"/>
      <c r="AC13" s="532"/>
    </row>
    <row r="14" spans="2:29">
      <c r="B14" s="14">
        <f t="shared" si="6"/>
        <v>10</v>
      </c>
      <c r="C14" s="37"/>
      <c r="D14" s="37"/>
      <c r="E14" s="37"/>
      <c r="F14" s="37"/>
      <c r="G14" s="82"/>
      <c r="H14" s="83"/>
      <c r="I14" s="725"/>
      <c r="J14" s="729"/>
      <c r="K14" s="732" t="str">
        <f t="shared" si="1"/>
        <v/>
      </c>
      <c r="L14" s="26" t="str">
        <f t="shared" si="2"/>
        <v/>
      </c>
      <c r="M14" s="738" t="str">
        <f t="shared" si="3"/>
        <v/>
      </c>
      <c r="N14" s="80"/>
      <c r="O14" s="739" t="str">
        <f t="shared" si="0"/>
        <v/>
      </c>
      <c r="P14" s="734" t="str">
        <f t="shared" si="4"/>
        <v/>
      </c>
      <c r="Q14" s="86" t="str">
        <f t="shared" si="5"/>
        <v/>
      </c>
      <c r="R14" s="15"/>
      <c r="V14" s="208"/>
      <c r="Z14" s="621"/>
      <c r="AC14" s="532"/>
    </row>
    <row r="15" spans="2:29">
      <c r="B15" s="14">
        <f t="shared" si="6"/>
        <v>11</v>
      </c>
      <c r="C15" s="37"/>
      <c r="D15" s="37"/>
      <c r="E15" s="37"/>
      <c r="F15" s="37"/>
      <c r="G15" s="82"/>
      <c r="H15" s="83"/>
      <c r="I15" s="725"/>
      <c r="J15" s="729"/>
      <c r="K15" s="732" t="str">
        <f t="shared" si="1"/>
        <v/>
      </c>
      <c r="L15" s="26" t="str">
        <f t="shared" si="2"/>
        <v/>
      </c>
      <c r="M15" s="738" t="str">
        <f t="shared" si="3"/>
        <v/>
      </c>
      <c r="N15" s="80"/>
      <c r="O15" s="739" t="str">
        <f t="shared" si="0"/>
        <v/>
      </c>
      <c r="P15" s="734" t="str">
        <f t="shared" si="4"/>
        <v/>
      </c>
      <c r="Q15" s="86" t="str">
        <f t="shared" si="5"/>
        <v/>
      </c>
      <c r="R15" s="15"/>
      <c r="V15" s="115"/>
      <c r="Z15" s="123"/>
      <c r="AA15" s="64"/>
      <c r="AB15" s="64"/>
      <c r="AC15" s="255"/>
    </row>
    <row r="16" spans="2:29">
      <c r="B16" s="14">
        <f t="shared" si="6"/>
        <v>12</v>
      </c>
      <c r="C16" s="37"/>
      <c r="D16" s="37"/>
      <c r="E16" s="37"/>
      <c r="F16" s="37"/>
      <c r="G16" s="82"/>
      <c r="H16" s="83"/>
      <c r="I16" s="725"/>
      <c r="J16" s="729"/>
      <c r="K16" s="732" t="str">
        <f t="shared" si="1"/>
        <v/>
      </c>
      <c r="L16" s="26" t="str">
        <f t="shared" si="2"/>
        <v/>
      </c>
      <c r="M16" s="738" t="str">
        <f t="shared" si="3"/>
        <v/>
      </c>
      <c r="N16" s="80"/>
      <c r="O16" s="739" t="str">
        <f t="shared" si="0"/>
        <v/>
      </c>
      <c r="P16" s="734" t="str">
        <f t="shared" si="4"/>
        <v/>
      </c>
      <c r="Q16" s="86" t="str">
        <f t="shared" si="5"/>
        <v/>
      </c>
      <c r="R16" s="15"/>
    </row>
    <row r="17" spans="2:18">
      <c r="B17" s="14">
        <f t="shared" si="6"/>
        <v>13</v>
      </c>
      <c r="C17" s="37"/>
      <c r="D17" s="37"/>
      <c r="E17" s="37"/>
      <c r="F17" s="37"/>
      <c r="G17" s="82"/>
      <c r="H17" s="83"/>
      <c r="I17" s="725"/>
      <c r="J17" s="729"/>
      <c r="K17" s="732" t="str">
        <f t="shared" si="1"/>
        <v/>
      </c>
      <c r="L17" s="26" t="str">
        <f t="shared" si="2"/>
        <v/>
      </c>
      <c r="M17" s="738" t="str">
        <f t="shared" si="3"/>
        <v/>
      </c>
      <c r="N17" s="80"/>
      <c r="O17" s="739" t="str">
        <f t="shared" si="0"/>
        <v/>
      </c>
      <c r="P17" s="734" t="str">
        <f t="shared" si="4"/>
        <v/>
      </c>
      <c r="Q17" s="86" t="str">
        <f t="shared" si="5"/>
        <v/>
      </c>
      <c r="R17" s="15"/>
    </row>
    <row r="18" spans="2:18">
      <c r="B18" s="14">
        <f t="shared" si="6"/>
        <v>14</v>
      </c>
      <c r="C18" s="37"/>
      <c r="D18" s="37"/>
      <c r="E18" s="37"/>
      <c r="F18" s="37"/>
      <c r="G18" s="82"/>
      <c r="H18" s="83"/>
      <c r="I18" s="725"/>
      <c r="J18" s="729"/>
      <c r="K18" s="732" t="str">
        <f t="shared" si="1"/>
        <v/>
      </c>
      <c r="L18" s="26" t="str">
        <f t="shared" si="2"/>
        <v/>
      </c>
      <c r="M18" s="738" t="str">
        <f t="shared" si="3"/>
        <v/>
      </c>
      <c r="N18" s="80"/>
      <c r="O18" s="739" t="str">
        <f t="shared" si="0"/>
        <v/>
      </c>
      <c r="P18" s="734" t="str">
        <f t="shared" si="4"/>
        <v/>
      </c>
      <c r="Q18" s="86" t="str">
        <f t="shared" si="5"/>
        <v/>
      </c>
      <c r="R18" s="15"/>
    </row>
    <row r="19" spans="2:18">
      <c r="B19" s="14">
        <f t="shared" si="6"/>
        <v>15</v>
      </c>
      <c r="C19" s="37"/>
      <c r="D19" s="37"/>
      <c r="E19" s="37"/>
      <c r="F19" s="37"/>
      <c r="G19" s="82"/>
      <c r="H19" s="83"/>
      <c r="I19" s="725"/>
      <c r="J19" s="729"/>
      <c r="K19" s="732" t="str">
        <f t="shared" si="1"/>
        <v/>
      </c>
      <c r="L19" s="26" t="str">
        <f t="shared" si="2"/>
        <v/>
      </c>
      <c r="M19" s="738" t="str">
        <f t="shared" si="3"/>
        <v/>
      </c>
      <c r="N19" s="80"/>
      <c r="O19" s="739" t="str">
        <f t="shared" si="0"/>
        <v/>
      </c>
      <c r="P19" s="734" t="str">
        <f t="shared" si="4"/>
        <v/>
      </c>
      <c r="Q19" s="86" t="str">
        <f t="shared" si="5"/>
        <v/>
      </c>
      <c r="R19" s="15"/>
    </row>
    <row r="20" spans="2:18">
      <c r="B20" s="14">
        <f t="shared" si="6"/>
        <v>16</v>
      </c>
      <c r="C20" s="37"/>
      <c r="D20" s="37"/>
      <c r="E20" s="37"/>
      <c r="F20" s="37"/>
      <c r="G20" s="82"/>
      <c r="H20" s="83"/>
      <c r="I20" s="725"/>
      <c r="J20" s="729"/>
      <c r="K20" s="732" t="str">
        <f t="shared" si="1"/>
        <v/>
      </c>
      <c r="L20" s="26" t="str">
        <f t="shared" si="2"/>
        <v/>
      </c>
      <c r="M20" s="738" t="str">
        <f t="shared" si="3"/>
        <v/>
      </c>
      <c r="N20" s="80"/>
      <c r="O20" s="739" t="str">
        <f t="shared" si="0"/>
        <v/>
      </c>
      <c r="P20" s="734" t="str">
        <f t="shared" si="4"/>
        <v/>
      </c>
      <c r="Q20" s="86" t="str">
        <f t="shared" si="5"/>
        <v/>
      </c>
      <c r="R20" s="15"/>
    </row>
    <row r="21" spans="2:18">
      <c r="B21" s="14">
        <f t="shared" si="6"/>
        <v>17</v>
      </c>
      <c r="C21" s="37"/>
      <c r="D21" s="37"/>
      <c r="E21" s="37"/>
      <c r="F21" s="37"/>
      <c r="G21" s="82"/>
      <c r="H21" s="83"/>
      <c r="I21" s="725"/>
      <c r="J21" s="729"/>
      <c r="K21" s="732" t="str">
        <f t="shared" si="1"/>
        <v/>
      </c>
      <c r="L21" s="26" t="str">
        <f t="shared" si="2"/>
        <v/>
      </c>
      <c r="M21" s="738" t="str">
        <f t="shared" si="3"/>
        <v/>
      </c>
      <c r="N21" s="80"/>
      <c r="O21" s="739" t="str">
        <f t="shared" si="0"/>
        <v/>
      </c>
      <c r="P21" s="734" t="str">
        <f t="shared" si="4"/>
        <v/>
      </c>
      <c r="Q21" s="86" t="str">
        <f t="shared" si="5"/>
        <v/>
      </c>
      <c r="R21" s="15"/>
    </row>
    <row r="22" spans="2:18">
      <c r="B22" s="14">
        <f t="shared" si="6"/>
        <v>18</v>
      </c>
      <c r="C22" s="37"/>
      <c r="D22" s="37"/>
      <c r="E22" s="37"/>
      <c r="F22" s="37"/>
      <c r="G22" s="82"/>
      <c r="H22" s="83"/>
      <c r="I22" s="725"/>
      <c r="J22" s="729"/>
      <c r="K22" s="732" t="str">
        <f t="shared" si="1"/>
        <v/>
      </c>
      <c r="L22" s="26" t="str">
        <f t="shared" si="2"/>
        <v/>
      </c>
      <c r="M22" s="738" t="str">
        <f t="shared" si="3"/>
        <v/>
      </c>
      <c r="N22" s="80"/>
      <c r="O22" s="739" t="str">
        <f t="shared" si="0"/>
        <v/>
      </c>
      <c r="P22" s="734" t="str">
        <f t="shared" si="4"/>
        <v/>
      </c>
      <c r="Q22" s="86" t="str">
        <f t="shared" si="5"/>
        <v/>
      </c>
      <c r="R22" s="15"/>
    </row>
    <row r="23" spans="2:18">
      <c r="B23" s="14">
        <f t="shared" si="6"/>
        <v>19</v>
      </c>
      <c r="C23" s="37"/>
      <c r="D23" s="37"/>
      <c r="E23" s="37"/>
      <c r="F23" s="37"/>
      <c r="G23" s="82"/>
      <c r="H23" s="83"/>
      <c r="I23" s="725"/>
      <c r="J23" s="729"/>
      <c r="K23" s="732" t="str">
        <f t="shared" si="1"/>
        <v/>
      </c>
      <c r="L23" s="26" t="str">
        <f t="shared" si="2"/>
        <v/>
      </c>
      <c r="M23" s="738" t="str">
        <f t="shared" si="3"/>
        <v/>
      </c>
      <c r="N23" s="80"/>
      <c r="O23" s="739" t="str">
        <f t="shared" si="0"/>
        <v/>
      </c>
      <c r="P23" s="734" t="str">
        <f t="shared" si="4"/>
        <v/>
      </c>
      <c r="Q23" s="86" t="str">
        <f t="shared" si="5"/>
        <v/>
      </c>
      <c r="R23" s="15"/>
    </row>
    <row r="24" spans="2:18">
      <c r="B24" s="14">
        <f t="shared" si="6"/>
        <v>20</v>
      </c>
      <c r="C24" s="37"/>
      <c r="D24" s="37"/>
      <c r="E24" s="37"/>
      <c r="F24" s="37"/>
      <c r="G24" s="82"/>
      <c r="H24" s="83"/>
      <c r="I24" s="725"/>
      <c r="J24" s="729"/>
      <c r="K24" s="732" t="str">
        <f t="shared" si="1"/>
        <v/>
      </c>
      <c r="L24" s="26" t="str">
        <f t="shared" si="2"/>
        <v/>
      </c>
      <c r="M24" s="738" t="str">
        <f t="shared" si="3"/>
        <v/>
      </c>
      <c r="N24" s="80"/>
      <c r="O24" s="739" t="str">
        <f t="shared" si="0"/>
        <v/>
      </c>
      <c r="P24" s="734" t="str">
        <f t="shared" si="4"/>
        <v/>
      </c>
      <c r="Q24" s="86" t="str">
        <f t="shared" si="5"/>
        <v/>
      </c>
      <c r="R24" s="15"/>
    </row>
    <row r="25" spans="2:18">
      <c r="B25" s="14">
        <f t="shared" si="6"/>
        <v>21</v>
      </c>
      <c r="C25" s="37"/>
      <c r="D25" s="37"/>
      <c r="E25" s="37"/>
      <c r="F25" s="37"/>
      <c r="G25" s="82"/>
      <c r="H25" s="83"/>
      <c r="I25" s="725"/>
      <c r="J25" s="729"/>
      <c r="K25" s="732" t="str">
        <f t="shared" si="1"/>
        <v/>
      </c>
      <c r="L25" s="26" t="str">
        <f t="shared" si="2"/>
        <v/>
      </c>
      <c r="M25" s="738" t="str">
        <f t="shared" si="3"/>
        <v/>
      </c>
      <c r="N25" s="80"/>
      <c r="O25" s="739" t="str">
        <f t="shared" si="0"/>
        <v/>
      </c>
      <c r="P25" s="734" t="str">
        <f t="shared" si="4"/>
        <v/>
      </c>
      <c r="Q25" s="86" t="str">
        <f t="shared" si="5"/>
        <v/>
      </c>
      <c r="R25" s="15"/>
    </row>
    <row r="26" spans="2:18">
      <c r="B26" s="14">
        <f t="shared" si="6"/>
        <v>22</v>
      </c>
      <c r="C26" s="37"/>
      <c r="D26" s="37"/>
      <c r="E26" s="37"/>
      <c r="F26" s="37"/>
      <c r="G26" s="82"/>
      <c r="H26" s="83"/>
      <c r="I26" s="725"/>
      <c r="J26" s="729"/>
      <c r="K26" s="732" t="str">
        <f t="shared" si="1"/>
        <v/>
      </c>
      <c r="L26" s="26" t="str">
        <f t="shared" si="2"/>
        <v/>
      </c>
      <c r="M26" s="738" t="str">
        <f t="shared" si="3"/>
        <v/>
      </c>
      <c r="N26" s="80"/>
      <c r="O26" s="739" t="str">
        <f t="shared" si="0"/>
        <v/>
      </c>
      <c r="P26" s="734" t="str">
        <f t="shared" si="4"/>
        <v/>
      </c>
      <c r="Q26" s="86" t="str">
        <f t="shared" si="5"/>
        <v/>
      </c>
      <c r="R26" s="15"/>
    </row>
    <row r="27" spans="2:18">
      <c r="B27" s="14">
        <f t="shared" si="6"/>
        <v>23</v>
      </c>
      <c r="C27" s="37"/>
      <c r="D27" s="37"/>
      <c r="E27" s="37"/>
      <c r="F27" s="37"/>
      <c r="G27" s="82"/>
      <c r="H27" s="83"/>
      <c r="I27" s="725"/>
      <c r="J27" s="729"/>
      <c r="K27" s="732" t="str">
        <f t="shared" si="1"/>
        <v/>
      </c>
      <c r="L27" s="26" t="str">
        <f t="shared" si="2"/>
        <v/>
      </c>
      <c r="M27" s="738" t="str">
        <f t="shared" si="3"/>
        <v/>
      </c>
      <c r="N27" s="80"/>
      <c r="O27" s="739" t="str">
        <f t="shared" si="0"/>
        <v/>
      </c>
      <c r="P27" s="734" t="str">
        <f t="shared" si="4"/>
        <v/>
      </c>
      <c r="Q27" s="86" t="str">
        <f t="shared" si="5"/>
        <v/>
      </c>
      <c r="R27" s="15"/>
    </row>
    <row r="28" spans="2:18">
      <c r="B28" s="14">
        <f t="shared" si="6"/>
        <v>24</v>
      </c>
      <c r="C28" s="37"/>
      <c r="D28" s="37"/>
      <c r="E28" s="37"/>
      <c r="F28" s="37"/>
      <c r="G28" s="82"/>
      <c r="H28" s="83"/>
      <c r="I28" s="725"/>
      <c r="J28" s="729"/>
      <c r="K28" s="732" t="str">
        <f t="shared" si="1"/>
        <v/>
      </c>
      <c r="L28" s="26" t="str">
        <f t="shared" si="2"/>
        <v/>
      </c>
      <c r="M28" s="738" t="str">
        <f t="shared" si="3"/>
        <v/>
      </c>
      <c r="N28" s="80"/>
      <c r="O28" s="739" t="str">
        <f t="shared" si="0"/>
        <v/>
      </c>
      <c r="P28" s="734" t="str">
        <f t="shared" si="4"/>
        <v/>
      </c>
      <c r="Q28" s="86" t="str">
        <f t="shared" si="5"/>
        <v/>
      </c>
      <c r="R28" s="15"/>
    </row>
    <row r="29" spans="2:18">
      <c r="B29" s="44">
        <f t="shared" si="6"/>
        <v>25</v>
      </c>
      <c r="C29" s="45"/>
      <c r="D29" s="45"/>
      <c r="E29" s="45"/>
      <c r="F29" s="45"/>
      <c r="G29" s="84"/>
      <c r="H29" s="84"/>
      <c r="I29" s="726"/>
      <c r="J29" s="730"/>
      <c r="K29" s="733" t="str">
        <f t="shared" si="1"/>
        <v/>
      </c>
      <c r="L29" s="47" t="str">
        <f t="shared" si="2"/>
        <v/>
      </c>
      <c r="M29" s="738" t="str">
        <f t="shared" si="3"/>
        <v/>
      </c>
      <c r="N29" s="81"/>
      <c r="O29" s="740" t="str">
        <f t="shared" si="0"/>
        <v/>
      </c>
      <c r="P29" s="735" t="str">
        <f t="shared" si="4"/>
        <v/>
      </c>
      <c r="Q29" s="87" t="str">
        <f t="shared" si="5"/>
        <v/>
      </c>
      <c r="R29" s="51"/>
    </row>
    <row r="30" spans="2:18">
      <c r="B30" s="65" t="s">
        <v>225</v>
      </c>
      <c r="C30" s="60"/>
      <c r="D30" s="75"/>
      <c r="E30" s="75"/>
      <c r="F30" s="75"/>
      <c r="G30" s="29">
        <f t="shared" ref="G30:M30" si="7">SUM(G5:G29)</f>
        <v>0</v>
      </c>
      <c r="H30" s="29">
        <f>SUM(H5:H29)</f>
        <v>0</v>
      </c>
      <c r="I30" s="29">
        <f t="shared" si="7"/>
        <v>0</v>
      </c>
      <c r="J30" s="29">
        <f t="shared" si="7"/>
        <v>0</v>
      </c>
      <c r="K30" s="29">
        <f>SUM(K5:K29)</f>
        <v>0</v>
      </c>
      <c r="L30" s="29">
        <f t="shared" si="7"/>
        <v>0</v>
      </c>
      <c r="M30" s="29">
        <f t="shared" si="7"/>
        <v>0</v>
      </c>
      <c r="N30" s="76">
        <f>+ROUND(SUM(N5:N29),-1)</f>
        <v>0</v>
      </c>
      <c r="O30" s="76">
        <f>SUM(O5:O29)</f>
        <v>0</v>
      </c>
      <c r="P30" s="76">
        <f>SUM(P5:P29)</f>
        <v>0</v>
      </c>
      <c r="Q30" s="88">
        <f>+ROUND(SUM(Q5:Q29),-1)</f>
        <v>0</v>
      </c>
      <c r="R30" s="77"/>
    </row>
    <row r="31" spans="2:18">
      <c r="L31" s="6"/>
      <c r="N31" s="19"/>
      <c r="O31" s="19"/>
      <c r="P31" s="19"/>
      <c r="Q31" s="19"/>
    </row>
    <row r="32" spans="2:18">
      <c r="L32" s="6"/>
      <c r="N32" s="19"/>
      <c r="O32" s="19"/>
      <c r="P32" s="19"/>
    </row>
    <row r="33" spans="5:18">
      <c r="L33" s="6"/>
      <c r="N33" s="19"/>
      <c r="O33" s="19"/>
      <c r="P33" s="19"/>
    </row>
    <row r="34" spans="5:18">
      <c r="E34" s="126"/>
      <c r="F34" s="126"/>
      <c r="H34" s="126"/>
      <c r="N34" s="21"/>
      <c r="O34" s="21"/>
      <c r="P34" s="21"/>
      <c r="R34" s="19"/>
    </row>
  </sheetData>
  <mergeCells count="1">
    <mergeCell ref="I3:J3"/>
  </mergeCells>
  <dataValidations count="3">
    <dataValidation type="list" allowBlank="1" showInputMessage="1" showErrorMessage="1" sqref="I5:J29" xr:uid="{F283E4CB-5525-41B1-BF7B-65649CC377E9}">
      <formula1>$X$5:$X$6</formula1>
    </dataValidation>
    <dataValidation type="list" allowBlank="1" showInputMessage="1" showErrorMessage="1" sqref="E5:E29" xr:uid="{F3960D71-6FDD-4AE8-B53B-9BF8D3D29278}">
      <formula1>$V$5:$V$15</formula1>
    </dataValidation>
    <dataValidation type="list" allowBlank="1" showInputMessage="1" showErrorMessage="1" sqref="F5:F29" xr:uid="{89405ED7-AC02-4BAF-9349-298C05C4143A}">
      <formula1>$W$5:$W$7</formula1>
    </dataValidation>
  </dataValidations>
  <pageMargins left="0.7" right="0.7" top="0.75" bottom="0.75" header="0.3" footer="0.3"/>
  <pageSetup orientation="portrait" horizontalDpi="300" verticalDpi="300"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0EA92-7E67-4EA7-8FE9-B1C705010C86}">
  <dimension ref="B1:AC75"/>
  <sheetViews>
    <sheetView showGridLines="0" zoomScale="75" zoomScaleNormal="75" workbookViewId="0">
      <pane xSplit="2" ySplit="4" topLeftCell="C5" activePane="bottomRight" state="frozen"/>
      <selection pane="bottomRight" activeCell="N5" sqref="N5"/>
      <selection pane="bottomLeft" activeCell="A4" sqref="A4"/>
      <selection pane="topRight" activeCell="C1" sqref="C1"/>
    </sheetView>
  </sheetViews>
  <sheetFormatPr defaultRowHeight="15"/>
  <cols>
    <col min="1" max="1" width="2.140625" customWidth="1"/>
    <col min="3" max="13" width="14.7109375" customWidth="1"/>
    <col min="14" max="16" width="14.7109375" style="6" customWidth="1"/>
    <col min="17" max="17" width="14.7109375" customWidth="1"/>
    <col min="18" max="18" width="64.7109375" customWidth="1"/>
    <col min="19" max="19" width="14.7109375" customWidth="1"/>
    <col min="20" max="20" width="19.42578125" bestFit="1" customWidth="1"/>
    <col min="22" max="22" width="17.28515625" bestFit="1" customWidth="1"/>
    <col min="23" max="23" width="10.28515625" bestFit="1" customWidth="1"/>
    <col min="24" max="24" width="12.7109375" bestFit="1" customWidth="1"/>
    <col min="26" max="26" width="17.28515625" bestFit="1" customWidth="1"/>
    <col min="27" max="27" width="6.28515625" bestFit="1" customWidth="1"/>
    <col min="28" max="28" width="12.7109375" bestFit="1" customWidth="1"/>
    <col min="30" max="30" width="17.28515625" bestFit="1" customWidth="1"/>
    <col min="33" max="33" width="10.28515625" bestFit="1" customWidth="1"/>
  </cols>
  <sheetData>
    <row r="1" spans="2:29" ht="18.75">
      <c r="B1" s="59">
        <f>Summary!$C$1</f>
        <v>0</v>
      </c>
      <c r="C1" s="60"/>
      <c r="D1" s="60"/>
      <c r="E1" s="60"/>
      <c r="F1" s="60"/>
      <c r="G1" s="60"/>
      <c r="H1" s="60"/>
      <c r="I1" s="60"/>
      <c r="J1" s="60"/>
      <c r="K1" s="60"/>
      <c r="L1" s="60"/>
      <c r="M1" s="28"/>
      <c r="N1" s="61"/>
      <c r="O1" s="61"/>
      <c r="P1" s="61"/>
      <c r="Q1" s="62"/>
      <c r="R1" s="60"/>
      <c r="S1" s="60"/>
      <c r="T1" s="60"/>
      <c r="U1" s="60"/>
      <c r="V1" s="60"/>
      <c r="W1" s="60"/>
    </row>
    <row r="2" spans="2:29">
      <c r="B2" s="727" t="s">
        <v>895</v>
      </c>
      <c r="C2" s="133"/>
      <c r="D2" s="133"/>
      <c r="E2" s="133"/>
      <c r="F2" s="133"/>
      <c r="G2" s="133"/>
      <c r="H2" s="133"/>
      <c r="I2" s="133"/>
      <c r="J2" s="133"/>
      <c r="K2" s="133"/>
      <c r="L2" s="133"/>
      <c r="M2" s="133"/>
      <c r="N2" s="728"/>
      <c r="O2" s="728"/>
      <c r="P2" s="728"/>
      <c r="Q2" s="133"/>
      <c r="R2" s="133"/>
    </row>
    <row r="3" spans="2:29">
      <c r="B3" s="126" t="s">
        <v>896</v>
      </c>
      <c r="I3" s="923" t="s">
        <v>872</v>
      </c>
      <c r="J3" s="924"/>
      <c r="K3" s="75"/>
      <c r="L3" s="78" t="s">
        <v>873</v>
      </c>
      <c r="M3" s="79">
        <v>0.2</v>
      </c>
      <c r="N3" s="17"/>
      <c r="O3" s="17"/>
      <c r="P3" s="17"/>
      <c r="Z3" s="150" t="s">
        <v>874</v>
      </c>
      <c r="AA3" s="60"/>
      <c r="AB3" s="75" t="s">
        <v>140</v>
      </c>
      <c r="AC3" s="256">
        <v>25</v>
      </c>
    </row>
    <row r="4" spans="2:29" s="1" customFormat="1">
      <c r="B4" s="7" t="s">
        <v>212</v>
      </c>
      <c r="C4" s="7" t="s">
        <v>617</v>
      </c>
      <c r="D4" s="7" t="s">
        <v>897</v>
      </c>
      <c r="E4" s="7" t="s">
        <v>24</v>
      </c>
      <c r="F4" s="7" t="s">
        <v>876</v>
      </c>
      <c r="G4" s="7" t="s">
        <v>621</v>
      </c>
      <c r="H4" s="7" t="s">
        <v>877</v>
      </c>
      <c r="I4" s="7" t="s">
        <v>878</v>
      </c>
      <c r="J4" s="7" t="s">
        <v>879</v>
      </c>
      <c r="K4" s="7" t="s">
        <v>880</v>
      </c>
      <c r="L4" s="7" t="s">
        <v>624</v>
      </c>
      <c r="M4" s="7" t="s">
        <v>421</v>
      </c>
      <c r="N4" s="7" t="s">
        <v>881</v>
      </c>
      <c r="O4" s="7" t="s">
        <v>882</v>
      </c>
      <c r="P4" s="30" t="s">
        <v>883</v>
      </c>
      <c r="Q4" s="85" t="s">
        <v>568</v>
      </c>
      <c r="R4" s="7" t="s">
        <v>39</v>
      </c>
      <c r="T4" s="724" t="s">
        <v>884</v>
      </c>
      <c r="V4" s="35" t="s">
        <v>898</v>
      </c>
      <c r="W4" s="35" t="s">
        <v>379</v>
      </c>
      <c r="X4" s="162" t="s">
        <v>886</v>
      </c>
      <c r="Z4" s="215" t="s">
        <v>885</v>
      </c>
      <c r="AA4" s="446" t="s">
        <v>253</v>
      </c>
      <c r="AB4" s="446" t="s">
        <v>261</v>
      </c>
      <c r="AC4" s="460" t="s">
        <v>887</v>
      </c>
    </row>
    <row r="5" spans="2:29">
      <c r="B5" s="11">
        <v>1</v>
      </c>
      <c r="C5" s="37"/>
      <c r="D5" s="37"/>
      <c r="E5" s="37" t="s">
        <v>899</v>
      </c>
      <c r="F5" s="37"/>
      <c r="G5" s="82"/>
      <c r="H5" s="83"/>
      <c r="I5" s="742"/>
      <c r="J5" s="729"/>
      <c r="K5" s="731">
        <f>IF(E5="","",IF(I5="x",$T$5,IF(J5="x",$T$7,0)))</f>
        <v>0</v>
      </c>
      <c r="L5" s="26">
        <f>IF(E5="","",SUM(G5:H5)*$M$3)</f>
        <v>0</v>
      </c>
      <c r="M5" s="737">
        <f>IF(E5="","",SUM(G5:H5)+SUM(K5:L5))</f>
        <v>0</v>
      </c>
      <c r="N5" s="80"/>
      <c r="O5" s="739" t="str">
        <f t="shared" ref="O5:O29" si="0">IFERROR(INDEX($AA$5:$AC$15,MATCH($E5,$Z$5:$Z$15,0),MATCH($F5,$AA$4:$AC$4,0))*$AC$3,"")</f>
        <v/>
      </c>
      <c r="P5" s="736" t="str">
        <f>IF(E5="","",IF(N5&gt;0,N5,O5))</f>
        <v/>
      </c>
      <c r="Q5" s="86" t="str">
        <f>IF(C5="","",M5+P5)</f>
        <v/>
      </c>
      <c r="R5" s="13"/>
      <c r="T5" s="219">
        <v>100</v>
      </c>
      <c r="V5" s="724" t="s">
        <v>899</v>
      </c>
      <c r="W5" s="195" t="s">
        <v>253</v>
      </c>
      <c r="X5" s="459" t="s">
        <v>448</v>
      </c>
      <c r="Z5" s="621" t="s">
        <v>899</v>
      </c>
      <c r="AA5" s="499">
        <v>10</v>
      </c>
      <c r="AB5" s="499">
        <v>12</v>
      </c>
      <c r="AC5" s="741">
        <v>14</v>
      </c>
    </row>
    <row r="6" spans="2:29">
      <c r="B6" s="14">
        <f>1+B5</f>
        <v>2</v>
      </c>
      <c r="C6" s="37"/>
      <c r="D6" s="37"/>
      <c r="E6" s="37"/>
      <c r="F6" s="37"/>
      <c r="G6" s="82"/>
      <c r="H6" s="83"/>
      <c r="I6" s="743"/>
      <c r="J6" s="729"/>
      <c r="K6" s="732" t="str">
        <f t="shared" ref="K6:K29" si="1">IF(E6="","",IF(I6="x",$T$5,IF(J6="x",$T$7,0)))</f>
        <v/>
      </c>
      <c r="L6" s="26" t="str">
        <f t="shared" ref="L6:L29" si="2">IF(E6="","",SUM(G6:H6)*$M$3)</f>
        <v/>
      </c>
      <c r="M6" s="738" t="str">
        <f t="shared" ref="M6:M29" si="3">IF(E6="","",SUM(G6:H6)+SUM(K6:L6))</f>
        <v/>
      </c>
      <c r="N6" s="80"/>
      <c r="O6" s="739" t="str">
        <f t="shared" si="0"/>
        <v/>
      </c>
      <c r="P6" s="734" t="str">
        <f t="shared" ref="P6:P29" si="4">IF(E6="","",IF(N6&gt;0,N6,O6))</f>
        <v/>
      </c>
      <c r="Q6" s="86" t="str">
        <f t="shared" ref="Q6:Q29" si="5">IF(C6="","",M6+P6)</f>
        <v/>
      </c>
      <c r="R6" s="15"/>
      <c r="T6" s="724" t="s">
        <v>889</v>
      </c>
      <c r="V6" s="208" t="s">
        <v>900</v>
      </c>
      <c r="W6" s="195" t="s">
        <v>261</v>
      </c>
      <c r="X6" s="255"/>
      <c r="Z6" s="621" t="s">
        <v>900</v>
      </c>
      <c r="AA6" s="499">
        <v>10</v>
      </c>
      <c r="AB6" s="499">
        <v>12</v>
      </c>
      <c r="AC6" s="741">
        <v>14</v>
      </c>
    </row>
    <row r="7" spans="2:29">
      <c r="B7" s="14">
        <f>1+B6</f>
        <v>3</v>
      </c>
      <c r="C7" s="37"/>
      <c r="D7" s="37"/>
      <c r="E7" s="37"/>
      <c r="F7" s="37"/>
      <c r="G7" s="82"/>
      <c r="H7" s="83"/>
      <c r="I7" s="743"/>
      <c r="J7" s="729"/>
      <c r="K7" s="732" t="str">
        <f t="shared" si="1"/>
        <v/>
      </c>
      <c r="L7" s="26" t="str">
        <f t="shared" si="2"/>
        <v/>
      </c>
      <c r="M7" s="738" t="str">
        <f t="shared" si="3"/>
        <v/>
      </c>
      <c r="N7" s="80"/>
      <c r="O7" s="739" t="str">
        <f t="shared" si="0"/>
        <v/>
      </c>
      <c r="P7" s="734" t="str">
        <f t="shared" si="4"/>
        <v/>
      </c>
      <c r="Q7" s="86" t="str">
        <f t="shared" si="5"/>
        <v/>
      </c>
      <c r="R7" s="15"/>
      <c r="T7" s="219">
        <v>200</v>
      </c>
      <c r="V7" s="195" t="s">
        <v>623</v>
      </c>
      <c r="W7" s="196" t="s">
        <v>887</v>
      </c>
      <c r="Z7" s="621"/>
      <c r="AA7" s="499"/>
      <c r="AB7" s="499"/>
      <c r="AC7" s="741"/>
    </row>
    <row r="8" spans="2:29">
      <c r="B8" s="14">
        <f t="shared" ref="B8:B29" si="6">1+B7</f>
        <v>4</v>
      </c>
      <c r="C8" s="37"/>
      <c r="D8" s="37"/>
      <c r="E8" s="37"/>
      <c r="F8" s="37"/>
      <c r="G8" s="82"/>
      <c r="H8" s="83"/>
      <c r="I8" s="743"/>
      <c r="J8" s="729"/>
      <c r="K8" s="732" t="str">
        <f t="shared" si="1"/>
        <v/>
      </c>
      <c r="L8" s="26" t="str">
        <f t="shared" si="2"/>
        <v/>
      </c>
      <c r="M8" s="738" t="str">
        <f t="shared" si="3"/>
        <v/>
      </c>
      <c r="N8" s="80"/>
      <c r="O8" s="739" t="str">
        <f t="shared" si="0"/>
        <v/>
      </c>
      <c r="P8" s="734" t="str">
        <f t="shared" si="4"/>
        <v/>
      </c>
      <c r="Q8" s="86" t="str">
        <f t="shared" si="5"/>
        <v/>
      </c>
      <c r="R8" s="15"/>
      <c r="V8" s="195"/>
      <c r="W8" s="1"/>
      <c r="Z8" s="621"/>
      <c r="AA8" s="499"/>
      <c r="AB8" s="499"/>
      <c r="AC8" s="741"/>
    </row>
    <row r="9" spans="2:29">
      <c r="B9" s="14">
        <f t="shared" si="6"/>
        <v>5</v>
      </c>
      <c r="C9" s="37"/>
      <c r="D9" s="37"/>
      <c r="E9" s="37"/>
      <c r="F9" s="37"/>
      <c r="G9" s="82"/>
      <c r="H9" s="83"/>
      <c r="I9" s="743"/>
      <c r="J9" s="729"/>
      <c r="K9" s="732" t="str">
        <f t="shared" si="1"/>
        <v/>
      </c>
      <c r="L9" s="26" t="str">
        <f t="shared" si="2"/>
        <v/>
      </c>
      <c r="M9" s="738" t="str">
        <f t="shared" si="3"/>
        <v/>
      </c>
      <c r="N9" s="80"/>
      <c r="O9" s="739" t="str">
        <f t="shared" si="0"/>
        <v/>
      </c>
      <c r="P9" s="734" t="str">
        <f t="shared" si="4"/>
        <v/>
      </c>
      <c r="Q9" s="86" t="str">
        <f t="shared" si="5"/>
        <v/>
      </c>
      <c r="R9" s="15"/>
      <c r="V9" s="195"/>
      <c r="W9" s="1"/>
      <c r="Z9" s="621"/>
      <c r="AA9" s="499"/>
      <c r="AB9" s="499"/>
      <c r="AC9" s="741"/>
    </row>
    <row r="10" spans="2:29">
      <c r="B10" s="14">
        <f t="shared" si="6"/>
        <v>6</v>
      </c>
      <c r="C10" s="37"/>
      <c r="D10" s="37"/>
      <c r="E10" s="37"/>
      <c r="F10" s="37"/>
      <c r="G10" s="82"/>
      <c r="H10" s="83"/>
      <c r="I10" s="743"/>
      <c r="J10" s="729"/>
      <c r="K10" s="732" t="str">
        <f t="shared" si="1"/>
        <v/>
      </c>
      <c r="L10" s="26" t="str">
        <f t="shared" si="2"/>
        <v/>
      </c>
      <c r="M10" s="738" t="str">
        <f t="shared" si="3"/>
        <v/>
      </c>
      <c r="N10" s="80"/>
      <c r="O10" s="739" t="str">
        <f t="shared" si="0"/>
        <v/>
      </c>
      <c r="P10" s="734" t="str">
        <f t="shared" si="4"/>
        <v/>
      </c>
      <c r="Q10" s="86" t="str">
        <f t="shared" si="5"/>
        <v/>
      </c>
      <c r="R10" s="15"/>
      <c r="V10" s="195"/>
      <c r="W10" s="1"/>
      <c r="Z10" s="621"/>
      <c r="AA10" s="499"/>
      <c r="AB10" s="499"/>
      <c r="AC10" s="741"/>
    </row>
    <row r="11" spans="2:29">
      <c r="B11" s="14">
        <f t="shared" si="6"/>
        <v>7</v>
      </c>
      <c r="C11" s="37"/>
      <c r="D11" s="37"/>
      <c r="E11" s="37"/>
      <c r="F11" s="37"/>
      <c r="G11" s="82"/>
      <c r="H11" s="83"/>
      <c r="I11" s="743"/>
      <c r="J11" s="729"/>
      <c r="K11" s="732" t="str">
        <f t="shared" si="1"/>
        <v/>
      </c>
      <c r="L11" s="26" t="str">
        <f t="shared" si="2"/>
        <v/>
      </c>
      <c r="M11" s="738" t="str">
        <f t="shared" si="3"/>
        <v/>
      </c>
      <c r="N11" s="80"/>
      <c r="O11" s="739" t="str">
        <f t="shared" si="0"/>
        <v/>
      </c>
      <c r="P11" s="734" t="str">
        <f t="shared" si="4"/>
        <v/>
      </c>
      <c r="Q11" s="86" t="str">
        <f t="shared" si="5"/>
        <v/>
      </c>
      <c r="R11" s="15"/>
      <c r="V11" s="195"/>
      <c r="W11" s="1"/>
      <c r="Z11" s="621"/>
      <c r="AC11" s="532"/>
    </row>
    <row r="12" spans="2:29">
      <c r="B12" s="14">
        <f t="shared" si="6"/>
        <v>8</v>
      </c>
      <c r="C12" s="37"/>
      <c r="D12" s="37"/>
      <c r="E12" s="37"/>
      <c r="F12" s="37"/>
      <c r="G12" s="82"/>
      <c r="H12" s="83"/>
      <c r="I12" s="743"/>
      <c r="J12" s="729"/>
      <c r="K12" s="732" t="str">
        <f t="shared" si="1"/>
        <v/>
      </c>
      <c r="L12" s="26" t="str">
        <f t="shared" si="2"/>
        <v/>
      </c>
      <c r="M12" s="738" t="str">
        <f t="shared" si="3"/>
        <v/>
      </c>
      <c r="N12" s="80"/>
      <c r="O12" s="739" t="str">
        <f t="shared" si="0"/>
        <v/>
      </c>
      <c r="P12" s="734" t="str">
        <f t="shared" si="4"/>
        <v/>
      </c>
      <c r="Q12" s="86" t="str">
        <f t="shared" si="5"/>
        <v/>
      </c>
      <c r="R12" s="15"/>
      <c r="V12" s="208"/>
      <c r="W12" s="1"/>
      <c r="Z12" s="621"/>
      <c r="AC12" s="532"/>
    </row>
    <row r="13" spans="2:29">
      <c r="B13" s="14">
        <f t="shared" si="6"/>
        <v>9</v>
      </c>
      <c r="C13" s="37"/>
      <c r="D13" s="37"/>
      <c r="E13" s="37"/>
      <c r="F13" s="37"/>
      <c r="G13" s="82"/>
      <c r="H13" s="83"/>
      <c r="I13" s="743"/>
      <c r="J13" s="729"/>
      <c r="K13" s="732" t="str">
        <f t="shared" si="1"/>
        <v/>
      </c>
      <c r="L13" s="26" t="str">
        <f t="shared" si="2"/>
        <v/>
      </c>
      <c r="M13" s="738" t="str">
        <f t="shared" si="3"/>
        <v/>
      </c>
      <c r="N13" s="80"/>
      <c r="O13" s="739" t="str">
        <f t="shared" si="0"/>
        <v/>
      </c>
      <c r="P13" s="734" t="str">
        <f t="shared" si="4"/>
        <v/>
      </c>
      <c r="Q13" s="86" t="str">
        <f t="shared" si="5"/>
        <v/>
      </c>
      <c r="R13" s="15"/>
      <c r="V13" s="208"/>
      <c r="Z13" s="621"/>
      <c r="AC13" s="532"/>
    </row>
    <row r="14" spans="2:29">
      <c r="B14" s="14">
        <f t="shared" si="6"/>
        <v>10</v>
      </c>
      <c r="C14" s="37"/>
      <c r="D14" s="37"/>
      <c r="E14" s="37"/>
      <c r="F14" s="37"/>
      <c r="G14" s="82"/>
      <c r="H14" s="83"/>
      <c r="I14" s="743"/>
      <c r="J14" s="729"/>
      <c r="K14" s="732" t="str">
        <f t="shared" si="1"/>
        <v/>
      </c>
      <c r="L14" s="26" t="str">
        <f t="shared" si="2"/>
        <v/>
      </c>
      <c r="M14" s="738" t="str">
        <f t="shared" si="3"/>
        <v/>
      </c>
      <c r="N14" s="80"/>
      <c r="O14" s="739" t="str">
        <f t="shared" si="0"/>
        <v/>
      </c>
      <c r="P14" s="734" t="str">
        <f t="shared" si="4"/>
        <v/>
      </c>
      <c r="Q14" s="86" t="str">
        <f t="shared" si="5"/>
        <v/>
      </c>
      <c r="R14" s="15"/>
      <c r="V14" s="208"/>
      <c r="Z14" s="621"/>
      <c r="AC14" s="532"/>
    </row>
    <row r="15" spans="2:29">
      <c r="B15" s="14">
        <f t="shared" si="6"/>
        <v>11</v>
      </c>
      <c r="C15" s="37"/>
      <c r="D15" s="37"/>
      <c r="E15" s="37"/>
      <c r="F15" s="37"/>
      <c r="G15" s="82"/>
      <c r="H15" s="83"/>
      <c r="I15" s="743"/>
      <c r="J15" s="729"/>
      <c r="K15" s="732" t="str">
        <f t="shared" si="1"/>
        <v/>
      </c>
      <c r="L15" s="26" t="str">
        <f t="shared" si="2"/>
        <v/>
      </c>
      <c r="M15" s="738" t="str">
        <f t="shared" si="3"/>
        <v/>
      </c>
      <c r="N15" s="80"/>
      <c r="O15" s="739" t="str">
        <f t="shared" si="0"/>
        <v/>
      </c>
      <c r="P15" s="734" t="str">
        <f t="shared" si="4"/>
        <v/>
      </c>
      <c r="Q15" s="86" t="str">
        <f t="shared" si="5"/>
        <v/>
      </c>
      <c r="R15" s="15"/>
      <c r="V15" s="115"/>
      <c r="Z15" s="123"/>
      <c r="AA15" s="64"/>
      <c r="AB15" s="64"/>
      <c r="AC15" s="255"/>
    </row>
    <row r="16" spans="2:29">
      <c r="B16" s="14">
        <f t="shared" si="6"/>
        <v>12</v>
      </c>
      <c r="C16" s="37"/>
      <c r="D16" s="37"/>
      <c r="E16" s="37"/>
      <c r="F16" s="37"/>
      <c r="G16" s="82"/>
      <c r="H16" s="83"/>
      <c r="I16" s="743"/>
      <c r="J16" s="729"/>
      <c r="K16" s="732" t="str">
        <f t="shared" si="1"/>
        <v/>
      </c>
      <c r="L16" s="26" t="str">
        <f t="shared" si="2"/>
        <v/>
      </c>
      <c r="M16" s="738" t="str">
        <f t="shared" si="3"/>
        <v/>
      </c>
      <c r="N16" s="80"/>
      <c r="O16" s="739" t="str">
        <f t="shared" si="0"/>
        <v/>
      </c>
      <c r="P16" s="734" t="str">
        <f t="shared" si="4"/>
        <v/>
      </c>
      <c r="Q16" s="86" t="str">
        <f t="shared" si="5"/>
        <v/>
      </c>
      <c r="R16" s="15"/>
    </row>
    <row r="17" spans="2:18">
      <c r="B17" s="14">
        <f t="shared" si="6"/>
        <v>13</v>
      </c>
      <c r="C17" s="37"/>
      <c r="D17" s="37"/>
      <c r="E17" s="37"/>
      <c r="F17" s="37"/>
      <c r="G17" s="82"/>
      <c r="H17" s="83"/>
      <c r="I17" s="743"/>
      <c r="J17" s="729"/>
      <c r="K17" s="732" t="str">
        <f t="shared" si="1"/>
        <v/>
      </c>
      <c r="L17" s="26" t="str">
        <f t="shared" si="2"/>
        <v/>
      </c>
      <c r="M17" s="738" t="str">
        <f t="shared" si="3"/>
        <v/>
      </c>
      <c r="N17" s="80"/>
      <c r="O17" s="739" t="str">
        <f t="shared" si="0"/>
        <v/>
      </c>
      <c r="P17" s="734" t="str">
        <f t="shared" si="4"/>
        <v/>
      </c>
      <c r="Q17" s="86" t="str">
        <f t="shared" si="5"/>
        <v/>
      </c>
      <c r="R17" s="15"/>
    </row>
    <row r="18" spans="2:18">
      <c r="B18" s="14">
        <f t="shared" si="6"/>
        <v>14</v>
      </c>
      <c r="C18" s="37"/>
      <c r="D18" s="37"/>
      <c r="E18" s="37"/>
      <c r="F18" s="37"/>
      <c r="G18" s="82"/>
      <c r="H18" s="83"/>
      <c r="I18" s="743"/>
      <c r="J18" s="729"/>
      <c r="K18" s="732" t="str">
        <f t="shared" si="1"/>
        <v/>
      </c>
      <c r="L18" s="26" t="str">
        <f t="shared" si="2"/>
        <v/>
      </c>
      <c r="M18" s="738" t="str">
        <f t="shared" si="3"/>
        <v/>
      </c>
      <c r="N18" s="80"/>
      <c r="O18" s="739" t="str">
        <f t="shared" si="0"/>
        <v/>
      </c>
      <c r="P18" s="734" t="str">
        <f t="shared" si="4"/>
        <v/>
      </c>
      <c r="Q18" s="86" t="str">
        <f t="shared" si="5"/>
        <v/>
      </c>
      <c r="R18" s="15"/>
    </row>
    <row r="19" spans="2:18">
      <c r="B19" s="14">
        <f t="shared" si="6"/>
        <v>15</v>
      </c>
      <c r="C19" s="37"/>
      <c r="D19" s="37"/>
      <c r="E19" s="37"/>
      <c r="F19" s="37"/>
      <c r="G19" s="82"/>
      <c r="H19" s="83"/>
      <c r="I19" s="743"/>
      <c r="J19" s="729"/>
      <c r="K19" s="732" t="str">
        <f t="shared" si="1"/>
        <v/>
      </c>
      <c r="L19" s="26" t="str">
        <f t="shared" si="2"/>
        <v/>
      </c>
      <c r="M19" s="738" t="str">
        <f t="shared" si="3"/>
        <v/>
      </c>
      <c r="N19" s="80"/>
      <c r="O19" s="739" t="str">
        <f t="shared" si="0"/>
        <v/>
      </c>
      <c r="P19" s="734" t="str">
        <f t="shared" si="4"/>
        <v/>
      </c>
      <c r="Q19" s="86" t="str">
        <f t="shared" si="5"/>
        <v/>
      </c>
      <c r="R19" s="15"/>
    </row>
    <row r="20" spans="2:18">
      <c r="B20" s="14">
        <f t="shared" si="6"/>
        <v>16</v>
      </c>
      <c r="C20" s="37"/>
      <c r="D20" s="37"/>
      <c r="E20" s="37"/>
      <c r="F20" s="37"/>
      <c r="G20" s="82"/>
      <c r="H20" s="83"/>
      <c r="I20" s="743"/>
      <c r="J20" s="729"/>
      <c r="K20" s="732" t="str">
        <f t="shared" si="1"/>
        <v/>
      </c>
      <c r="L20" s="26" t="str">
        <f t="shared" si="2"/>
        <v/>
      </c>
      <c r="M20" s="738" t="str">
        <f t="shared" si="3"/>
        <v/>
      </c>
      <c r="N20" s="80"/>
      <c r="O20" s="739" t="str">
        <f t="shared" si="0"/>
        <v/>
      </c>
      <c r="P20" s="734" t="str">
        <f t="shared" si="4"/>
        <v/>
      </c>
      <c r="Q20" s="86" t="str">
        <f t="shared" si="5"/>
        <v/>
      </c>
      <c r="R20" s="15"/>
    </row>
    <row r="21" spans="2:18">
      <c r="B21" s="14">
        <f t="shared" si="6"/>
        <v>17</v>
      </c>
      <c r="C21" s="37"/>
      <c r="D21" s="37"/>
      <c r="E21" s="37"/>
      <c r="F21" s="37"/>
      <c r="G21" s="82"/>
      <c r="H21" s="83"/>
      <c r="I21" s="743"/>
      <c r="J21" s="729"/>
      <c r="K21" s="732" t="str">
        <f t="shared" si="1"/>
        <v/>
      </c>
      <c r="L21" s="26" t="str">
        <f t="shared" si="2"/>
        <v/>
      </c>
      <c r="M21" s="738" t="str">
        <f t="shared" si="3"/>
        <v/>
      </c>
      <c r="N21" s="80"/>
      <c r="O21" s="739" t="str">
        <f t="shared" si="0"/>
        <v/>
      </c>
      <c r="P21" s="734" t="str">
        <f t="shared" si="4"/>
        <v/>
      </c>
      <c r="Q21" s="86" t="str">
        <f t="shared" si="5"/>
        <v/>
      </c>
      <c r="R21" s="15"/>
    </row>
    <row r="22" spans="2:18">
      <c r="B22" s="14">
        <f t="shared" si="6"/>
        <v>18</v>
      </c>
      <c r="C22" s="37"/>
      <c r="D22" s="37"/>
      <c r="E22" s="37"/>
      <c r="F22" s="37"/>
      <c r="G22" s="82"/>
      <c r="H22" s="83"/>
      <c r="I22" s="743"/>
      <c r="J22" s="729"/>
      <c r="K22" s="732" t="str">
        <f t="shared" si="1"/>
        <v/>
      </c>
      <c r="L22" s="26" t="str">
        <f t="shared" si="2"/>
        <v/>
      </c>
      <c r="M22" s="738" t="str">
        <f t="shared" si="3"/>
        <v/>
      </c>
      <c r="N22" s="80"/>
      <c r="O22" s="739" t="str">
        <f t="shared" si="0"/>
        <v/>
      </c>
      <c r="P22" s="734" t="str">
        <f t="shared" si="4"/>
        <v/>
      </c>
      <c r="Q22" s="86" t="str">
        <f t="shared" si="5"/>
        <v/>
      </c>
      <c r="R22" s="15"/>
    </row>
    <row r="23" spans="2:18">
      <c r="B23" s="14">
        <f t="shared" si="6"/>
        <v>19</v>
      </c>
      <c r="C23" s="37"/>
      <c r="D23" s="37"/>
      <c r="E23" s="37"/>
      <c r="F23" s="37"/>
      <c r="G23" s="82"/>
      <c r="H23" s="83"/>
      <c r="I23" s="743"/>
      <c r="J23" s="729"/>
      <c r="K23" s="732" t="str">
        <f t="shared" si="1"/>
        <v/>
      </c>
      <c r="L23" s="26" t="str">
        <f t="shared" si="2"/>
        <v/>
      </c>
      <c r="M23" s="738" t="str">
        <f t="shared" si="3"/>
        <v/>
      </c>
      <c r="N23" s="80"/>
      <c r="O23" s="739" t="str">
        <f t="shared" si="0"/>
        <v/>
      </c>
      <c r="P23" s="734" t="str">
        <f t="shared" si="4"/>
        <v/>
      </c>
      <c r="Q23" s="86" t="str">
        <f t="shared" si="5"/>
        <v/>
      </c>
      <c r="R23" s="15"/>
    </row>
    <row r="24" spans="2:18">
      <c r="B24" s="14">
        <f t="shared" si="6"/>
        <v>20</v>
      </c>
      <c r="C24" s="37"/>
      <c r="D24" s="37"/>
      <c r="E24" s="37"/>
      <c r="F24" s="37"/>
      <c r="G24" s="82"/>
      <c r="H24" s="83"/>
      <c r="I24" s="743"/>
      <c r="J24" s="729"/>
      <c r="K24" s="732" t="str">
        <f t="shared" si="1"/>
        <v/>
      </c>
      <c r="L24" s="26" t="str">
        <f t="shared" si="2"/>
        <v/>
      </c>
      <c r="M24" s="738" t="str">
        <f t="shared" si="3"/>
        <v/>
      </c>
      <c r="N24" s="80"/>
      <c r="O24" s="739" t="str">
        <f t="shared" si="0"/>
        <v/>
      </c>
      <c r="P24" s="734" t="str">
        <f t="shared" si="4"/>
        <v/>
      </c>
      <c r="Q24" s="86" t="str">
        <f t="shared" si="5"/>
        <v/>
      </c>
      <c r="R24" s="15"/>
    </row>
    <row r="25" spans="2:18">
      <c r="B25" s="14">
        <f t="shared" si="6"/>
        <v>21</v>
      </c>
      <c r="C25" s="37"/>
      <c r="D25" s="37"/>
      <c r="E25" s="37"/>
      <c r="F25" s="37"/>
      <c r="G25" s="82"/>
      <c r="H25" s="83"/>
      <c r="I25" s="743"/>
      <c r="J25" s="729"/>
      <c r="K25" s="732" t="str">
        <f t="shared" si="1"/>
        <v/>
      </c>
      <c r="L25" s="26" t="str">
        <f t="shared" si="2"/>
        <v/>
      </c>
      <c r="M25" s="738" t="str">
        <f t="shared" si="3"/>
        <v/>
      </c>
      <c r="N25" s="80"/>
      <c r="O25" s="739" t="str">
        <f t="shared" si="0"/>
        <v/>
      </c>
      <c r="P25" s="734" t="str">
        <f t="shared" si="4"/>
        <v/>
      </c>
      <c r="Q25" s="86" t="str">
        <f t="shared" si="5"/>
        <v/>
      </c>
      <c r="R25" s="15"/>
    </row>
    <row r="26" spans="2:18">
      <c r="B26" s="14">
        <f t="shared" si="6"/>
        <v>22</v>
      </c>
      <c r="C26" s="37"/>
      <c r="D26" s="37"/>
      <c r="E26" s="37"/>
      <c r="F26" s="37"/>
      <c r="G26" s="82"/>
      <c r="H26" s="83"/>
      <c r="I26" s="743"/>
      <c r="J26" s="729"/>
      <c r="K26" s="732" t="str">
        <f t="shared" si="1"/>
        <v/>
      </c>
      <c r="L26" s="26" t="str">
        <f t="shared" si="2"/>
        <v/>
      </c>
      <c r="M26" s="738" t="str">
        <f t="shared" si="3"/>
        <v/>
      </c>
      <c r="N26" s="80"/>
      <c r="O26" s="739" t="str">
        <f t="shared" si="0"/>
        <v/>
      </c>
      <c r="P26" s="734" t="str">
        <f t="shared" si="4"/>
        <v/>
      </c>
      <c r="Q26" s="86" t="str">
        <f t="shared" si="5"/>
        <v/>
      </c>
      <c r="R26" s="15"/>
    </row>
    <row r="27" spans="2:18">
      <c r="B27" s="14">
        <f t="shared" si="6"/>
        <v>23</v>
      </c>
      <c r="C27" s="37"/>
      <c r="D27" s="37"/>
      <c r="E27" s="37"/>
      <c r="F27" s="37"/>
      <c r="G27" s="82"/>
      <c r="H27" s="83"/>
      <c r="I27" s="743"/>
      <c r="J27" s="729"/>
      <c r="K27" s="732" t="str">
        <f t="shared" si="1"/>
        <v/>
      </c>
      <c r="L27" s="26" t="str">
        <f t="shared" si="2"/>
        <v/>
      </c>
      <c r="M27" s="738" t="str">
        <f t="shared" si="3"/>
        <v/>
      </c>
      <c r="N27" s="80"/>
      <c r="O27" s="739" t="str">
        <f t="shared" si="0"/>
        <v/>
      </c>
      <c r="P27" s="734" t="str">
        <f t="shared" si="4"/>
        <v/>
      </c>
      <c r="Q27" s="86" t="str">
        <f t="shared" si="5"/>
        <v/>
      </c>
      <c r="R27" s="15"/>
    </row>
    <row r="28" spans="2:18">
      <c r="B28" s="14">
        <f t="shared" si="6"/>
        <v>24</v>
      </c>
      <c r="C28" s="37"/>
      <c r="D28" s="37"/>
      <c r="E28" s="37"/>
      <c r="F28" s="37"/>
      <c r="G28" s="82"/>
      <c r="H28" s="83"/>
      <c r="I28" s="743"/>
      <c r="J28" s="729"/>
      <c r="K28" s="732" t="str">
        <f t="shared" si="1"/>
        <v/>
      </c>
      <c r="L28" s="26" t="str">
        <f t="shared" si="2"/>
        <v/>
      </c>
      <c r="M28" s="738" t="str">
        <f t="shared" si="3"/>
        <v/>
      </c>
      <c r="N28" s="80"/>
      <c r="O28" s="739" t="str">
        <f t="shared" si="0"/>
        <v/>
      </c>
      <c r="P28" s="734" t="str">
        <f t="shared" si="4"/>
        <v/>
      </c>
      <c r="Q28" s="86" t="str">
        <f t="shared" si="5"/>
        <v/>
      </c>
      <c r="R28" s="15"/>
    </row>
    <row r="29" spans="2:18">
      <c r="B29" s="44">
        <f t="shared" si="6"/>
        <v>25</v>
      </c>
      <c r="C29" s="45"/>
      <c r="D29" s="45"/>
      <c r="E29" s="45"/>
      <c r="F29" s="45"/>
      <c r="G29" s="84"/>
      <c r="H29" s="84"/>
      <c r="I29" s="744"/>
      <c r="J29" s="730"/>
      <c r="K29" s="733" t="str">
        <f t="shared" si="1"/>
        <v/>
      </c>
      <c r="L29" s="47" t="str">
        <f t="shared" si="2"/>
        <v/>
      </c>
      <c r="M29" s="738" t="str">
        <f t="shared" si="3"/>
        <v/>
      </c>
      <c r="N29" s="81"/>
      <c r="O29" s="740" t="str">
        <f t="shared" si="0"/>
        <v/>
      </c>
      <c r="P29" s="735" t="str">
        <f t="shared" si="4"/>
        <v/>
      </c>
      <c r="Q29" s="87" t="str">
        <f t="shared" si="5"/>
        <v/>
      </c>
      <c r="R29" s="51"/>
    </row>
    <row r="30" spans="2:18">
      <c r="B30" s="65" t="s">
        <v>225</v>
      </c>
      <c r="C30" s="60"/>
      <c r="D30" s="75"/>
      <c r="E30" s="75"/>
      <c r="F30" s="75"/>
      <c r="G30" s="29">
        <f t="shared" ref="G30:M30" si="7">SUM(G5:G29)</f>
        <v>0</v>
      </c>
      <c r="H30" s="29">
        <f>SUM(H5:H29)</f>
        <v>0</v>
      </c>
      <c r="I30" s="29">
        <f t="shared" si="7"/>
        <v>0</v>
      </c>
      <c r="J30" s="29">
        <f t="shared" si="7"/>
        <v>0</v>
      </c>
      <c r="K30" s="29">
        <f>SUM(K5:K29)</f>
        <v>0</v>
      </c>
      <c r="L30" s="29">
        <f t="shared" si="7"/>
        <v>0</v>
      </c>
      <c r="M30" s="29">
        <f t="shared" si="7"/>
        <v>0</v>
      </c>
      <c r="N30" s="76">
        <f>+ROUND(SUM(N5:N29),-1)</f>
        <v>0</v>
      </c>
      <c r="O30" s="76">
        <f>SUM(O5:O29)</f>
        <v>0</v>
      </c>
      <c r="P30" s="76">
        <f>SUM(P5:P29)</f>
        <v>0</v>
      </c>
      <c r="Q30" s="88">
        <f>+ROUND(SUM(Q5:Q29),-1)</f>
        <v>0</v>
      </c>
      <c r="R30" s="77"/>
    </row>
    <row r="31" spans="2:18">
      <c r="L31" s="6"/>
      <c r="N31" s="19"/>
      <c r="O31" s="19"/>
      <c r="P31" s="19"/>
      <c r="Q31" s="19"/>
    </row>
    <row r="32" spans="2:18">
      <c r="L32" s="6"/>
      <c r="N32" s="19"/>
      <c r="O32" s="19"/>
      <c r="P32" s="19"/>
    </row>
    <row r="33" spans="2:29">
      <c r="L33" s="6"/>
      <c r="N33" s="19"/>
      <c r="O33" s="19"/>
      <c r="P33" s="19"/>
    </row>
    <row r="34" spans="2:29">
      <c r="E34" s="126"/>
      <c r="F34" s="126"/>
      <c r="H34" s="126"/>
      <c r="N34" s="21"/>
      <c r="O34" s="21"/>
      <c r="P34" s="21"/>
      <c r="R34" s="19"/>
    </row>
    <row r="48" spans="2:29">
      <c r="B48" s="126" t="s">
        <v>901</v>
      </c>
      <c r="I48" s="923" t="s">
        <v>902</v>
      </c>
      <c r="J48" s="924"/>
      <c r="K48" s="75"/>
      <c r="L48" s="78" t="s">
        <v>873</v>
      </c>
      <c r="M48" s="79">
        <v>0.2</v>
      </c>
      <c r="N48" s="17"/>
      <c r="O48" s="17"/>
      <c r="P48" s="17"/>
      <c r="Z48" s="150" t="s">
        <v>874</v>
      </c>
      <c r="AA48" s="60"/>
      <c r="AB48" s="75" t="s">
        <v>140</v>
      </c>
      <c r="AC48" s="256">
        <f>AC3</f>
        <v>25</v>
      </c>
    </row>
    <row r="49" spans="2:29" s="1" customFormat="1">
      <c r="B49" s="7" t="s">
        <v>212</v>
      </c>
      <c r="C49" s="7" t="s">
        <v>617</v>
      </c>
      <c r="D49" s="7" t="s">
        <v>897</v>
      </c>
      <c r="E49" s="7" t="s">
        <v>24</v>
      </c>
      <c r="F49" s="7" t="s">
        <v>876</v>
      </c>
      <c r="G49" s="7" t="s">
        <v>621</v>
      </c>
      <c r="H49" s="7" t="s">
        <v>877</v>
      </c>
      <c r="I49" s="7" t="s">
        <v>878</v>
      </c>
      <c r="J49" s="7" t="s">
        <v>879</v>
      </c>
      <c r="K49" s="7" t="s">
        <v>880</v>
      </c>
      <c r="L49" s="7" t="s">
        <v>624</v>
      </c>
      <c r="M49" s="7" t="s">
        <v>421</v>
      </c>
      <c r="N49" s="7" t="s">
        <v>881</v>
      </c>
      <c r="O49" s="7" t="s">
        <v>882</v>
      </c>
      <c r="P49" s="7" t="s">
        <v>883</v>
      </c>
      <c r="Q49" s="92" t="s">
        <v>568</v>
      </c>
      <c r="R49" s="7" t="s">
        <v>39</v>
      </c>
      <c r="T49" s="724" t="s">
        <v>884</v>
      </c>
      <c r="V49" s="35" t="s">
        <v>898</v>
      </c>
      <c r="W49" s="35" t="s">
        <v>379</v>
      </c>
      <c r="X49" s="162" t="s">
        <v>886</v>
      </c>
      <c r="Z49" s="215" t="s">
        <v>885</v>
      </c>
      <c r="AA49" s="446" t="s">
        <v>253</v>
      </c>
      <c r="AB49" s="446" t="s">
        <v>261</v>
      </c>
      <c r="AC49" s="460" t="s">
        <v>887</v>
      </c>
    </row>
    <row r="50" spans="2:29">
      <c r="B50" s="11">
        <v>1</v>
      </c>
      <c r="C50" s="37"/>
      <c r="D50" s="37"/>
      <c r="E50" s="37"/>
      <c r="F50" s="37"/>
      <c r="G50" s="82"/>
      <c r="H50" s="83"/>
      <c r="I50" s="742"/>
      <c r="J50" s="745"/>
      <c r="K50" s="731" t="str">
        <f>IF(E50="","",IF(I50="x",$T$50,IF(J50="x",$T$52,0)))</f>
        <v/>
      </c>
      <c r="L50" s="26" t="str">
        <f>IF(E50="","",SUM(G50:H50)*$M$48)</f>
        <v/>
      </c>
      <c r="M50" s="737" t="str">
        <f>IF(E50="","",SUM(G50:H50)+SUM(K50:L50))</f>
        <v/>
      </c>
      <c r="N50" s="80"/>
      <c r="O50" s="739" t="str">
        <f>IFERROR(INDEX($AA$50:$AC$60,MATCH($E50,$Z$50:$Z$60,0),MATCH($F50,$AA$49:$AC$49,0))*$AC$48,"")</f>
        <v/>
      </c>
      <c r="P50" s="736" t="str">
        <f>IF(E50="","",IF(N50&gt;0,N50,O50))</f>
        <v/>
      </c>
      <c r="Q50" s="86" t="str">
        <f>IF(C50="","",M50+P50)</f>
        <v/>
      </c>
      <c r="R50" s="13"/>
      <c r="T50" s="219">
        <v>100</v>
      </c>
      <c r="V50" s="724" t="s">
        <v>903</v>
      </c>
      <c r="W50" s="195" t="s">
        <v>253</v>
      </c>
      <c r="X50" s="459" t="s">
        <v>448</v>
      </c>
      <c r="Z50" s="621" t="s">
        <v>903</v>
      </c>
      <c r="AA50" s="499">
        <v>5</v>
      </c>
      <c r="AB50" s="499">
        <v>6</v>
      </c>
      <c r="AC50" s="741">
        <v>7</v>
      </c>
    </row>
    <row r="51" spans="2:29">
      <c r="B51" s="14">
        <f>1+B50</f>
        <v>2</v>
      </c>
      <c r="C51" s="37"/>
      <c r="D51" s="37"/>
      <c r="E51" s="37"/>
      <c r="F51" s="37"/>
      <c r="G51" s="82"/>
      <c r="H51" s="83"/>
      <c r="I51" s="743"/>
      <c r="J51" s="746"/>
      <c r="K51" s="732" t="str">
        <f t="shared" ref="K51:K74" si="8">IF(E51="","",IF(I51="x",$T$50,IF(J51="x",$T$52,0)))</f>
        <v/>
      </c>
      <c r="L51" s="26" t="str">
        <f t="shared" ref="L51:L74" si="9">IF(E51="","",SUM(G51:H51)*$M$48)</f>
        <v/>
      </c>
      <c r="M51" s="738" t="str">
        <f t="shared" ref="M51:M74" si="10">IF(E51="","",SUM(G51:H51)+SUM(K51:L51))</f>
        <v/>
      </c>
      <c r="N51" s="80"/>
      <c r="O51" s="739" t="str">
        <f t="shared" ref="O51:O74" si="11">IFERROR(INDEX($AA$50:$AC$60,MATCH($E51,$Z$50:$Z$60,0),MATCH($F51,$AA$49:$AC$49,0))*$AC$48,"")</f>
        <v/>
      </c>
      <c r="P51" s="734" t="str">
        <f t="shared" ref="P51:P74" si="12">IF(E51="","",IF(N51&gt;0,N51,O51))</f>
        <v/>
      </c>
      <c r="Q51" s="86" t="str">
        <f t="shared" ref="Q51:Q74" si="13">IF(C51="","",M51+P51)</f>
        <v/>
      </c>
      <c r="R51" s="15"/>
      <c r="T51" s="724" t="s">
        <v>889</v>
      </c>
      <c r="V51" s="208"/>
      <c r="W51" s="195" t="s">
        <v>261</v>
      </c>
      <c r="X51" s="255"/>
      <c r="Z51" s="621" t="s">
        <v>623</v>
      </c>
      <c r="AA51" s="499"/>
      <c r="AB51" s="499"/>
      <c r="AC51" s="741"/>
    </row>
    <row r="52" spans="2:29">
      <c r="B52" s="14">
        <f>1+B51</f>
        <v>3</v>
      </c>
      <c r="C52" s="37"/>
      <c r="D52" s="37"/>
      <c r="E52" s="37"/>
      <c r="F52" s="37"/>
      <c r="G52" s="82"/>
      <c r="H52" s="83"/>
      <c r="I52" s="743"/>
      <c r="J52" s="746"/>
      <c r="K52" s="732" t="str">
        <f t="shared" si="8"/>
        <v/>
      </c>
      <c r="L52" s="26" t="str">
        <f t="shared" si="9"/>
        <v/>
      </c>
      <c r="M52" s="738" t="str">
        <f t="shared" si="10"/>
        <v/>
      </c>
      <c r="N52" s="80"/>
      <c r="O52" s="739" t="str">
        <f t="shared" si="11"/>
        <v/>
      </c>
      <c r="P52" s="734" t="str">
        <f t="shared" si="12"/>
        <v/>
      </c>
      <c r="Q52" s="86" t="str">
        <f t="shared" si="13"/>
        <v/>
      </c>
      <c r="R52" s="15"/>
      <c r="T52" s="219">
        <v>200</v>
      </c>
      <c r="V52" s="195"/>
      <c r="W52" s="196" t="s">
        <v>887</v>
      </c>
      <c r="Z52" s="621"/>
      <c r="AA52" s="499"/>
      <c r="AB52" s="499"/>
      <c r="AC52" s="741"/>
    </row>
    <row r="53" spans="2:29">
      <c r="B53" s="14">
        <f t="shared" ref="B53:B74" si="14">1+B52</f>
        <v>4</v>
      </c>
      <c r="C53" s="37"/>
      <c r="D53" s="37"/>
      <c r="E53" s="37"/>
      <c r="F53" s="37"/>
      <c r="G53" s="82"/>
      <c r="H53" s="83"/>
      <c r="I53" s="743"/>
      <c r="J53" s="746"/>
      <c r="K53" s="732" t="str">
        <f t="shared" si="8"/>
        <v/>
      </c>
      <c r="L53" s="26" t="str">
        <f t="shared" si="9"/>
        <v/>
      </c>
      <c r="M53" s="738" t="str">
        <f t="shared" si="10"/>
        <v/>
      </c>
      <c r="N53" s="80"/>
      <c r="O53" s="739" t="str">
        <f t="shared" si="11"/>
        <v/>
      </c>
      <c r="P53" s="734" t="str">
        <f t="shared" si="12"/>
        <v/>
      </c>
      <c r="Q53" s="86" t="str">
        <f t="shared" si="13"/>
        <v/>
      </c>
      <c r="R53" s="15"/>
      <c r="V53" s="195"/>
      <c r="W53" s="1"/>
      <c r="Z53" s="621"/>
      <c r="AA53" s="499"/>
      <c r="AB53" s="499"/>
      <c r="AC53" s="741"/>
    </row>
    <row r="54" spans="2:29">
      <c r="B54" s="14">
        <f t="shared" si="14"/>
        <v>5</v>
      </c>
      <c r="C54" s="37"/>
      <c r="D54" s="37"/>
      <c r="E54" s="37"/>
      <c r="F54" s="37"/>
      <c r="G54" s="82"/>
      <c r="H54" s="83"/>
      <c r="I54" s="743"/>
      <c r="J54" s="746"/>
      <c r="K54" s="732" t="str">
        <f t="shared" si="8"/>
        <v/>
      </c>
      <c r="L54" s="26" t="str">
        <f t="shared" si="9"/>
        <v/>
      </c>
      <c r="M54" s="738" t="str">
        <f t="shared" si="10"/>
        <v/>
      </c>
      <c r="N54" s="80"/>
      <c r="O54" s="739" t="str">
        <f t="shared" si="11"/>
        <v/>
      </c>
      <c r="P54" s="734" t="str">
        <f t="shared" si="12"/>
        <v/>
      </c>
      <c r="Q54" s="86" t="str">
        <f t="shared" si="13"/>
        <v/>
      </c>
      <c r="R54" s="15"/>
      <c r="V54" s="195"/>
      <c r="W54" s="1"/>
      <c r="Z54" s="621"/>
      <c r="AA54" s="499"/>
      <c r="AB54" s="499"/>
      <c r="AC54" s="741"/>
    </row>
    <row r="55" spans="2:29">
      <c r="B55" s="14">
        <f t="shared" si="14"/>
        <v>6</v>
      </c>
      <c r="C55" s="37"/>
      <c r="D55" s="37"/>
      <c r="E55" s="37"/>
      <c r="F55" s="37"/>
      <c r="G55" s="82"/>
      <c r="H55" s="83"/>
      <c r="I55" s="743"/>
      <c r="J55" s="746"/>
      <c r="K55" s="732" t="str">
        <f t="shared" si="8"/>
        <v/>
      </c>
      <c r="L55" s="26" t="str">
        <f t="shared" si="9"/>
        <v/>
      </c>
      <c r="M55" s="738" t="str">
        <f t="shared" si="10"/>
        <v/>
      </c>
      <c r="N55" s="80"/>
      <c r="O55" s="739" t="str">
        <f t="shared" si="11"/>
        <v/>
      </c>
      <c r="P55" s="734" t="str">
        <f t="shared" si="12"/>
        <v/>
      </c>
      <c r="Q55" s="86" t="str">
        <f t="shared" si="13"/>
        <v/>
      </c>
      <c r="R55" s="15"/>
      <c r="V55" s="195"/>
      <c r="W55" s="1"/>
      <c r="Z55" s="621"/>
      <c r="AA55" s="499"/>
      <c r="AB55" s="499"/>
      <c r="AC55" s="741"/>
    </row>
    <row r="56" spans="2:29">
      <c r="B56" s="14">
        <f t="shared" si="14"/>
        <v>7</v>
      </c>
      <c r="C56" s="37"/>
      <c r="D56" s="37"/>
      <c r="E56" s="37"/>
      <c r="F56" s="37"/>
      <c r="G56" s="82"/>
      <c r="H56" s="83"/>
      <c r="I56" s="743"/>
      <c r="J56" s="746"/>
      <c r="K56" s="732" t="str">
        <f t="shared" si="8"/>
        <v/>
      </c>
      <c r="L56" s="26" t="str">
        <f t="shared" si="9"/>
        <v/>
      </c>
      <c r="M56" s="738" t="str">
        <f t="shared" si="10"/>
        <v/>
      </c>
      <c r="N56" s="80"/>
      <c r="O56" s="739" t="str">
        <f t="shared" si="11"/>
        <v/>
      </c>
      <c r="P56" s="734" t="str">
        <f t="shared" si="12"/>
        <v/>
      </c>
      <c r="Q56" s="86" t="str">
        <f t="shared" si="13"/>
        <v/>
      </c>
      <c r="R56" s="15"/>
      <c r="V56" s="195"/>
      <c r="W56" s="1"/>
      <c r="Z56" s="621"/>
      <c r="AC56" s="532"/>
    </row>
    <row r="57" spans="2:29">
      <c r="B57" s="14">
        <f t="shared" si="14"/>
        <v>8</v>
      </c>
      <c r="C57" s="37"/>
      <c r="D57" s="37"/>
      <c r="E57" s="37"/>
      <c r="F57" s="37"/>
      <c r="G57" s="82"/>
      <c r="H57" s="83"/>
      <c r="I57" s="743"/>
      <c r="J57" s="746"/>
      <c r="K57" s="732" t="str">
        <f t="shared" si="8"/>
        <v/>
      </c>
      <c r="L57" s="26" t="str">
        <f t="shared" si="9"/>
        <v/>
      </c>
      <c r="M57" s="738" t="str">
        <f t="shared" si="10"/>
        <v/>
      </c>
      <c r="N57" s="80"/>
      <c r="O57" s="739" t="str">
        <f t="shared" si="11"/>
        <v/>
      </c>
      <c r="P57" s="734" t="str">
        <f t="shared" si="12"/>
        <v/>
      </c>
      <c r="Q57" s="86" t="str">
        <f t="shared" si="13"/>
        <v/>
      </c>
      <c r="R57" s="15"/>
      <c r="V57" s="208"/>
      <c r="W57" s="1"/>
      <c r="Z57" s="621"/>
      <c r="AC57" s="532"/>
    </row>
    <row r="58" spans="2:29">
      <c r="B58" s="14">
        <f t="shared" si="14"/>
        <v>9</v>
      </c>
      <c r="C58" s="37"/>
      <c r="D58" s="37"/>
      <c r="E58" s="37"/>
      <c r="F58" s="37"/>
      <c r="G58" s="82"/>
      <c r="H58" s="83"/>
      <c r="I58" s="743"/>
      <c r="J58" s="746"/>
      <c r="K58" s="732" t="str">
        <f t="shared" si="8"/>
        <v/>
      </c>
      <c r="L58" s="26" t="str">
        <f t="shared" si="9"/>
        <v/>
      </c>
      <c r="M58" s="738" t="str">
        <f t="shared" si="10"/>
        <v/>
      </c>
      <c r="N58" s="80"/>
      <c r="O58" s="739" t="str">
        <f t="shared" si="11"/>
        <v/>
      </c>
      <c r="P58" s="734" t="str">
        <f t="shared" si="12"/>
        <v/>
      </c>
      <c r="Q58" s="86" t="str">
        <f t="shared" si="13"/>
        <v/>
      </c>
      <c r="R58" s="15"/>
      <c r="V58" s="208"/>
      <c r="Z58" s="621"/>
      <c r="AC58" s="532"/>
    </row>
    <row r="59" spans="2:29">
      <c r="B59" s="14">
        <f t="shared" si="14"/>
        <v>10</v>
      </c>
      <c r="C59" s="37"/>
      <c r="D59" s="37"/>
      <c r="E59" s="37"/>
      <c r="F59" s="37"/>
      <c r="G59" s="82"/>
      <c r="H59" s="83"/>
      <c r="I59" s="743"/>
      <c r="J59" s="746"/>
      <c r="K59" s="732" t="str">
        <f t="shared" si="8"/>
        <v/>
      </c>
      <c r="L59" s="26" t="str">
        <f t="shared" si="9"/>
        <v/>
      </c>
      <c r="M59" s="738" t="str">
        <f t="shared" si="10"/>
        <v/>
      </c>
      <c r="N59" s="80"/>
      <c r="O59" s="739" t="str">
        <f t="shared" si="11"/>
        <v/>
      </c>
      <c r="P59" s="734" t="str">
        <f t="shared" si="12"/>
        <v/>
      </c>
      <c r="Q59" s="86" t="str">
        <f t="shared" si="13"/>
        <v/>
      </c>
      <c r="R59" s="15"/>
      <c r="V59" s="208"/>
      <c r="Z59" s="621"/>
      <c r="AC59" s="532"/>
    </row>
    <row r="60" spans="2:29">
      <c r="B60" s="14">
        <f t="shared" si="14"/>
        <v>11</v>
      </c>
      <c r="C60" s="37"/>
      <c r="D60" s="37"/>
      <c r="E60" s="37"/>
      <c r="F60" s="37"/>
      <c r="G60" s="82"/>
      <c r="H60" s="83"/>
      <c r="I60" s="743"/>
      <c r="J60" s="746"/>
      <c r="K60" s="732" t="str">
        <f t="shared" si="8"/>
        <v/>
      </c>
      <c r="L60" s="26" t="str">
        <f t="shared" si="9"/>
        <v/>
      </c>
      <c r="M60" s="738" t="str">
        <f t="shared" si="10"/>
        <v/>
      </c>
      <c r="N60" s="80"/>
      <c r="O60" s="739" t="str">
        <f t="shared" si="11"/>
        <v/>
      </c>
      <c r="P60" s="734" t="str">
        <f t="shared" si="12"/>
        <v/>
      </c>
      <c r="Q60" s="86" t="str">
        <f t="shared" si="13"/>
        <v/>
      </c>
      <c r="R60" s="15"/>
      <c r="V60" s="115"/>
      <c r="Z60" s="123"/>
      <c r="AA60" s="64"/>
      <c r="AB60" s="64"/>
      <c r="AC60" s="255"/>
    </row>
    <row r="61" spans="2:29">
      <c r="B61" s="14">
        <f t="shared" si="14"/>
        <v>12</v>
      </c>
      <c r="C61" s="37"/>
      <c r="D61" s="37"/>
      <c r="E61" s="37"/>
      <c r="F61" s="37"/>
      <c r="G61" s="82"/>
      <c r="H61" s="83"/>
      <c r="I61" s="743"/>
      <c r="J61" s="746"/>
      <c r="K61" s="732" t="str">
        <f t="shared" si="8"/>
        <v/>
      </c>
      <c r="L61" s="26" t="str">
        <f t="shared" si="9"/>
        <v/>
      </c>
      <c r="M61" s="738" t="str">
        <f t="shared" si="10"/>
        <v/>
      </c>
      <c r="N61" s="80"/>
      <c r="O61" s="739" t="str">
        <f t="shared" si="11"/>
        <v/>
      </c>
      <c r="P61" s="734" t="str">
        <f t="shared" si="12"/>
        <v/>
      </c>
      <c r="Q61" s="86" t="str">
        <f t="shared" si="13"/>
        <v/>
      </c>
      <c r="R61" s="15"/>
    </row>
    <row r="62" spans="2:29">
      <c r="B62" s="14">
        <f t="shared" si="14"/>
        <v>13</v>
      </c>
      <c r="C62" s="37"/>
      <c r="D62" s="37"/>
      <c r="E62" s="37"/>
      <c r="F62" s="37"/>
      <c r="G62" s="82"/>
      <c r="H62" s="83"/>
      <c r="I62" s="743"/>
      <c r="J62" s="746"/>
      <c r="K62" s="732" t="str">
        <f t="shared" si="8"/>
        <v/>
      </c>
      <c r="L62" s="26" t="str">
        <f t="shared" si="9"/>
        <v/>
      </c>
      <c r="M62" s="738" t="str">
        <f t="shared" si="10"/>
        <v/>
      </c>
      <c r="N62" s="80"/>
      <c r="O62" s="739" t="str">
        <f t="shared" si="11"/>
        <v/>
      </c>
      <c r="P62" s="734" t="str">
        <f t="shared" si="12"/>
        <v/>
      </c>
      <c r="Q62" s="86" t="str">
        <f t="shared" si="13"/>
        <v/>
      </c>
      <c r="R62" s="15"/>
    </row>
    <row r="63" spans="2:29">
      <c r="B63" s="14">
        <f t="shared" si="14"/>
        <v>14</v>
      </c>
      <c r="C63" s="37"/>
      <c r="D63" s="37"/>
      <c r="E63" s="37"/>
      <c r="F63" s="37"/>
      <c r="G63" s="82"/>
      <c r="H63" s="83"/>
      <c r="I63" s="743"/>
      <c r="J63" s="746"/>
      <c r="K63" s="732" t="str">
        <f t="shared" si="8"/>
        <v/>
      </c>
      <c r="L63" s="26" t="str">
        <f t="shared" si="9"/>
        <v/>
      </c>
      <c r="M63" s="738" t="str">
        <f t="shared" si="10"/>
        <v/>
      </c>
      <c r="N63" s="80"/>
      <c r="O63" s="739" t="str">
        <f t="shared" si="11"/>
        <v/>
      </c>
      <c r="P63" s="734" t="str">
        <f t="shared" si="12"/>
        <v/>
      </c>
      <c r="Q63" s="86" t="str">
        <f t="shared" si="13"/>
        <v/>
      </c>
      <c r="R63" s="15"/>
    </row>
    <row r="64" spans="2:29">
      <c r="B64" s="14">
        <f t="shared" si="14"/>
        <v>15</v>
      </c>
      <c r="C64" s="37"/>
      <c r="D64" s="37"/>
      <c r="E64" s="37"/>
      <c r="F64" s="37"/>
      <c r="G64" s="82"/>
      <c r="H64" s="83"/>
      <c r="I64" s="743"/>
      <c r="J64" s="746"/>
      <c r="K64" s="732" t="str">
        <f t="shared" si="8"/>
        <v/>
      </c>
      <c r="L64" s="26" t="str">
        <f t="shared" si="9"/>
        <v/>
      </c>
      <c r="M64" s="738" t="str">
        <f t="shared" si="10"/>
        <v/>
      </c>
      <c r="N64" s="80"/>
      <c r="O64" s="739" t="str">
        <f t="shared" si="11"/>
        <v/>
      </c>
      <c r="P64" s="734" t="str">
        <f t="shared" si="12"/>
        <v/>
      </c>
      <c r="Q64" s="86" t="str">
        <f t="shared" si="13"/>
        <v/>
      </c>
      <c r="R64" s="15"/>
    </row>
    <row r="65" spans="2:18">
      <c r="B65" s="14">
        <f t="shared" si="14"/>
        <v>16</v>
      </c>
      <c r="C65" s="37"/>
      <c r="D65" s="37"/>
      <c r="E65" s="37"/>
      <c r="F65" s="37"/>
      <c r="G65" s="82"/>
      <c r="H65" s="83"/>
      <c r="I65" s="743"/>
      <c r="J65" s="746"/>
      <c r="K65" s="732" t="str">
        <f t="shared" si="8"/>
        <v/>
      </c>
      <c r="L65" s="26" t="str">
        <f t="shared" si="9"/>
        <v/>
      </c>
      <c r="M65" s="738" t="str">
        <f t="shared" si="10"/>
        <v/>
      </c>
      <c r="N65" s="80"/>
      <c r="O65" s="739" t="str">
        <f t="shared" si="11"/>
        <v/>
      </c>
      <c r="P65" s="734" t="str">
        <f t="shared" si="12"/>
        <v/>
      </c>
      <c r="Q65" s="86" t="str">
        <f t="shared" si="13"/>
        <v/>
      </c>
      <c r="R65" s="15"/>
    </row>
    <row r="66" spans="2:18">
      <c r="B66" s="14">
        <f t="shared" si="14"/>
        <v>17</v>
      </c>
      <c r="C66" s="37"/>
      <c r="D66" s="37"/>
      <c r="E66" s="37"/>
      <c r="F66" s="37"/>
      <c r="G66" s="82"/>
      <c r="H66" s="83"/>
      <c r="I66" s="743"/>
      <c r="J66" s="746"/>
      <c r="K66" s="732" t="str">
        <f t="shared" si="8"/>
        <v/>
      </c>
      <c r="L66" s="26" t="str">
        <f t="shared" si="9"/>
        <v/>
      </c>
      <c r="M66" s="738" t="str">
        <f t="shared" si="10"/>
        <v/>
      </c>
      <c r="N66" s="80"/>
      <c r="O66" s="739" t="str">
        <f t="shared" si="11"/>
        <v/>
      </c>
      <c r="P66" s="734" t="str">
        <f t="shared" si="12"/>
        <v/>
      </c>
      <c r="Q66" s="86" t="str">
        <f t="shared" si="13"/>
        <v/>
      </c>
      <c r="R66" s="15"/>
    </row>
    <row r="67" spans="2:18">
      <c r="B67" s="14">
        <f t="shared" si="14"/>
        <v>18</v>
      </c>
      <c r="C67" s="37"/>
      <c r="D67" s="37"/>
      <c r="E67" s="37"/>
      <c r="F67" s="37"/>
      <c r="G67" s="82"/>
      <c r="H67" s="83"/>
      <c r="I67" s="743"/>
      <c r="J67" s="746"/>
      <c r="K67" s="732" t="str">
        <f t="shared" si="8"/>
        <v/>
      </c>
      <c r="L67" s="26" t="str">
        <f t="shared" si="9"/>
        <v/>
      </c>
      <c r="M67" s="738" t="str">
        <f t="shared" si="10"/>
        <v/>
      </c>
      <c r="N67" s="80"/>
      <c r="O67" s="739" t="str">
        <f t="shared" si="11"/>
        <v/>
      </c>
      <c r="P67" s="734" t="str">
        <f t="shared" si="12"/>
        <v/>
      </c>
      <c r="Q67" s="86" t="str">
        <f t="shared" si="13"/>
        <v/>
      </c>
      <c r="R67" s="15"/>
    </row>
    <row r="68" spans="2:18">
      <c r="B68" s="14">
        <f t="shared" si="14"/>
        <v>19</v>
      </c>
      <c r="C68" s="37"/>
      <c r="D68" s="37"/>
      <c r="E68" s="37"/>
      <c r="F68" s="37"/>
      <c r="G68" s="82"/>
      <c r="H68" s="83"/>
      <c r="I68" s="743"/>
      <c r="J68" s="746"/>
      <c r="K68" s="732" t="str">
        <f t="shared" si="8"/>
        <v/>
      </c>
      <c r="L68" s="26" t="str">
        <f t="shared" si="9"/>
        <v/>
      </c>
      <c r="M68" s="738" t="str">
        <f t="shared" si="10"/>
        <v/>
      </c>
      <c r="N68" s="80"/>
      <c r="O68" s="739" t="str">
        <f t="shared" si="11"/>
        <v/>
      </c>
      <c r="P68" s="734" t="str">
        <f t="shared" si="12"/>
        <v/>
      </c>
      <c r="Q68" s="86" t="str">
        <f t="shared" si="13"/>
        <v/>
      </c>
      <c r="R68" s="15"/>
    </row>
    <row r="69" spans="2:18">
      <c r="B69" s="14">
        <f t="shared" si="14"/>
        <v>20</v>
      </c>
      <c r="C69" s="37"/>
      <c r="D69" s="37"/>
      <c r="E69" s="37"/>
      <c r="F69" s="37"/>
      <c r="G69" s="82"/>
      <c r="H69" s="83"/>
      <c r="I69" s="743"/>
      <c r="J69" s="746"/>
      <c r="K69" s="732" t="str">
        <f t="shared" si="8"/>
        <v/>
      </c>
      <c r="L69" s="26" t="str">
        <f t="shared" si="9"/>
        <v/>
      </c>
      <c r="M69" s="738" t="str">
        <f t="shared" si="10"/>
        <v/>
      </c>
      <c r="N69" s="80"/>
      <c r="O69" s="739" t="str">
        <f t="shared" si="11"/>
        <v/>
      </c>
      <c r="P69" s="734" t="str">
        <f t="shared" si="12"/>
        <v/>
      </c>
      <c r="Q69" s="86" t="str">
        <f t="shared" si="13"/>
        <v/>
      </c>
      <c r="R69" s="15"/>
    </row>
    <row r="70" spans="2:18">
      <c r="B70" s="14">
        <f t="shared" si="14"/>
        <v>21</v>
      </c>
      <c r="C70" s="37"/>
      <c r="D70" s="37"/>
      <c r="E70" s="37"/>
      <c r="F70" s="37"/>
      <c r="G70" s="82"/>
      <c r="H70" s="83"/>
      <c r="I70" s="743"/>
      <c r="J70" s="746"/>
      <c r="K70" s="732" t="str">
        <f t="shared" si="8"/>
        <v/>
      </c>
      <c r="L70" s="26" t="str">
        <f t="shared" si="9"/>
        <v/>
      </c>
      <c r="M70" s="738" t="str">
        <f t="shared" si="10"/>
        <v/>
      </c>
      <c r="N70" s="80"/>
      <c r="O70" s="739" t="str">
        <f t="shared" si="11"/>
        <v/>
      </c>
      <c r="P70" s="734" t="str">
        <f t="shared" si="12"/>
        <v/>
      </c>
      <c r="Q70" s="86" t="str">
        <f t="shared" si="13"/>
        <v/>
      </c>
      <c r="R70" s="15"/>
    </row>
    <row r="71" spans="2:18">
      <c r="B71" s="14">
        <f t="shared" si="14"/>
        <v>22</v>
      </c>
      <c r="C71" s="37"/>
      <c r="D71" s="37"/>
      <c r="E71" s="37"/>
      <c r="F71" s="37"/>
      <c r="G71" s="82"/>
      <c r="H71" s="83"/>
      <c r="I71" s="743"/>
      <c r="J71" s="746"/>
      <c r="K71" s="732" t="str">
        <f t="shared" si="8"/>
        <v/>
      </c>
      <c r="L71" s="26" t="str">
        <f t="shared" si="9"/>
        <v/>
      </c>
      <c r="M71" s="738" t="str">
        <f t="shared" si="10"/>
        <v/>
      </c>
      <c r="N71" s="80"/>
      <c r="O71" s="739" t="str">
        <f t="shared" si="11"/>
        <v/>
      </c>
      <c r="P71" s="734" t="str">
        <f t="shared" si="12"/>
        <v/>
      </c>
      <c r="Q71" s="86" t="str">
        <f t="shared" si="13"/>
        <v/>
      </c>
      <c r="R71" s="15"/>
    </row>
    <row r="72" spans="2:18">
      <c r="B72" s="14">
        <f t="shared" si="14"/>
        <v>23</v>
      </c>
      <c r="C72" s="37"/>
      <c r="D72" s="37"/>
      <c r="E72" s="37"/>
      <c r="F72" s="37"/>
      <c r="G72" s="82"/>
      <c r="H72" s="83"/>
      <c r="I72" s="743"/>
      <c r="J72" s="746"/>
      <c r="K72" s="732" t="str">
        <f t="shared" si="8"/>
        <v/>
      </c>
      <c r="L72" s="26" t="str">
        <f t="shared" si="9"/>
        <v/>
      </c>
      <c r="M72" s="738" t="str">
        <f t="shared" si="10"/>
        <v/>
      </c>
      <c r="N72" s="80"/>
      <c r="O72" s="739" t="str">
        <f t="shared" si="11"/>
        <v/>
      </c>
      <c r="P72" s="734" t="str">
        <f t="shared" si="12"/>
        <v/>
      </c>
      <c r="Q72" s="86" t="str">
        <f t="shared" si="13"/>
        <v/>
      </c>
      <c r="R72" s="15"/>
    </row>
    <row r="73" spans="2:18">
      <c r="B73" s="14">
        <f t="shared" si="14"/>
        <v>24</v>
      </c>
      <c r="C73" s="37"/>
      <c r="D73" s="37"/>
      <c r="E73" s="37"/>
      <c r="F73" s="37"/>
      <c r="G73" s="82"/>
      <c r="H73" s="83"/>
      <c r="I73" s="743"/>
      <c r="J73" s="746"/>
      <c r="K73" s="732" t="str">
        <f t="shared" si="8"/>
        <v/>
      </c>
      <c r="L73" s="26" t="str">
        <f t="shared" si="9"/>
        <v/>
      </c>
      <c r="M73" s="738" t="str">
        <f t="shared" si="10"/>
        <v/>
      </c>
      <c r="N73" s="80"/>
      <c r="O73" s="739" t="str">
        <f t="shared" si="11"/>
        <v/>
      </c>
      <c r="P73" s="734" t="str">
        <f t="shared" si="12"/>
        <v/>
      </c>
      <c r="Q73" s="86" t="str">
        <f t="shared" si="13"/>
        <v/>
      </c>
      <c r="R73" s="15"/>
    </row>
    <row r="74" spans="2:18">
      <c r="B74" s="44">
        <f t="shared" si="14"/>
        <v>25</v>
      </c>
      <c r="C74" s="45"/>
      <c r="D74" s="45"/>
      <c r="E74" s="45"/>
      <c r="F74" s="45"/>
      <c r="G74" s="84"/>
      <c r="H74" s="84"/>
      <c r="I74" s="744"/>
      <c r="J74" s="747"/>
      <c r="K74" s="733" t="str">
        <f t="shared" si="8"/>
        <v/>
      </c>
      <c r="L74" s="47" t="str">
        <f t="shared" si="9"/>
        <v/>
      </c>
      <c r="M74" s="738" t="str">
        <f t="shared" si="10"/>
        <v/>
      </c>
      <c r="N74" s="81"/>
      <c r="O74" s="740" t="str">
        <f t="shared" si="11"/>
        <v/>
      </c>
      <c r="P74" s="735" t="str">
        <f t="shared" si="12"/>
        <v/>
      </c>
      <c r="Q74" s="87" t="str">
        <f t="shared" si="13"/>
        <v/>
      </c>
      <c r="R74" s="51"/>
    </row>
    <row r="75" spans="2:18">
      <c r="B75" s="65" t="s">
        <v>225</v>
      </c>
      <c r="C75" s="60"/>
      <c r="D75" s="75"/>
      <c r="E75" s="75"/>
      <c r="F75" s="75"/>
      <c r="G75" s="29">
        <f t="shared" ref="G75" si="15">SUM(G50:G74)</f>
        <v>0</v>
      </c>
      <c r="H75" s="29">
        <f>SUM(H50:H74)</f>
        <v>0</v>
      </c>
      <c r="I75" s="29">
        <f t="shared" ref="I75:J75" si="16">SUM(I50:I74)</f>
        <v>0</v>
      </c>
      <c r="J75" s="29">
        <f t="shared" si="16"/>
        <v>0</v>
      </c>
      <c r="K75" s="29">
        <f>SUM(K50:K74)</f>
        <v>0</v>
      </c>
      <c r="L75" s="29">
        <f t="shared" ref="L75:M75" si="17">SUM(L50:L74)</f>
        <v>0</v>
      </c>
      <c r="M75" s="29">
        <f t="shared" si="17"/>
        <v>0</v>
      </c>
      <c r="N75" s="76">
        <f>+ROUND(SUM(N50:N74),-1)</f>
        <v>0</v>
      </c>
      <c r="O75" s="76">
        <f>SUM(O50:O74)</f>
        <v>0</v>
      </c>
      <c r="P75" s="76">
        <f>SUM(P50:P74)</f>
        <v>0</v>
      </c>
      <c r="Q75" s="88">
        <f>+ROUND(SUM(Q50:Q74),-1)</f>
        <v>0</v>
      </c>
      <c r="R75" s="77"/>
    </row>
  </sheetData>
  <mergeCells count="2">
    <mergeCell ref="I3:J3"/>
    <mergeCell ref="I48:J48"/>
  </mergeCells>
  <dataValidations count="7">
    <dataValidation type="list" allowBlank="1" showInputMessage="1" showErrorMessage="1" sqref="F5:F29" xr:uid="{7E06847C-7AA8-4C19-8206-5ADEA286A65F}">
      <formula1>$W$5:$W$7</formula1>
    </dataValidation>
    <dataValidation type="list" allowBlank="1" showInputMessage="1" showErrorMessage="1" sqref="E5:E29" xr:uid="{42A92BD9-9AAE-4919-970B-932A1A27D602}">
      <formula1>$V$5:$V$15</formula1>
    </dataValidation>
    <dataValidation type="list" allowBlank="1" showInputMessage="1" showErrorMessage="1" sqref="J5:J29" xr:uid="{EFEF5052-78EA-46E1-9E39-FB843057065D}">
      <formula1>$X$5:$X$6</formula1>
    </dataValidation>
    <dataValidation type="list" allowBlank="1" showInputMessage="1" showErrorMessage="1" sqref="I5:I29" xr:uid="{75A318C9-1A98-4A55-A55E-745BF10071AF}">
      <formula1>$X$4:$X$6</formula1>
    </dataValidation>
    <dataValidation type="list" allowBlank="1" showInputMessage="1" showErrorMessage="1" sqref="E50:E74" xr:uid="{38089572-0AF8-4616-9E18-2758D0798CE7}">
      <formula1>$V$50:$V$60</formula1>
    </dataValidation>
    <dataValidation type="list" allowBlank="1" showInputMessage="1" showErrorMessage="1" sqref="F50:F74" xr:uid="{42B0ABF9-DBF4-4406-8C55-49A1EECC4013}">
      <formula1>$W$50:$W$52</formula1>
    </dataValidation>
    <dataValidation type="list" allowBlank="1" showInputMessage="1" showErrorMessage="1" sqref="I50:J74" xr:uid="{D41F396E-95C4-49BD-AC34-502E808011FA}">
      <formula1>$X$50:$X$51</formula1>
    </dataValidation>
  </dataValidations>
  <pageMargins left="0.7" right="0.7" top="0.75" bottom="0.75" header="0.3" footer="0.3"/>
  <pageSetup orientation="portrait" horizontalDpi="300" verticalDpi="300"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41701-8D8A-490F-B0A7-02663531B426}">
  <sheetPr codeName="Sheet10"/>
  <dimension ref="B1:T26"/>
  <sheetViews>
    <sheetView showGridLines="0" zoomScale="75" zoomScaleNormal="75" workbookViewId="0">
      <pane xSplit="2" ySplit="3" topLeftCell="C4" activePane="bottomRight" state="frozen"/>
      <selection pane="bottomRight" activeCell="C3" sqref="C3"/>
      <selection pane="bottomLeft" activeCell="A3" sqref="A3"/>
      <selection pane="topRight" activeCell="D1" sqref="D1"/>
    </sheetView>
  </sheetViews>
  <sheetFormatPr defaultRowHeight="15"/>
  <cols>
    <col min="1" max="1" width="2.140625" customWidth="1"/>
    <col min="3" max="3" width="13.42578125" customWidth="1"/>
    <col min="4" max="4" width="26" customWidth="1"/>
    <col min="5" max="9" width="14.7109375" customWidth="1"/>
    <col min="10" max="10" width="14.7109375" style="6" customWidth="1"/>
    <col min="11" max="14" width="14.7109375" customWidth="1"/>
    <col min="15" max="15" width="60.7109375" customWidth="1"/>
    <col min="16" max="16" width="16.85546875" customWidth="1"/>
    <col min="17" max="17" width="12.7109375" customWidth="1"/>
    <col min="18" max="18" width="26" bestFit="1" customWidth="1"/>
    <col min="19" max="19" width="11.42578125" bestFit="1" customWidth="1"/>
  </cols>
  <sheetData>
    <row r="1" spans="2:20" ht="18.75">
      <c r="B1" s="59">
        <f>Summary!$C$1</f>
        <v>0</v>
      </c>
      <c r="C1" s="59"/>
      <c r="D1" s="60"/>
      <c r="E1" s="60"/>
      <c r="F1" s="60"/>
      <c r="G1" s="60"/>
      <c r="H1" s="60"/>
      <c r="I1" s="28"/>
      <c r="J1" s="61"/>
      <c r="K1" s="62"/>
      <c r="L1" s="60"/>
      <c r="M1" s="60"/>
      <c r="N1" s="60"/>
      <c r="O1" s="60"/>
      <c r="P1" s="60"/>
      <c r="Q1" s="60"/>
      <c r="R1" s="60"/>
    </row>
    <row r="2" spans="2:20">
      <c r="B2" s="727" t="s">
        <v>904</v>
      </c>
      <c r="C2" s="727"/>
      <c r="D2" s="133"/>
      <c r="E2" s="133"/>
      <c r="F2" s="755" t="s">
        <v>905</v>
      </c>
      <c r="G2" s="756"/>
      <c r="H2" s="222"/>
      <c r="I2" s="222" t="s">
        <v>906</v>
      </c>
      <c r="J2" s="757">
        <v>0.1</v>
      </c>
      <c r="K2" s="925" t="s">
        <v>225</v>
      </c>
      <c r="L2" s="926"/>
      <c r="M2" s="926"/>
      <c r="N2" s="927"/>
      <c r="O2" s="133"/>
      <c r="R2" s="21" t="s">
        <v>907</v>
      </c>
      <c r="S2" s="78" t="s">
        <v>908</v>
      </c>
      <c r="T2" s="749">
        <v>25</v>
      </c>
    </row>
    <row r="3" spans="2:20" s="1" customFormat="1">
      <c r="B3" s="7" t="s">
        <v>212</v>
      </c>
      <c r="C3" s="7" t="s">
        <v>617</v>
      </c>
      <c r="D3" s="7" t="s">
        <v>24</v>
      </c>
      <c r="E3" s="7" t="s">
        <v>909</v>
      </c>
      <c r="F3" s="7" t="s">
        <v>910</v>
      </c>
      <c r="G3" s="7" t="s">
        <v>911</v>
      </c>
      <c r="H3" s="7" t="s">
        <v>912</v>
      </c>
      <c r="I3" s="7" t="s">
        <v>906</v>
      </c>
      <c r="J3" s="7" t="s">
        <v>913</v>
      </c>
      <c r="K3" s="7" t="s">
        <v>914</v>
      </c>
      <c r="L3" s="7" t="s">
        <v>421</v>
      </c>
      <c r="M3" s="7" t="s">
        <v>74</v>
      </c>
      <c r="N3" s="85" t="s">
        <v>568</v>
      </c>
      <c r="O3" s="7" t="s">
        <v>39</v>
      </c>
      <c r="P3"/>
      <c r="Q3" s="35" t="s">
        <v>886</v>
      </c>
      <c r="R3" s="35" t="s">
        <v>379</v>
      </c>
      <c r="S3" s="150" t="s">
        <v>915</v>
      </c>
      <c r="T3" s="162" t="s">
        <v>312</v>
      </c>
    </row>
    <row r="4" spans="2:20" ht="17.25" customHeight="1">
      <c r="B4" s="11">
        <v>1</v>
      </c>
      <c r="C4" s="52"/>
      <c r="D4" s="52"/>
      <c r="E4" s="52"/>
      <c r="F4" s="54"/>
      <c r="G4" s="731" t="str">
        <f t="shared" ref="G4:G23" si="0">IF($D4="","",IF($F4&gt;0,0,INDEX($T$4:$T$18,MATCH($D4,$R$4:$R$18,0),1)))</f>
        <v/>
      </c>
      <c r="H4" s="197" t="str">
        <f>IF($D4="","",IF($F4&gt;0,0,IF($E4="x",25,0)))</f>
        <v/>
      </c>
      <c r="I4" s="197" t="str">
        <f>IF($D4="","",SUM($F4:$H4)*$J$2)</f>
        <v/>
      </c>
      <c r="J4" s="752" t="str">
        <f t="shared" ref="J4:J23" si="1">IF($D4="","",INDEX($S$4:$S$18,MATCH($D4,$R$4:$R$18,0),1)*$T$2)</f>
        <v/>
      </c>
      <c r="K4" s="42"/>
      <c r="L4" s="20" t="str">
        <f>IF($D4="","",IF(F4&gt;0,SUM(F4,I4),SUM(G4:I4))*K4)</f>
        <v/>
      </c>
      <c r="M4" s="20" t="str">
        <f>IF($D4="","",J4*K4)</f>
        <v/>
      </c>
      <c r="N4" s="86" t="str">
        <f>IFERROR(M4+L4,"")</f>
        <v/>
      </c>
      <c r="O4" s="13"/>
      <c r="Q4" s="195" t="s">
        <v>448</v>
      </c>
      <c r="R4" s="195" t="s">
        <v>916</v>
      </c>
      <c r="S4" s="758">
        <v>2</v>
      </c>
      <c r="T4" s="759">
        <v>180</v>
      </c>
    </row>
    <row r="5" spans="2:20">
      <c r="B5" s="14">
        <f>1+B4</f>
        <v>2</v>
      </c>
      <c r="C5" s="52"/>
      <c r="D5" s="52"/>
      <c r="E5" s="52"/>
      <c r="F5" s="54"/>
      <c r="G5" s="750" t="str">
        <f t="shared" si="0"/>
        <v/>
      </c>
      <c r="H5" s="26" t="str">
        <f t="shared" ref="H5:H23" si="2">IF($D5="","",IF($F5&gt;0,0,IF($E5="x",25,0)))</f>
        <v/>
      </c>
      <c r="I5" s="26" t="str">
        <f t="shared" ref="I5:I23" si="3">IF($D5="","",SUM($F5:$H5)*$J$2)</f>
        <v/>
      </c>
      <c r="J5" s="753" t="str">
        <f t="shared" si="1"/>
        <v/>
      </c>
      <c r="K5" s="42"/>
      <c r="L5" s="20" t="str">
        <f t="shared" ref="L5:L23" si="4">IF($D5="","",IF(F5&gt;0,SUM(F5,I5),SUM(G5:I5))*K5)</f>
        <v/>
      </c>
      <c r="M5" s="20" t="str">
        <f t="shared" ref="M5:M23" si="5">IF($D5="","",J5*K5)</f>
        <v/>
      </c>
      <c r="N5" s="86" t="str">
        <f t="shared" ref="N5:N23" si="6">IFERROR(M5+L5,"")</f>
        <v/>
      </c>
      <c r="O5" s="15"/>
      <c r="Q5" s="115"/>
      <c r="R5" s="748" t="s">
        <v>917</v>
      </c>
      <c r="S5" s="760">
        <v>1.6</v>
      </c>
      <c r="T5" s="431">
        <v>102</v>
      </c>
    </row>
    <row r="6" spans="2:20">
      <c r="B6" s="14">
        <f t="shared" ref="B6:B23" si="7">1+B5</f>
        <v>3</v>
      </c>
      <c r="C6" s="52"/>
      <c r="D6" s="52"/>
      <c r="E6" s="52"/>
      <c r="F6" s="54"/>
      <c r="G6" s="750" t="str">
        <f t="shared" si="0"/>
        <v/>
      </c>
      <c r="H6" s="26" t="str">
        <f t="shared" si="2"/>
        <v/>
      </c>
      <c r="I6" s="26" t="str">
        <f t="shared" si="3"/>
        <v/>
      </c>
      <c r="J6" s="753" t="str">
        <f t="shared" si="1"/>
        <v/>
      </c>
      <c r="K6" s="42"/>
      <c r="L6" s="20" t="str">
        <f t="shared" si="4"/>
        <v/>
      </c>
      <c r="M6" s="20" t="str">
        <f t="shared" si="5"/>
        <v/>
      </c>
      <c r="N6" s="86" t="str">
        <f t="shared" si="6"/>
        <v/>
      </c>
      <c r="O6" s="15"/>
      <c r="Q6" s="460"/>
      <c r="R6" s="748" t="s">
        <v>918</v>
      </c>
      <c r="S6" s="760">
        <v>1.6</v>
      </c>
      <c r="T6" s="431">
        <v>85</v>
      </c>
    </row>
    <row r="7" spans="2:20">
      <c r="B7" s="14">
        <f t="shared" si="7"/>
        <v>4</v>
      </c>
      <c r="C7" s="52"/>
      <c r="D7" s="52"/>
      <c r="E7" s="52"/>
      <c r="F7" s="54"/>
      <c r="G7" s="750" t="str">
        <f t="shared" si="0"/>
        <v/>
      </c>
      <c r="H7" s="26" t="str">
        <f t="shared" si="2"/>
        <v/>
      </c>
      <c r="I7" s="26" t="str">
        <f t="shared" si="3"/>
        <v/>
      </c>
      <c r="J7" s="753" t="str">
        <f t="shared" si="1"/>
        <v/>
      </c>
      <c r="K7" s="42"/>
      <c r="L7" s="20" t="str">
        <f t="shared" si="4"/>
        <v/>
      </c>
      <c r="M7" s="20" t="str">
        <f t="shared" si="5"/>
        <v/>
      </c>
      <c r="N7" s="86" t="str">
        <f t="shared" si="6"/>
        <v/>
      </c>
      <c r="O7" s="15"/>
      <c r="Q7" s="459"/>
      <c r="R7" s="748" t="s">
        <v>919</v>
      </c>
      <c r="S7" s="760">
        <v>1.5</v>
      </c>
      <c r="T7" s="431">
        <v>65</v>
      </c>
    </row>
    <row r="8" spans="2:20">
      <c r="B8" s="14">
        <f t="shared" si="7"/>
        <v>5</v>
      </c>
      <c r="C8" s="52"/>
      <c r="D8" s="52"/>
      <c r="E8" s="52"/>
      <c r="F8" s="54"/>
      <c r="G8" s="750" t="str">
        <f t="shared" si="0"/>
        <v/>
      </c>
      <c r="H8" s="26" t="str">
        <f t="shared" si="2"/>
        <v/>
      </c>
      <c r="I8" s="26" t="str">
        <f t="shared" si="3"/>
        <v/>
      </c>
      <c r="J8" s="753" t="str">
        <f t="shared" si="1"/>
        <v/>
      </c>
      <c r="K8" s="42"/>
      <c r="L8" s="20" t="str">
        <f t="shared" si="4"/>
        <v/>
      </c>
      <c r="M8" s="20" t="str">
        <f t="shared" si="5"/>
        <v/>
      </c>
      <c r="N8" s="86" t="str">
        <f t="shared" si="6"/>
        <v/>
      </c>
      <c r="O8" s="15"/>
      <c r="Q8" s="459"/>
      <c r="R8" s="748" t="s">
        <v>920</v>
      </c>
      <c r="S8" s="760">
        <v>1.5</v>
      </c>
      <c r="T8" s="431">
        <v>55</v>
      </c>
    </row>
    <row r="9" spans="2:20">
      <c r="B9" s="14">
        <f t="shared" si="7"/>
        <v>6</v>
      </c>
      <c r="C9" s="52"/>
      <c r="D9" s="52"/>
      <c r="E9" s="52"/>
      <c r="F9" s="54"/>
      <c r="G9" s="750" t="str">
        <f t="shared" si="0"/>
        <v/>
      </c>
      <c r="H9" s="26" t="str">
        <f t="shared" si="2"/>
        <v/>
      </c>
      <c r="I9" s="26" t="str">
        <f t="shared" si="3"/>
        <v/>
      </c>
      <c r="J9" s="753" t="str">
        <f t="shared" si="1"/>
        <v/>
      </c>
      <c r="K9" s="42"/>
      <c r="L9" s="20" t="str">
        <f t="shared" si="4"/>
        <v/>
      </c>
      <c r="M9" s="20" t="str">
        <f t="shared" si="5"/>
        <v/>
      </c>
      <c r="N9" s="86" t="str">
        <f t="shared" si="6"/>
        <v/>
      </c>
      <c r="O9" s="15"/>
      <c r="R9" s="748" t="s">
        <v>921</v>
      </c>
      <c r="S9" s="760">
        <v>2.5</v>
      </c>
      <c r="T9" s="431">
        <v>250</v>
      </c>
    </row>
    <row r="10" spans="2:20">
      <c r="B10" s="14">
        <f t="shared" si="7"/>
        <v>7</v>
      </c>
      <c r="C10" s="52"/>
      <c r="D10" s="52"/>
      <c r="E10" s="52"/>
      <c r="F10" s="54"/>
      <c r="G10" s="750" t="str">
        <f t="shared" si="0"/>
        <v/>
      </c>
      <c r="H10" s="26" t="str">
        <f t="shared" si="2"/>
        <v/>
      </c>
      <c r="I10" s="26" t="str">
        <f t="shared" si="3"/>
        <v/>
      </c>
      <c r="J10" s="753" t="str">
        <f t="shared" si="1"/>
        <v/>
      </c>
      <c r="K10" s="42"/>
      <c r="L10" s="20" t="str">
        <f t="shared" si="4"/>
        <v/>
      </c>
      <c r="M10" s="20" t="str">
        <f t="shared" si="5"/>
        <v/>
      </c>
      <c r="N10" s="86" t="str">
        <f t="shared" si="6"/>
        <v/>
      </c>
      <c r="O10" s="15"/>
      <c r="R10" s="748" t="s">
        <v>922</v>
      </c>
      <c r="S10" s="760">
        <v>2.5</v>
      </c>
      <c r="T10" s="431">
        <v>160</v>
      </c>
    </row>
    <row r="11" spans="2:20">
      <c r="B11" s="14">
        <f t="shared" si="7"/>
        <v>8</v>
      </c>
      <c r="C11" s="52"/>
      <c r="D11" s="52"/>
      <c r="E11" s="52"/>
      <c r="F11" s="54"/>
      <c r="G11" s="750" t="str">
        <f t="shared" si="0"/>
        <v/>
      </c>
      <c r="H11" s="26" t="str">
        <f t="shared" si="2"/>
        <v/>
      </c>
      <c r="I11" s="26" t="str">
        <f t="shared" si="3"/>
        <v/>
      </c>
      <c r="J11" s="753" t="str">
        <f t="shared" si="1"/>
        <v/>
      </c>
      <c r="K11" s="42"/>
      <c r="L11" s="20" t="str">
        <f t="shared" si="4"/>
        <v/>
      </c>
      <c r="M11" s="20" t="str">
        <f t="shared" si="5"/>
        <v/>
      </c>
      <c r="N11" s="86" t="str">
        <f t="shared" si="6"/>
        <v/>
      </c>
      <c r="O11" s="15"/>
      <c r="R11" s="195" t="s">
        <v>623</v>
      </c>
      <c r="S11" s="760">
        <v>1.6</v>
      </c>
      <c r="T11" s="431">
        <v>102</v>
      </c>
    </row>
    <row r="12" spans="2:20">
      <c r="B12" s="14">
        <f t="shared" si="7"/>
        <v>9</v>
      </c>
      <c r="C12" s="52"/>
      <c r="D12" s="52"/>
      <c r="E12" s="52"/>
      <c r="F12" s="54"/>
      <c r="G12" s="750" t="str">
        <f t="shared" si="0"/>
        <v/>
      </c>
      <c r="H12" s="26" t="str">
        <f t="shared" si="2"/>
        <v/>
      </c>
      <c r="I12" s="26" t="str">
        <f t="shared" si="3"/>
        <v/>
      </c>
      <c r="J12" s="753" t="str">
        <f t="shared" si="1"/>
        <v/>
      </c>
      <c r="K12" s="42"/>
      <c r="L12" s="20" t="str">
        <f t="shared" si="4"/>
        <v/>
      </c>
      <c r="M12" s="20" t="str">
        <f t="shared" si="5"/>
        <v/>
      </c>
      <c r="N12" s="86" t="str">
        <f t="shared" si="6"/>
        <v/>
      </c>
      <c r="O12" s="15"/>
      <c r="R12" s="195"/>
      <c r="S12" s="760"/>
      <c r="T12" s="431"/>
    </row>
    <row r="13" spans="2:20">
      <c r="B13" s="14">
        <f t="shared" si="7"/>
        <v>10</v>
      </c>
      <c r="C13" s="52"/>
      <c r="D13" s="52"/>
      <c r="E13" s="52"/>
      <c r="F13" s="54"/>
      <c r="G13" s="750" t="str">
        <f t="shared" si="0"/>
        <v/>
      </c>
      <c r="H13" s="26" t="str">
        <f t="shared" si="2"/>
        <v/>
      </c>
      <c r="I13" s="26" t="str">
        <f t="shared" si="3"/>
        <v/>
      </c>
      <c r="J13" s="753" t="str">
        <f t="shared" si="1"/>
        <v/>
      </c>
      <c r="K13" s="42"/>
      <c r="L13" s="20" t="str">
        <f t="shared" si="4"/>
        <v/>
      </c>
      <c r="M13" s="20" t="str">
        <f t="shared" si="5"/>
        <v/>
      </c>
      <c r="N13" s="86" t="str">
        <f t="shared" si="6"/>
        <v/>
      </c>
      <c r="O13" s="15"/>
      <c r="R13" s="195"/>
      <c r="S13" s="760"/>
      <c r="T13" s="431"/>
    </row>
    <row r="14" spans="2:20">
      <c r="B14" s="14">
        <f t="shared" si="7"/>
        <v>11</v>
      </c>
      <c r="C14" s="52"/>
      <c r="D14" s="52"/>
      <c r="E14" s="52"/>
      <c r="F14" s="54"/>
      <c r="G14" s="750" t="str">
        <f t="shared" si="0"/>
        <v/>
      </c>
      <c r="H14" s="26" t="str">
        <f t="shared" si="2"/>
        <v/>
      </c>
      <c r="I14" s="26" t="str">
        <f t="shared" si="3"/>
        <v/>
      </c>
      <c r="J14" s="753" t="str">
        <f t="shared" si="1"/>
        <v/>
      </c>
      <c r="K14" s="42"/>
      <c r="L14" s="20" t="str">
        <f t="shared" si="4"/>
        <v/>
      </c>
      <c r="M14" s="20" t="str">
        <f t="shared" si="5"/>
        <v/>
      </c>
      <c r="N14" s="86" t="str">
        <f t="shared" si="6"/>
        <v/>
      </c>
      <c r="O14" s="15"/>
      <c r="R14" s="195"/>
      <c r="S14" s="760"/>
      <c r="T14" s="431"/>
    </row>
    <row r="15" spans="2:20">
      <c r="B15" s="14">
        <f t="shared" si="7"/>
        <v>12</v>
      </c>
      <c r="C15" s="52"/>
      <c r="D15" s="52"/>
      <c r="E15" s="52"/>
      <c r="F15" s="54"/>
      <c r="G15" s="750" t="str">
        <f t="shared" si="0"/>
        <v/>
      </c>
      <c r="H15" s="26" t="str">
        <f t="shared" si="2"/>
        <v/>
      </c>
      <c r="I15" s="26" t="str">
        <f t="shared" si="3"/>
        <v/>
      </c>
      <c r="J15" s="753" t="str">
        <f t="shared" si="1"/>
        <v/>
      </c>
      <c r="K15" s="42"/>
      <c r="L15" s="20" t="str">
        <f t="shared" si="4"/>
        <v/>
      </c>
      <c r="M15" s="20" t="str">
        <f t="shared" si="5"/>
        <v/>
      </c>
      <c r="N15" s="86" t="str">
        <f t="shared" si="6"/>
        <v/>
      </c>
      <c r="O15" s="15"/>
      <c r="R15" s="195"/>
      <c r="S15" s="760"/>
      <c r="T15" s="431"/>
    </row>
    <row r="16" spans="2:20">
      <c r="B16" s="14">
        <f t="shared" si="7"/>
        <v>13</v>
      </c>
      <c r="C16" s="52"/>
      <c r="D16" s="52"/>
      <c r="E16" s="52"/>
      <c r="F16" s="54"/>
      <c r="G16" s="750" t="str">
        <f t="shared" si="0"/>
        <v/>
      </c>
      <c r="H16" s="26" t="str">
        <f t="shared" si="2"/>
        <v/>
      </c>
      <c r="I16" s="26" t="str">
        <f t="shared" si="3"/>
        <v/>
      </c>
      <c r="J16" s="753" t="str">
        <f t="shared" si="1"/>
        <v/>
      </c>
      <c r="K16" s="42"/>
      <c r="L16" s="20" t="str">
        <f t="shared" si="4"/>
        <v/>
      </c>
      <c r="M16" s="20" t="str">
        <f t="shared" si="5"/>
        <v/>
      </c>
      <c r="N16" s="86" t="str">
        <f t="shared" si="6"/>
        <v/>
      </c>
      <c r="O16" s="15"/>
      <c r="R16" s="195"/>
      <c r="S16" s="760"/>
      <c r="T16" s="431"/>
    </row>
    <row r="17" spans="2:20">
      <c r="B17" s="14">
        <f t="shared" si="7"/>
        <v>14</v>
      </c>
      <c r="C17" s="52"/>
      <c r="D17" s="52"/>
      <c r="E17" s="52"/>
      <c r="F17" s="54"/>
      <c r="G17" s="750" t="str">
        <f t="shared" si="0"/>
        <v/>
      </c>
      <c r="H17" s="26" t="str">
        <f t="shared" si="2"/>
        <v/>
      </c>
      <c r="I17" s="26" t="str">
        <f t="shared" si="3"/>
        <v/>
      </c>
      <c r="J17" s="753" t="str">
        <f t="shared" si="1"/>
        <v/>
      </c>
      <c r="K17" s="42"/>
      <c r="L17" s="20" t="str">
        <f t="shared" si="4"/>
        <v/>
      </c>
      <c r="M17" s="20" t="str">
        <f t="shared" si="5"/>
        <v/>
      </c>
      <c r="N17" s="86" t="str">
        <f t="shared" si="6"/>
        <v/>
      </c>
      <c r="O17" s="15"/>
      <c r="R17" s="195"/>
      <c r="S17" s="760"/>
      <c r="T17" s="431"/>
    </row>
    <row r="18" spans="2:20">
      <c r="B18" s="14">
        <f t="shared" si="7"/>
        <v>15</v>
      </c>
      <c r="C18" s="52"/>
      <c r="D18" s="52"/>
      <c r="E18" s="52"/>
      <c r="F18" s="54"/>
      <c r="G18" s="750" t="str">
        <f t="shared" si="0"/>
        <v/>
      </c>
      <c r="H18" s="26" t="str">
        <f t="shared" si="2"/>
        <v/>
      </c>
      <c r="I18" s="26" t="str">
        <f t="shared" si="3"/>
        <v/>
      </c>
      <c r="J18" s="753" t="str">
        <f t="shared" si="1"/>
        <v/>
      </c>
      <c r="K18" s="42"/>
      <c r="L18" s="20" t="str">
        <f t="shared" si="4"/>
        <v/>
      </c>
      <c r="M18" s="20" t="str">
        <f t="shared" si="5"/>
        <v/>
      </c>
      <c r="N18" s="86" t="str">
        <f t="shared" si="6"/>
        <v/>
      </c>
      <c r="O18" s="15"/>
      <c r="R18" s="196"/>
      <c r="S18" s="761"/>
      <c r="T18" s="421"/>
    </row>
    <row r="19" spans="2:20">
      <c r="B19" s="14">
        <f t="shared" si="7"/>
        <v>16</v>
      </c>
      <c r="C19" s="52"/>
      <c r="D19" s="52"/>
      <c r="E19" s="52"/>
      <c r="F19" s="54"/>
      <c r="G19" s="750" t="str">
        <f t="shared" si="0"/>
        <v/>
      </c>
      <c r="H19" s="26" t="str">
        <f t="shared" si="2"/>
        <v/>
      </c>
      <c r="I19" s="26" t="str">
        <f t="shared" si="3"/>
        <v/>
      </c>
      <c r="J19" s="753" t="str">
        <f t="shared" si="1"/>
        <v/>
      </c>
      <c r="K19" s="42"/>
      <c r="L19" s="20" t="str">
        <f t="shared" si="4"/>
        <v/>
      </c>
      <c r="M19" s="20" t="str">
        <f t="shared" si="5"/>
        <v/>
      </c>
      <c r="N19" s="86" t="str">
        <f t="shared" si="6"/>
        <v/>
      </c>
      <c r="O19" s="15"/>
    </row>
    <row r="20" spans="2:20">
      <c r="B20" s="14">
        <f t="shared" si="7"/>
        <v>17</v>
      </c>
      <c r="C20" s="52"/>
      <c r="D20" s="52"/>
      <c r="E20" s="52"/>
      <c r="F20" s="54"/>
      <c r="G20" s="750" t="str">
        <f t="shared" si="0"/>
        <v/>
      </c>
      <c r="H20" s="26" t="str">
        <f t="shared" si="2"/>
        <v/>
      </c>
      <c r="I20" s="26" t="str">
        <f t="shared" si="3"/>
        <v/>
      </c>
      <c r="J20" s="753" t="str">
        <f t="shared" si="1"/>
        <v/>
      </c>
      <c r="K20" s="42"/>
      <c r="L20" s="20" t="str">
        <f t="shared" si="4"/>
        <v/>
      </c>
      <c r="M20" s="20" t="str">
        <f t="shared" si="5"/>
        <v/>
      </c>
      <c r="N20" s="86" t="str">
        <f t="shared" si="6"/>
        <v/>
      </c>
      <c r="O20" s="15"/>
    </row>
    <row r="21" spans="2:20">
      <c r="B21" s="14">
        <f t="shared" si="7"/>
        <v>18</v>
      </c>
      <c r="C21" s="52"/>
      <c r="D21" s="52"/>
      <c r="E21" s="52"/>
      <c r="F21" s="54"/>
      <c r="G21" s="750" t="str">
        <f t="shared" si="0"/>
        <v/>
      </c>
      <c r="H21" s="26" t="str">
        <f t="shared" si="2"/>
        <v/>
      </c>
      <c r="I21" s="26" t="str">
        <f t="shared" si="3"/>
        <v/>
      </c>
      <c r="J21" s="753" t="str">
        <f t="shared" si="1"/>
        <v/>
      </c>
      <c r="K21" s="42"/>
      <c r="L21" s="20" t="str">
        <f t="shared" si="4"/>
        <v/>
      </c>
      <c r="M21" s="20" t="str">
        <f t="shared" si="5"/>
        <v/>
      </c>
      <c r="N21" s="86" t="str">
        <f t="shared" si="6"/>
        <v/>
      </c>
      <c r="O21" s="15"/>
    </row>
    <row r="22" spans="2:20">
      <c r="B22" s="14">
        <f t="shared" si="7"/>
        <v>19</v>
      </c>
      <c r="C22" s="52"/>
      <c r="D22" s="52"/>
      <c r="E22" s="52"/>
      <c r="F22" s="54"/>
      <c r="G22" s="750" t="str">
        <f t="shared" si="0"/>
        <v/>
      </c>
      <c r="H22" s="26" t="str">
        <f t="shared" si="2"/>
        <v/>
      </c>
      <c r="I22" s="26" t="str">
        <f t="shared" si="3"/>
        <v/>
      </c>
      <c r="J22" s="753" t="str">
        <f t="shared" si="1"/>
        <v/>
      </c>
      <c r="K22" s="42"/>
      <c r="L22" s="20" t="str">
        <f t="shared" si="4"/>
        <v/>
      </c>
      <c r="M22" s="20" t="str">
        <f t="shared" si="5"/>
        <v/>
      </c>
      <c r="N22" s="86" t="str">
        <f t="shared" si="6"/>
        <v/>
      </c>
      <c r="O22" s="15"/>
    </row>
    <row r="23" spans="2:20">
      <c r="B23" s="44">
        <f t="shared" si="7"/>
        <v>20</v>
      </c>
      <c r="C23" s="55"/>
      <c r="D23" s="55"/>
      <c r="E23" s="55"/>
      <c r="F23" s="57"/>
      <c r="G23" s="751" t="str">
        <f t="shared" si="0"/>
        <v/>
      </c>
      <c r="H23" s="26" t="str">
        <f t="shared" si="2"/>
        <v/>
      </c>
      <c r="I23" s="47" t="str">
        <f t="shared" si="3"/>
        <v/>
      </c>
      <c r="J23" s="754" t="str">
        <f t="shared" si="1"/>
        <v/>
      </c>
      <c r="K23" s="58"/>
      <c r="L23" s="49" t="str">
        <f t="shared" si="4"/>
        <v/>
      </c>
      <c r="M23" s="49" t="str">
        <f t="shared" si="5"/>
        <v/>
      </c>
      <c r="N23" s="87" t="str">
        <f t="shared" si="6"/>
        <v/>
      </c>
      <c r="O23" s="51"/>
    </row>
    <row r="24" spans="2:20">
      <c r="B24" s="7" t="s">
        <v>225</v>
      </c>
      <c r="C24" s="60"/>
      <c r="D24" s="75"/>
      <c r="E24" s="75"/>
      <c r="F24" s="94"/>
      <c r="G24" s="29"/>
      <c r="H24" s="94"/>
      <c r="I24" s="94"/>
      <c r="J24" s="28"/>
      <c r="K24" s="100">
        <f>SUM(K4:K23)</f>
        <v>0</v>
      </c>
      <c r="L24" s="94">
        <f>SUM(L4:L23)</f>
        <v>0</v>
      </c>
      <c r="M24" s="95">
        <f>+ROUND(SUM(M4:M23),-1)</f>
        <v>0</v>
      </c>
      <c r="N24" s="95">
        <f>+ROUND(SUM(N4:N23),-1)</f>
        <v>0</v>
      </c>
      <c r="O24" s="77"/>
    </row>
    <row r="25" spans="2:20">
      <c r="F25" s="6"/>
      <c r="H25" s="6"/>
      <c r="J25" s="19"/>
      <c r="K25" s="19"/>
    </row>
    <row r="26" spans="2:20">
      <c r="F26" s="6"/>
      <c r="H26" s="6"/>
      <c r="J26" s="19"/>
      <c r="K26" s="19"/>
    </row>
  </sheetData>
  <autoFilter ref="B3:M3" xr:uid="{852D8A39-95E5-4EBB-A81D-FC4AA9785C88}"/>
  <mergeCells count="1">
    <mergeCell ref="K2:N2"/>
  </mergeCells>
  <dataValidations count="2">
    <dataValidation type="list" allowBlank="1" showInputMessage="1" showErrorMessage="1" sqref="E4:E23" xr:uid="{1C57DB8A-2E50-4943-8E08-BA3C114F5EC4}">
      <formula1>$Q$4:$Q$5</formula1>
    </dataValidation>
    <dataValidation type="list" allowBlank="1" showInputMessage="1" showErrorMessage="1" sqref="D4:D23" xr:uid="{F00693AD-49A2-4421-83C5-C27F75D44391}">
      <formula1>$R$4:$R$18</formula1>
    </dataValidation>
  </dataValidations>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613A5-9B9D-4FBC-A099-01A1A18C0D5C}">
  <sheetPr>
    <tabColor theme="8" tint="0.39997558519241921"/>
  </sheetPr>
  <dimension ref="B2:EA270"/>
  <sheetViews>
    <sheetView showGridLines="0" zoomScale="67" zoomScaleNormal="75" workbookViewId="0">
      <selection activeCell="H1" sqref="H1"/>
    </sheetView>
  </sheetViews>
  <sheetFormatPr defaultRowHeight="15"/>
  <cols>
    <col min="1" max="1" width="2.140625" customWidth="1"/>
    <col min="2" max="2" width="12.140625" bestFit="1" customWidth="1"/>
    <col min="3" max="3" width="19.5703125" bestFit="1" customWidth="1"/>
    <col min="4" max="4" width="11.42578125" bestFit="1" customWidth="1"/>
    <col min="5" max="5" width="13.7109375" customWidth="1"/>
    <col min="6" max="6" width="17.5703125" style="407" bestFit="1" customWidth="1"/>
    <col min="7" max="7" width="15.42578125" style="406" bestFit="1" customWidth="1"/>
    <col min="8" max="8" width="16.7109375" style="316" bestFit="1" customWidth="1"/>
    <col min="9" max="9" width="16.7109375" style="130" customWidth="1"/>
    <col min="10" max="10" width="24.85546875" style="316" bestFit="1" customWidth="1"/>
    <col min="11" max="11" width="24.85546875" style="316" customWidth="1"/>
    <col min="12" max="12" width="16.7109375" customWidth="1"/>
    <col min="13" max="14" width="16.7109375" style="27" customWidth="1"/>
    <col min="15" max="15" width="16.7109375" customWidth="1"/>
    <col min="16" max="17" width="16.7109375" style="405" customWidth="1"/>
    <col min="18" max="18" width="16.7109375" customWidth="1"/>
    <col min="19" max="20" width="16.7109375" style="27" customWidth="1"/>
    <col min="21" max="21" width="16.7109375" customWidth="1"/>
    <col min="22" max="23" width="16.7109375" style="405" customWidth="1"/>
    <col min="24" max="24" width="16.7109375" customWidth="1"/>
    <col min="25" max="26" width="16.7109375" style="27" customWidth="1"/>
    <col min="27" max="27" width="16.7109375" customWidth="1"/>
    <col min="28" max="29" width="16.7109375" style="405" customWidth="1"/>
    <col min="30" max="30" width="16.7109375" customWidth="1"/>
    <col min="31" max="32" width="16.7109375" style="27" customWidth="1"/>
    <col min="33" max="33" width="16.7109375" customWidth="1"/>
    <col min="34" max="35" width="16.7109375" style="405" customWidth="1"/>
    <col min="36" max="36" width="16.7109375" customWidth="1"/>
    <col min="37" max="38" width="16.7109375" style="27" customWidth="1"/>
    <col min="39" max="39" width="16.7109375" customWidth="1"/>
    <col min="40" max="41" width="16.7109375" style="405" customWidth="1"/>
    <col min="42" max="42" width="16.7109375" customWidth="1"/>
    <col min="43" max="44" width="16.7109375" style="27" customWidth="1"/>
    <col min="45" max="45" width="16.7109375" customWidth="1"/>
    <col min="46" max="47" width="16.7109375" style="405" customWidth="1"/>
    <col min="48" max="48" width="16.7109375" customWidth="1"/>
    <col min="49" max="50" width="16.7109375" style="27" customWidth="1"/>
    <col min="51" max="51" width="16.7109375" customWidth="1"/>
    <col min="52" max="53" width="16.7109375" style="405" customWidth="1"/>
    <col min="54" max="54" width="16.7109375" customWidth="1"/>
    <col min="55" max="56" width="16.7109375" style="27" customWidth="1"/>
    <col min="57" max="57" width="16.7109375" customWidth="1"/>
    <col min="58" max="59" width="16.7109375" style="405" customWidth="1"/>
    <col min="60" max="60" width="16.7109375" customWidth="1"/>
    <col min="61" max="62" width="16.7109375" style="27" customWidth="1"/>
    <col min="63" max="63" width="16.7109375" customWidth="1"/>
    <col min="64" max="65" width="16.7109375" style="405" customWidth="1"/>
    <col min="66" max="66" width="16.7109375" customWidth="1"/>
    <col min="67" max="68" width="16.7109375" style="27" customWidth="1"/>
    <col min="69" max="69" width="16.7109375" customWidth="1"/>
    <col min="70" max="71" width="16.7109375" style="405" customWidth="1"/>
    <col min="72" max="72" width="16.7109375" customWidth="1"/>
    <col min="73" max="74" width="16.7109375" style="27" customWidth="1"/>
    <col min="75" max="75" width="16.7109375" customWidth="1"/>
    <col min="76" max="77" width="16.7109375" style="405" customWidth="1"/>
    <col min="78" max="78" width="16.7109375" customWidth="1"/>
    <col min="79" max="80" width="16.7109375" style="27" customWidth="1"/>
    <col min="81" max="81" width="16.7109375" customWidth="1"/>
    <col min="82" max="83" width="16.7109375" style="405" customWidth="1"/>
    <col min="84" max="84" width="16.7109375" customWidth="1"/>
    <col min="85" max="86" width="16.7109375" style="27" customWidth="1"/>
    <col min="87" max="87" width="16.7109375" customWidth="1"/>
    <col min="88" max="89" width="16.7109375" style="405" customWidth="1"/>
    <col min="90" max="90" width="16.7109375" customWidth="1"/>
    <col min="91" max="92" width="16.7109375" style="27" customWidth="1"/>
    <col min="93" max="93" width="16.7109375" customWidth="1"/>
    <col min="94" max="95" width="16.7109375" style="405" customWidth="1"/>
    <col min="96" max="96" width="16.7109375" customWidth="1"/>
    <col min="97" max="98" width="16.7109375" style="27" customWidth="1"/>
    <col min="99" max="99" width="16.7109375" customWidth="1"/>
    <col min="100" max="101" width="16.7109375" style="405" customWidth="1"/>
    <col min="102" max="102" width="16.7109375" customWidth="1"/>
    <col min="103" max="104" width="16.7109375" style="27" customWidth="1"/>
    <col min="105" max="105" width="16.7109375" customWidth="1"/>
    <col min="106" max="107" width="16.7109375" style="405" customWidth="1"/>
    <col min="108" max="108" width="16.7109375" customWidth="1"/>
    <col min="109" max="110" width="16.7109375" style="27" customWidth="1"/>
    <col min="111" max="111" width="16.7109375" customWidth="1"/>
    <col min="112" max="113" width="16.7109375" style="405" customWidth="1"/>
    <col min="114" max="114" width="16.7109375" customWidth="1"/>
    <col min="115" max="116" width="16.7109375" style="27" customWidth="1"/>
    <col min="117" max="117" width="16.7109375" customWidth="1"/>
    <col min="118" max="119" width="16.7109375" style="405" customWidth="1"/>
    <col min="120" max="120" width="16.7109375" customWidth="1"/>
    <col min="121" max="122" width="16.7109375" style="27" customWidth="1"/>
    <col min="123" max="123" width="16.7109375" customWidth="1"/>
    <col min="124" max="125" width="16.7109375" style="405" customWidth="1"/>
    <col min="126" max="126" width="16.7109375" customWidth="1"/>
    <col min="127" max="128" width="16.7109375" style="27" customWidth="1"/>
    <col min="129" max="129" width="16.7109375" customWidth="1"/>
    <col min="130" max="131" width="16.7109375" style="405" customWidth="1"/>
  </cols>
  <sheetData>
    <row r="2" spans="2:131" ht="18.75">
      <c r="B2" s="10" t="s">
        <v>923</v>
      </c>
    </row>
    <row r="3" spans="2:131">
      <c r="I3" s="130" t="s">
        <v>924</v>
      </c>
      <c r="J3" s="930" t="s">
        <v>925</v>
      </c>
      <c r="K3" s="931"/>
      <c r="L3" s="71" t="s">
        <v>926</v>
      </c>
      <c r="M3" s="487"/>
      <c r="N3" s="487"/>
      <c r="O3" s="127"/>
      <c r="P3" s="486"/>
      <c r="Q3" s="485"/>
      <c r="R3" s="71" t="s">
        <v>927</v>
      </c>
      <c r="S3" s="487"/>
      <c r="T3" s="487"/>
      <c r="U3" s="127"/>
      <c r="V3" s="486"/>
      <c r="W3" s="485"/>
      <c r="X3" s="71" t="s">
        <v>928</v>
      </c>
      <c r="Y3" s="487"/>
      <c r="Z3" s="487"/>
      <c r="AA3" s="127"/>
      <c r="AB3" s="486"/>
      <c r="AC3" s="485"/>
      <c r="AD3" s="71" t="s">
        <v>929</v>
      </c>
      <c r="AE3" s="487"/>
      <c r="AF3" s="487"/>
      <c r="AG3" s="127"/>
      <c r="AH3" s="486"/>
      <c r="AI3" s="485"/>
      <c r="AJ3" s="71" t="s">
        <v>930</v>
      </c>
      <c r="AK3" s="487"/>
      <c r="AL3" s="487"/>
      <c r="AM3" s="127"/>
      <c r="AN3" s="486"/>
      <c r="AO3" s="485"/>
      <c r="AP3" s="71" t="s">
        <v>931</v>
      </c>
      <c r="AQ3" s="487"/>
      <c r="AR3" s="487"/>
      <c r="AS3" s="127"/>
      <c r="AT3" s="486"/>
      <c r="AU3" s="485"/>
      <c r="AV3" s="71" t="s">
        <v>932</v>
      </c>
      <c r="AW3" s="487"/>
      <c r="AX3" s="487"/>
      <c r="AY3" s="127"/>
      <c r="AZ3" s="486"/>
      <c r="BA3" s="485"/>
      <c r="BB3" s="71" t="s">
        <v>933</v>
      </c>
      <c r="BC3" s="487"/>
      <c r="BD3" s="487"/>
      <c r="BE3" s="127"/>
      <c r="BF3" s="486"/>
      <c r="BG3" s="485"/>
      <c r="BH3" s="71" t="s">
        <v>934</v>
      </c>
      <c r="BI3" s="487"/>
      <c r="BJ3" s="487"/>
      <c r="BK3" s="127"/>
      <c r="BL3" s="486"/>
      <c r="BM3" s="485"/>
      <c r="BN3" s="71" t="s">
        <v>935</v>
      </c>
      <c r="BO3" s="487"/>
      <c r="BP3" s="487"/>
      <c r="BQ3" s="127"/>
      <c r="BR3" s="486"/>
      <c r="BS3" s="485"/>
      <c r="BT3" s="71" t="s">
        <v>936</v>
      </c>
      <c r="BU3" s="487"/>
      <c r="BV3" s="487"/>
      <c r="BW3" s="127"/>
      <c r="BX3" s="486"/>
      <c r="BY3" s="485"/>
      <c r="BZ3" s="71" t="s">
        <v>937</v>
      </c>
      <c r="CA3" s="487"/>
      <c r="CB3" s="487"/>
      <c r="CC3" s="127"/>
      <c r="CD3" s="486"/>
      <c r="CE3" s="485"/>
      <c r="CF3" s="71" t="s">
        <v>938</v>
      </c>
      <c r="CG3" s="487"/>
      <c r="CH3" s="487"/>
      <c r="CI3" s="127"/>
      <c r="CJ3" s="486"/>
      <c r="CK3" s="485"/>
      <c r="CL3" s="71" t="s">
        <v>939</v>
      </c>
      <c r="CM3" s="487"/>
      <c r="CN3" s="487"/>
      <c r="CO3" s="127"/>
      <c r="CP3" s="486"/>
      <c r="CQ3" s="485"/>
      <c r="CR3" s="71" t="s">
        <v>940</v>
      </c>
      <c r="CS3" s="487"/>
      <c r="CT3" s="487"/>
      <c r="CU3" s="127"/>
      <c r="CV3" s="486"/>
      <c r="CW3" s="485"/>
      <c r="CX3" s="71" t="s">
        <v>941</v>
      </c>
      <c r="CY3" s="487"/>
      <c r="CZ3" s="487"/>
      <c r="DA3" s="127"/>
      <c r="DB3" s="486"/>
      <c r="DC3" s="485"/>
      <c r="DD3" s="71" t="s">
        <v>942</v>
      </c>
      <c r="DE3" s="487"/>
      <c r="DF3" s="487"/>
      <c r="DG3" s="127"/>
      <c r="DH3" s="486"/>
      <c r="DI3" s="485"/>
      <c r="DJ3" s="71" t="s">
        <v>943</v>
      </c>
      <c r="DK3" s="487"/>
      <c r="DL3" s="487"/>
      <c r="DM3" s="127"/>
      <c r="DN3" s="486"/>
      <c r="DO3" s="485"/>
      <c r="DP3" s="71" t="s">
        <v>944</v>
      </c>
      <c r="DQ3" s="487"/>
      <c r="DR3" s="487"/>
      <c r="DS3" s="127"/>
      <c r="DT3" s="486"/>
      <c r="DU3" s="485"/>
      <c r="DV3" s="71" t="s">
        <v>945</v>
      </c>
      <c r="DW3" s="487"/>
      <c r="DX3" s="487"/>
      <c r="DY3" s="127"/>
      <c r="DZ3" s="486"/>
      <c r="EA3" s="485"/>
    </row>
    <row r="4" spans="2:131">
      <c r="B4" s="484" t="s">
        <v>946</v>
      </c>
      <c r="C4" s="92" t="s">
        <v>947</v>
      </c>
      <c r="D4" s="928"/>
      <c r="E4" s="929"/>
      <c r="F4" s="483" t="s">
        <v>948</v>
      </c>
      <c r="G4" s="436" t="s">
        <v>949</v>
      </c>
      <c r="H4" s="482" t="s">
        <v>950</v>
      </c>
      <c r="I4" s="480" t="s">
        <v>951</v>
      </c>
      <c r="J4" s="481" t="s">
        <v>952</v>
      </c>
      <c r="K4" s="480" t="s">
        <v>953</v>
      </c>
      <c r="L4" s="479" t="s">
        <v>954</v>
      </c>
      <c r="M4" s="478" t="s">
        <v>955</v>
      </c>
      <c r="N4" s="478" t="s">
        <v>956</v>
      </c>
      <c r="O4" s="205" t="s">
        <v>957</v>
      </c>
      <c r="P4" s="477" t="s">
        <v>958</v>
      </c>
      <c r="Q4" s="476" t="s">
        <v>959</v>
      </c>
      <c r="R4" s="479" t="s">
        <v>954</v>
      </c>
      <c r="S4" s="478" t="s">
        <v>955</v>
      </c>
      <c r="T4" s="478" t="s">
        <v>956</v>
      </c>
      <c r="U4" s="205" t="s">
        <v>957</v>
      </c>
      <c r="V4" s="477" t="s">
        <v>958</v>
      </c>
      <c r="W4" s="476" t="s">
        <v>959</v>
      </c>
      <c r="X4" s="479" t="s">
        <v>954</v>
      </c>
      <c r="Y4" s="478" t="s">
        <v>955</v>
      </c>
      <c r="Z4" s="478" t="s">
        <v>956</v>
      </c>
      <c r="AA4" s="205" t="s">
        <v>957</v>
      </c>
      <c r="AB4" s="477" t="s">
        <v>958</v>
      </c>
      <c r="AC4" s="476" t="s">
        <v>959</v>
      </c>
      <c r="AD4" s="479" t="s">
        <v>954</v>
      </c>
      <c r="AE4" s="478" t="s">
        <v>955</v>
      </c>
      <c r="AF4" s="478" t="s">
        <v>956</v>
      </c>
      <c r="AG4" s="205" t="s">
        <v>957</v>
      </c>
      <c r="AH4" s="477" t="s">
        <v>958</v>
      </c>
      <c r="AI4" s="476" t="s">
        <v>959</v>
      </c>
      <c r="AJ4" s="479" t="s">
        <v>954</v>
      </c>
      <c r="AK4" s="478" t="s">
        <v>955</v>
      </c>
      <c r="AL4" s="478" t="s">
        <v>956</v>
      </c>
      <c r="AM4" s="205" t="s">
        <v>957</v>
      </c>
      <c r="AN4" s="477" t="s">
        <v>958</v>
      </c>
      <c r="AO4" s="476" t="s">
        <v>959</v>
      </c>
      <c r="AP4" s="479" t="s">
        <v>954</v>
      </c>
      <c r="AQ4" s="478" t="s">
        <v>955</v>
      </c>
      <c r="AR4" s="478" t="s">
        <v>956</v>
      </c>
      <c r="AS4" s="205" t="s">
        <v>957</v>
      </c>
      <c r="AT4" s="477" t="s">
        <v>958</v>
      </c>
      <c r="AU4" s="476" t="s">
        <v>959</v>
      </c>
      <c r="AV4" s="479" t="s">
        <v>954</v>
      </c>
      <c r="AW4" s="478" t="s">
        <v>955</v>
      </c>
      <c r="AX4" s="478" t="s">
        <v>956</v>
      </c>
      <c r="AY4" s="205" t="s">
        <v>957</v>
      </c>
      <c r="AZ4" s="477" t="s">
        <v>958</v>
      </c>
      <c r="BA4" s="476" t="s">
        <v>959</v>
      </c>
      <c r="BB4" s="479" t="s">
        <v>954</v>
      </c>
      <c r="BC4" s="478" t="s">
        <v>955</v>
      </c>
      <c r="BD4" s="478" t="s">
        <v>956</v>
      </c>
      <c r="BE4" s="205" t="s">
        <v>957</v>
      </c>
      <c r="BF4" s="477" t="s">
        <v>958</v>
      </c>
      <c r="BG4" s="476" t="s">
        <v>959</v>
      </c>
      <c r="BH4" s="479" t="s">
        <v>954</v>
      </c>
      <c r="BI4" s="478" t="s">
        <v>955</v>
      </c>
      <c r="BJ4" s="478" t="s">
        <v>956</v>
      </c>
      <c r="BK4" s="205" t="s">
        <v>957</v>
      </c>
      <c r="BL4" s="477" t="s">
        <v>958</v>
      </c>
      <c r="BM4" s="476" t="s">
        <v>959</v>
      </c>
      <c r="BN4" s="479" t="s">
        <v>954</v>
      </c>
      <c r="BO4" s="478" t="s">
        <v>955</v>
      </c>
      <c r="BP4" s="478" t="s">
        <v>956</v>
      </c>
      <c r="BQ4" s="205" t="s">
        <v>957</v>
      </c>
      <c r="BR4" s="477" t="s">
        <v>958</v>
      </c>
      <c r="BS4" s="476" t="s">
        <v>959</v>
      </c>
      <c r="BT4" s="479" t="s">
        <v>954</v>
      </c>
      <c r="BU4" s="478" t="s">
        <v>955</v>
      </c>
      <c r="BV4" s="478" t="s">
        <v>956</v>
      </c>
      <c r="BW4" s="205" t="s">
        <v>957</v>
      </c>
      <c r="BX4" s="477" t="s">
        <v>958</v>
      </c>
      <c r="BY4" s="476" t="s">
        <v>959</v>
      </c>
      <c r="BZ4" s="479" t="s">
        <v>954</v>
      </c>
      <c r="CA4" s="478" t="s">
        <v>955</v>
      </c>
      <c r="CB4" s="478" t="s">
        <v>956</v>
      </c>
      <c r="CC4" s="205" t="s">
        <v>957</v>
      </c>
      <c r="CD4" s="477" t="s">
        <v>958</v>
      </c>
      <c r="CE4" s="476" t="s">
        <v>959</v>
      </c>
      <c r="CF4" s="479" t="s">
        <v>954</v>
      </c>
      <c r="CG4" s="478" t="s">
        <v>955</v>
      </c>
      <c r="CH4" s="478" t="s">
        <v>956</v>
      </c>
      <c r="CI4" s="205" t="s">
        <v>957</v>
      </c>
      <c r="CJ4" s="477" t="s">
        <v>958</v>
      </c>
      <c r="CK4" s="476" t="s">
        <v>959</v>
      </c>
      <c r="CL4" s="479" t="s">
        <v>954</v>
      </c>
      <c r="CM4" s="478" t="s">
        <v>955</v>
      </c>
      <c r="CN4" s="478" t="s">
        <v>956</v>
      </c>
      <c r="CO4" s="205" t="s">
        <v>957</v>
      </c>
      <c r="CP4" s="477" t="s">
        <v>958</v>
      </c>
      <c r="CQ4" s="476" t="s">
        <v>959</v>
      </c>
      <c r="CR4" s="479" t="s">
        <v>954</v>
      </c>
      <c r="CS4" s="478" t="s">
        <v>955</v>
      </c>
      <c r="CT4" s="478" t="s">
        <v>956</v>
      </c>
      <c r="CU4" s="205" t="s">
        <v>957</v>
      </c>
      <c r="CV4" s="477" t="s">
        <v>958</v>
      </c>
      <c r="CW4" s="476" t="s">
        <v>959</v>
      </c>
      <c r="CX4" s="479" t="s">
        <v>954</v>
      </c>
      <c r="CY4" s="478" t="s">
        <v>955</v>
      </c>
      <c r="CZ4" s="478" t="s">
        <v>956</v>
      </c>
      <c r="DA4" s="205" t="s">
        <v>957</v>
      </c>
      <c r="DB4" s="477" t="s">
        <v>958</v>
      </c>
      <c r="DC4" s="476" t="s">
        <v>959</v>
      </c>
      <c r="DD4" s="479" t="s">
        <v>954</v>
      </c>
      <c r="DE4" s="478" t="s">
        <v>955</v>
      </c>
      <c r="DF4" s="478" t="s">
        <v>956</v>
      </c>
      <c r="DG4" s="205" t="s">
        <v>957</v>
      </c>
      <c r="DH4" s="477" t="s">
        <v>958</v>
      </c>
      <c r="DI4" s="476" t="s">
        <v>959</v>
      </c>
      <c r="DJ4" s="479" t="s">
        <v>954</v>
      </c>
      <c r="DK4" s="478" t="s">
        <v>955</v>
      </c>
      <c r="DL4" s="478" t="s">
        <v>956</v>
      </c>
      <c r="DM4" s="205" t="s">
        <v>957</v>
      </c>
      <c r="DN4" s="477" t="s">
        <v>958</v>
      </c>
      <c r="DO4" s="476" t="s">
        <v>959</v>
      </c>
      <c r="DP4" s="479" t="s">
        <v>954</v>
      </c>
      <c r="DQ4" s="478" t="s">
        <v>955</v>
      </c>
      <c r="DR4" s="478" t="s">
        <v>956</v>
      </c>
      <c r="DS4" s="205" t="s">
        <v>957</v>
      </c>
      <c r="DT4" s="477" t="s">
        <v>958</v>
      </c>
      <c r="DU4" s="476" t="s">
        <v>959</v>
      </c>
      <c r="DV4" s="479" t="s">
        <v>954</v>
      </c>
      <c r="DW4" s="478" t="s">
        <v>955</v>
      </c>
      <c r="DX4" s="478" t="s">
        <v>956</v>
      </c>
      <c r="DY4" s="205" t="s">
        <v>957</v>
      </c>
      <c r="DZ4" s="477" t="s">
        <v>958</v>
      </c>
      <c r="EA4" s="476" t="s">
        <v>959</v>
      </c>
    </row>
    <row r="5" spans="2:131">
      <c r="B5" s="21"/>
      <c r="D5" s="5">
        <v>1.5</v>
      </c>
      <c r="E5" s="1" t="s">
        <v>960</v>
      </c>
      <c r="F5" s="469">
        <f ca="1">'MF Unit Material'!Y43+'MF Unit Material'!Y51</f>
        <v>191</v>
      </c>
      <c r="G5" s="431">
        <f>'MF Unit Material'!Z43+'MF Unit Material'!Z51</f>
        <v>2803.1800000000003</v>
      </c>
      <c r="H5" s="158">
        <f ca="1">'MF Unit Material'!AA43+'MF Unit Material'!AA51</f>
        <v>267703.69000000006</v>
      </c>
      <c r="I5" s="475">
        <f t="shared" ref="I5:I11" ca="1" si="0">F5-J5</f>
        <v>191</v>
      </c>
      <c r="J5" s="475">
        <f t="shared" ref="J5:J68" si="1">SUMIFS($L5:$EA5,$L$4:$EA$4,"=" &amp; "Qty")</f>
        <v>0</v>
      </c>
      <c r="K5" s="474">
        <f t="shared" ref="K5:K68" si="2">SUMIFS($L5:$EA5,$L$4:$EA$4,"=" &amp; "Total ($)")</f>
        <v>0</v>
      </c>
      <c r="L5" s="473"/>
      <c r="M5" s="472"/>
      <c r="N5" s="472"/>
      <c r="O5" s="471"/>
      <c r="P5" s="470"/>
      <c r="Q5" s="470"/>
      <c r="R5" s="471"/>
      <c r="S5" s="472"/>
      <c r="T5" s="472"/>
      <c r="U5" s="471"/>
      <c r="V5" s="470"/>
      <c r="W5" s="470"/>
      <c r="X5" s="471"/>
      <c r="Y5" s="472"/>
      <c r="Z5" s="472"/>
      <c r="AA5" s="471"/>
      <c r="AB5" s="470"/>
      <c r="AC5" s="470"/>
      <c r="AD5" s="471"/>
      <c r="AE5" s="472"/>
      <c r="AF5" s="472"/>
      <c r="AG5" s="471"/>
      <c r="AH5" s="470"/>
      <c r="AI5" s="470"/>
      <c r="AJ5" s="471"/>
      <c r="AK5" s="472"/>
      <c r="AL5" s="472"/>
      <c r="AM5" s="471"/>
      <c r="AN5" s="470"/>
      <c r="AO5" s="470"/>
      <c r="AP5" s="471"/>
      <c r="AQ5" s="472"/>
      <c r="AR5" s="472"/>
      <c r="AS5" s="471"/>
      <c r="AT5" s="470"/>
      <c r="AU5" s="470"/>
      <c r="AV5" s="471"/>
      <c r="AW5" s="472"/>
      <c r="AX5" s="472"/>
      <c r="AY5" s="471"/>
      <c r="AZ5" s="470"/>
      <c r="BA5" s="470"/>
      <c r="BB5" s="471"/>
      <c r="BC5" s="472"/>
      <c r="BD5" s="472"/>
      <c r="BE5" s="471"/>
      <c r="BF5" s="470"/>
      <c r="BG5" s="470"/>
      <c r="BH5" s="471"/>
      <c r="BI5" s="472"/>
      <c r="BJ5" s="472"/>
      <c r="BK5" s="471"/>
      <c r="BL5" s="470"/>
      <c r="BM5" s="470"/>
      <c r="BN5" s="471"/>
      <c r="BO5" s="472"/>
      <c r="BP5" s="472"/>
      <c r="BQ5" s="471"/>
      <c r="BR5" s="470"/>
      <c r="BS5" s="470"/>
      <c r="BT5" s="471"/>
      <c r="BU5" s="472"/>
      <c r="BV5" s="472"/>
      <c r="BW5" s="471"/>
      <c r="BX5" s="470"/>
      <c r="BY5" s="470"/>
      <c r="BZ5" s="471"/>
      <c r="CA5" s="472"/>
      <c r="CB5" s="472"/>
      <c r="CC5" s="471"/>
      <c r="CD5" s="470"/>
      <c r="CE5" s="470"/>
      <c r="CF5" s="471"/>
      <c r="CG5" s="472"/>
      <c r="CH5" s="472"/>
      <c r="CI5" s="471"/>
      <c r="CJ5" s="470"/>
      <c r="CK5" s="470"/>
      <c r="CL5" s="471"/>
      <c r="CM5" s="472"/>
      <c r="CN5" s="472"/>
      <c r="CO5" s="471"/>
      <c r="CP5" s="470"/>
      <c r="CQ5" s="470"/>
      <c r="CR5" s="471"/>
      <c r="CS5" s="472"/>
      <c r="CT5" s="472"/>
      <c r="CU5" s="471"/>
      <c r="CV5" s="470"/>
      <c r="CW5" s="470"/>
      <c r="CX5" s="471"/>
      <c r="CY5" s="472"/>
      <c r="CZ5" s="472"/>
      <c r="DA5" s="471"/>
      <c r="DB5" s="470"/>
      <c r="DC5" s="470"/>
      <c r="DD5" s="471"/>
      <c r="DE5" s="472"/>
      <c r="DF5" s="472"/>
      <c r="DG5" s="471"/>
      <c r="DH5" s="470"/>
      <c r="DI5" s="470"/>
      <c r="DJ5" s="471"/>
      <c r="DK5" s="472"/>
      <c r="DL5" s="472"/>
      <c r="DM5" s="471"/>
      <c r="DN5" s="470"/>
      <c r="DO5" s="470"/>
      <c r="DP5" s="471"/>
      <c r="DQ5" s="472"/>
      <c r="DR5" s="472"/>
      <c r="DS5" s="471"/>
      <c r="DT5" s="470"/>
      <c r="DU5" s="470"/>
      <c r="DV5" s="471"/>
      <c r="DW5" s="472"/>
      <c r="DX5" s="472"/>
      <c r="DY5" s="471"/>
      <c r="DZ5" s="470"/>
      <c r="EA5" s="470"/>
    </row>
    <row r="6" spans="2:131">
      <c r="B6" s="21"/>
      <c r="D6" s="5">
        <v>2</v>
      </c>
      <c r="E6" s="1" t="s">
        <v>960</v>
      </c>
      <c r="F6" s="469">
        <f ca="1">'MF Unit Material'!Y44+'MF Unit Material'!Y52</f>
        <v>121</v>
      </c>
      <c r="G6" s="431">
        <f>'MF Unit Material'!Z44+'MF Unit Material'!Z52</f>
        <v>2938.52</v>
      </c>
      <c r="H6" s="158">
        <f ca="1">'MF Unit Material'!AA44+'MF Unit Material'!AA52</f>
        <v>177780.46</v>
      </c>
      <c r="I6" s="429">
        <f t="shared" ca="1" si="0"/>
        <v>121</v>
      </c>
      <c r="J6" s="429">
        <f t="shared" si="1"/>
        <v>0</v>
      </c>
      <c r="K6" s="428">
        <f t="shared" si="2"/>
        <v>0</v>
      </c>
      <c r="L6" s="427"/>
      <c r="M6" s="426"/>
      <c r="N6" s="426"/>
      <c r="O6" s="425"/>
      <c r="P6" s="424"/>
      <c r="Q6" s="424"/>
      <c r="R6" s="425"/>
      <c r="S6" s="426"/>
      <c r="T6" s="426"/>
      <c r="U6" s="425"/>
      <c r="V6" s="424"/>
      <c r="W6" s="424"/>
      <c r="X6" s="425"/>
      <c r="Y6" s="426"/>
      <c r="Z6" s="426"/>
      <c r="AA6" s="425"/>
      <c r="AB6" s="424"/>
      <c r="AC6" s="424"/>
      <c r="AD6" s="425"/>
      <c r="AE6" s="426"/>
      <c r="AF6" s="426"/>
      <c r="AG6" s="425"/>
      <c r="AH6" s="424"/>
      <c r="AI6" s="424"/>
      <c r="AJ6" s="425"/>
      <c r="AK6" s="426"/>
      <c r="AL6" s="426"/>
      <c r="AM6" s="425"/>
      <c r="AN6" s="424"/>
      <c r="AO6" s="424"/>
      <c r="AP6" s="425"/>
      <c r="AQ6" s="426"/>
      <c r="AR6" s="426"/>
      <c r="AS6" s="425"/>
      <c r="AT6" s="424"/>
      <c r="AU6" s="424"/>
      <c r="AV6" s="425"/>
      <c r="AW6" s="426"/>
      <c r="AX6" s="426"/>
      <c r="AY6" s="425"/>
      <c r="AZ6" s="424"/>
      <c r="BA6" s="424"/>
      <c r="BB6" s="425"/>
      <c r="BC6" s="426"/>
      <c r="BD6" s="426"/>
      <c r="BE6" s="425"/>
      <c r="BF6" s="424"/>
      <c r="BG6" s="424"/>
      <c r="BH6" s="425"/>
      <c r="BI6" s="426"/>
      <c r="BJ6" s="426"/>
      <c r="BK6" s="425"/>
      <c r="BL6" s="424"/>
      <c r="BM6" s="424"/>
      <c r="BN6" s="425"/>
      <c r="BO6" s="426"/>
      <c r="BP6" s="426"/>
      <c r="BQ6" s="425"/>
      <c r="BR6" s="424"/>
      <c r="BS6" s="424"/>
      <c r="BT6" s="425"/>
      <c r="BU6" s="426"/>
      <c r="BV6" s="426"/>
      <c r="BW6" s="425"/>
      <c r="BX6" s="424"/>
      <c r="BY6" s="424"/>
      <c r="BZ6" s="425"/>
      <c r="CA6" s="426"/>
      <c r="CB6" s="426"/>
      <c r="CC6" s="425"/>
      <c r="CD6" s="424"/>
      <c r="CE6" s="424"/>
      <c r="CF6" s="425"/>
      <c r="CG6" s="426"/>
      <c r="CH6" s="426"/>
      <c r="CI6" s="425"/>
      <c r="CJ6" s="424"/>
      <c r="CK6" s="424"/>
      <c r="CL6" s="425"/>
      <c r="CM6" s="426"/>
      <c r="CN6" s="426"/>
      <c r="CO6" s="425"/>
      <c r="CP6" s="424"/>
      <c r="CQ6" s="424"/>
      <c r="CR6" s="425"/>
      <c r="CS6" s="426"/>
      <c r="CT6" s="426"/>
      <c r="CU6" s="425"/>
      <c r="CV6" s="424"/>
      <c r="CW6" s="424"/>
      <c r="CX6" s="425"/>
      <c r="CY6" s="426"/>
      <c r="CZ6" s="426"/>
      <c r="DA6" s="425"/>
      <c r="DB6" s="424"/>
      <c r="DC6" s="424"/>
      <c r="DD6" s="425"/>
      <c r="DE6" s="426"/>
      <c r="DF6" s="426"/>
      <c r="DG6" s="425"/>
      <c r="DH6" s="424"/>
      <c r="DI6" s="424"/>
      <c r="DJ6" s="425"/>
      <c r="DK6" s="426"/>
      <c r="DL6" s="426"/>
      <c r="DM6" s="425"/>
      <c r="DN6" s="424"/>
      <c r="DO6" s="424"/>
      <c r="DP6" s="425"/>
      <c r="DQ6" s="426"/>
      <c r="DR6" s="426"/>
      <c r="DS6" s="425"/>
      <c r="DT6" s="424"/>
      <c r="DU6" s="424"/>
      <c r="DV6" s="425"/>
      <c r="DW6" s="426"/>
      <c r="DX6" s="426"/>
      <c r="DY6" s="425"/>
      <c r="DZ6" s="424"/>
      <c r="EA6" s="424"/>
    </row>
    <row r="7" spans="2:131">
      <c r="B7" s="21"/>
      <c r="D7" s="5">
        <v>2.5</v>
      </c>
      <c r="E7" s="1" t="s">
        <v>960</v>
      </c>
      <c r="F7" s="469">
        <f ca="1">'MF Unit Material'!Y45+'MF Unit Material'!Y53</f>
        <v>45</v>
      </c>
      <c r="G7" s="431">
        <f>'MF Unit Material'!Z45+'MF Unit Material'!Z53</f>
        <v>3119.86</v>
      </c>
      <c r="H7" s="158">
        <f ca="1">'MF Unit Material'!AA45+'MF Unit Material'!AA53</f>
        <v>70196.850000000006</v>
      </c>
      <c r="I7" s="429">
        <f t="shared" ca="1" si="0"/>
        <v>45</v>
      </c>
      <c r="J7" s="429">
        <f t="shared" si="1"/>
        <v>0</v>
      </c>
      <c r="K7" s="428">
        <f t="shared" si="2"/>
        <v>0</v>
      </c>
      <c r="L7" s="427"/>
      <c r="M7" s="426"/>
      <c r="N7" s="426"/>
      <c r="O7" s="425"/>
      <c r="P7" s="424"/>
      <c r="Q7" s="424"/>
      <c r="R7" s="425"/>
      <c r="S7" s="426"/>
      <c r="T7" s="426"/>
      <c r="U7" s="425"/>
      <c r="V7" s="424"/>
      <c r="W7" s="424"/>
      <c r="X7" s="425"/>
      <c r="Y7" s="426"/>
      <c r="Z7" s="426"/>
      <c r="AA7" s="425"/>
      <c r="AB7" s="424"/>
      <c r="AC7" s="424"/>
      <c r="AD7" s="425"/>
      <c r="AE7" s="426"/>
      <c r="AF7" s="426"/>
      <c r="AG7" s="425"/>
      <c r="AH7" s="424"/>
      <c r="AI7" s="424"/>
      <c r="AJ7" s="425"/>
      <c r="AK7" s="426"/>
      <c r="AL7" s="426"/>
      <c r="AM7" s="425"/>
      <c r="AN7" s="424"/>
      <c r="AO7" s="424"/>
      <c r="AP7" s="425"/>
      <c r="AQ7" s="426"/>
      <c r="AR7" s="426"/>
      <c r="AS7" s="425"/>
      <c r="AT7" s="424"/>
      <c r="AU7" s="424"/>
      <c r="AV7" s="425"/>
      <c r="AW7" s="426"/>
      <c r="AX7" s="426"/>
      <c r="AY7" s="425"/>
      <c r="AZ7" s="424"/>
      <c r="BA7" s="424"/>
      <c r="BB7" s="425"/>
      <c r="BC7" s="426"/>
      <c r="BD7" s="426"/>
      <c r="BE7" s="425"/>
      <c r="BF7" s="424"/>
      <c r="BG7" s="424"/>
      <c r="BH7" s="425"/>
      <c r="BI7" s="426"/>
      <c r="BJ7" s="426"/>
      <c r="BK7" s="425"/>
      <c r="BL7" s="424"/>
      <c r="BM7" s="424"/>
      <c r="BN7" s="425"/>
      <c r="BO7" s="426"/>
      <c r="BP7" s="426"/>
      <c r="BQ7" s="425"/>
      <c r="BR7" s="424"/>
      <c r="BS7" s="424"/>
      <c r="BT7" s="425"/>
      <c r="BU7" s="426"/>
      <c r="BV7" s="426"/>
      <c r="BW7" s="425"/>
      <c r="BX7" s="424"/>
      <c r="BY7" s="424"/>
      <c r="BZ7" s="425"/>
      <c r="CA7" s="426"/>
      <c r="CB7" s="426"/>
      <c r="CC7" s="425"/>
      <c r="CD7" s="424"/>
      <c r="CE7" s="424"/>
      <c r="CF7" s="425"/>
      <c r="CG7" s="426"/>
      <c r="CH7" s="426"/>
      <c r="CI7" s="425"/>
      <c r="CJ7" s="424"/>
      <c r="CK7" s="424"/>
      <c r="CL7" s="425"/>
      <c r="CM7" s="426"/>
      <c r="CN7" s="426"/>
      <c r="CO7" s="425"/>
      <c r="CP7" s="424"/>
      <c r="CQ7" s="424"/>
      <c r="CR7" s="425"/>
      <c r="CS7" s="426"/>
      <c r="CT7" s="426"/>
      <c r="CU7" s="425"/>
      <c r="CV7" s="424"/>
      <c r="CW7" s="424"/>
      <c r="CX7" s="425"/>
      <c r="CY7" s="426"/>
      <c r="CZ7" s="426"/>
      <c r="DA7" s="425"/>
      <c r="DB7" s="424"/>
      <c r="DC7" s="424"/>
      <c r="DD7" s="425"/>
      <c r="DE7" s="426"/>
      <c r="DF7" s="426"/>
      <c r="DG7" s="425"/>
      <c r="DH7" s="424"/>
      <c r="DI7" s="424"/>
      <c r="DJ7" s="425"/>
      <c r="DK7" s="426"/>
      <c r="DL7" s="426"/>
      <c r="DM7" s="425"/>
      <c r="DN7" s="424"/>
      <c r="DO7" s="424"/>
      <c r="DP7" s="425"/>
      <c r="DQ7" s="426"/>
      <c r="DR7" s="426"/>
      <c r="DS7" s="425"/>
      <c r="DT7" s="424"/>
      <c r="DU7" s="424"/>
      <c r="DV7" s="425"/>
      <c r="DW7" s="426"/>
      <c r="DX7" s="426"/>
      <c r="DY7" s="425"/>
      <c r="DZ7" s="424"/>
      <c r="EA7" s="424"/>
    </row>
    <row r="8" spans="2:131">
      <c r="B8" s="21"/>
      <c r="D8" s="5">
        <v>3</v>
      </c>
      <c r="E8" s="1" t="s">
        <v>960</v>
      </c>
      <c r="F8" s="469">
        <f ca="1">'MF Unit Material'!Y46+'MF Unit Material'!Y54</f>
        <v>8</v>
      </c>
      <c r="G8" s="431">
        <f>'MF Unit Material'!Z46+'MF Unit Material'!Z54</f>
        <v>3720.8599999999997</v>
      </c>
      <c r="H8" s="158">
        <f ca="1">'MF Unit Material'!AA46+'MF Unit Material'!AA54</f>
        <v>14883.439999999999</v>
      </c>
      <c r="I8" s="429">
        <f t="shared" ca="1" si="0"/>
        <v>8</v>
      </c>
      <c r="J8" s="429">
        <f t="shared" si="1"/>
        <v>0</v>
      </c>
      <c r="K8" s="428">
        <f t="shared" si="2"/>
        <v>0</v>
      </c>
      <c r="L8" s="427"/>
      <c r="M8" s="426"/>
      <c r="N8" s="426"/>
      <c r="O8" s="425"/>
      <c r="P8" s="424"/>
      <c r="Q8" s="424"/>
      <c r="R8" s="425"/>
      <c r="S8" s="426"/>
      <c r="T8" s="426"/>
      <c r="U8" s="425"/>
      <c r="V8" s="424"/>
      <c r="W8" s="424"/>
      <c r="X8" s="425"/>
      <c r="Y8" s="426"/>
      <c r="Z8" s="426"/>
      <c r="AA8" s="425"/>
      <c r="AB8" s="424"/>
      <c r="AC8" s="424"/>
      <c r="AD8" s="425"/>
      <c r="AE8" s="426"/>
      <c r="AF8" s="426"/>
      <c r="AG8" s="425"/>
      <c r="AH8" s="424"/>
      <c r="AI8" s="424"/>
      <c r="AJ8" s="425"/>
      <c r="AK8" s="426"/>
      <c r="AL8" s="426"/>
      <c r="AM8" s="425"/>
      <c r="AN8" s="424"/>
      <c r="AO8" s="424"/>
      <c r="AP8" s="425"/>
      <c r="AQ8" s="426"/>
      <c r="AR8" s="426"/>
      <c r="AS8" s="425"/>
      <c r="AT8" s="424"/>
      <c r="AU8" s="424"/>
      <c r="AV8" s="425"/>
      <c r="AW8" s="426"/>
      <c r="AX8" s="426"/>
      <c r="AY8" s="425"/>
      <c r="AZ8" s="424"/>
      <c r="BA8" s="424"/>
      <c r="BB8" s="425"/>
      <c r="BC8" s="426"/>
      <c r="BD8" s="426"/>
      <c r="BE8" s="425"/>
      <c r="BF8" s="424"/>
      <c r="BG8" s="424"/>
      <c r="BH8" s="425"/>
      <c r="BI8" s="426"/>
      <c r="BJ8" s="426"/>
      <c r="BK8" s="425"/>
      <c r="BL8" s="424"/>
      <c r="BM8" s="424"/>
      <c r="BN8" s="425"/>
      <c r="BO8" s="426"/>
      <c r="BP8" s="426"/>
      <c r="BQ8" s="425"/>
      <c r="BR8" s="424"/>
      <c r="BS8" s="424"/>
      <c r="BT8" s="425"/>
      <c r="BU8" s="426"/>
      <c r="BV8" s="426"/>
      <c r="BW8" s="425"/>
      <c r="BX8" s="424"/>
      <c r="BY8" s="424"/>
      <c r="BZ8" s="425"/>
      <c r="CA8" s="426"/>
      <c r="CB8" s="426"/>
      <c r="CC8" s="425"/>
      <c r="CD8" s="424"/>
      <c r="CE8" s="424"/>
      <c r="CF8" s="425"/>
      <c r="CG8" s="426"/>
      <c r="CH8" s="426"/>
      <c r="CI8" s="425"/>
      <c r="CJ8" s="424"/>
      <c r="CK8" s="424"/>
      <c r="CL8" s="425"/>
      <c r="CM8" s="426"/>
      <c r="CN8" s="426"/>
      <c r="CO8" s="425"/>
      <c r="CP8" s="424"/>
      <c r="CQ8" s="424"/>
      <c r="CR8" s="425"/>
      <c r="CS8" s="426"/>
      <c r="CT8" s="426"/>
      <c r="CU8" s="425"/>
      <c r="CV8" s="424"/>
      <c r="CW8" s="424"/>
      <c r="CX8" s="425"/>
      <c r="CY8" s="426"/>
      <c r="CZ8" s="426"/>
      <c r="DA8" s="425"/>
      <c r="DB8" s="424"/>
      <c r="DC8" s="424"/>
      <c r="DD8" s="425"/>
      <c r="DE8" s="426"/>
      <c r="DF8" s="426"/>
      <c r="DG8" s="425"/>
      <c r="DH8" s="424"/>
      <c r="DI8" s="424"/>
      <c r="DJ8" s="425"/>
      <c r="DK8" s="426"/>
      <c r="DL8" s="426"/>
      <c r="DM8" s="425"/>
      <c r="DN8" s="424"/>
      <c r="DO8" s="424"/>
      <c r="DP8" s="425"/>
      <c r="DQ8" s="426"/>
      <c r="DR8" s="426"/>
      <c r="DS8" s="425"/>
      <c r="DT8" s="424"/>
      <c r="DU8" s="424"/>
      <c r="DV8" s="425"/>
      <c r="DW8" s="426"/>
      <c r="DX8" s="426"/>
      <c r="DY8" s="425"/>
      <c r="DZ8" s="424"/>
      <c r="EA8" s="424"/>
    </row>
    <row r="9" spans="2:131">
      <c r="B9" s="21"/>
      <c r="D9" s="5">
        <v>3.5</v>
      </c>
      <c r="E9" s="1" t="s">
        <v>960</v>
      </c>
      <c r="F9" s="469">
        <f ca="1">'MF Unit Material'!Y47+'MF Unit Material'!Y55</f>
        <v>0</v>
      </c>
      <c r="G9" s="431">
        <f>'MF Unit Material'!Z47+'MF Unit Material'!Z55</f>
        <v>4552.8600000000006</v>
      </c>
      <c r="H9" s="158">
        <f ca="1">'MF Unit Material'!AA47+'MF Unit Material'!AA55</f>
        <v>0</v>
      </c>
      <c r="I9" s="429">
        <f t="shared" ca="1" si="0"/>
        <v>0</v>
      </c>
      <c r="J9" s="429">
        <f t="shared" si="1"/>
        <v>0</v>
      </c>
      <c r="K9" s="428">
        <f t="shared" si="2"/>
        <v>0</v>
      </c>
      <c r="L9" s="427"/>
      <c r="M9" s="426"/>
      <c r="N9" s="426"/>
      <c r="O9" s="425"/>
      <c r="P9" s="424"/>
      <c r="Q9" s="424"/>
      <c r="R9" s="425"/>
      <c r="S9" s="426"/>
      <c r="T9" s="426"/>
      <c r="U9" s="425"/>
      <c r="V9" s="424"/>
      <c r="W9" s="424"/>
      <c r="X9" s="425"/>
      <c r="Y9" s="426"/>
      <c r="Z9" s="426"/>
      <c r="AA9" s="425"/>
      <c r="AB9" s="424"/>
      <c r="AC9" s="424"/>
      <c r="AD9" s="425"/>
      <c r="AE9" s="426"/>
      <c r="AF9" s="426"/>
      <c r="AG9" s="425"/>
      <c r="AH9" s="424"/>
      <c r="AI9" s="424"/>
      <c r="AJ9" s="425"/>
      <c r="AK9" s="426"/>
      <c r="AL9" s="426"/>
      <c r="AM9" s="425"/>
      <c r="AN9" s="424"/>
      <c r="AO9" s="424"/>
      <c r="AP9" s="425"/>
      <c r="AQ9" s="426"/>
      <c r="AR9" s="426"/>
      <c r="AS9" s="425"/>
      <c r="AT9" s="424"/>
      <c r="AU9" s="424"/>
      <c r="AV9" s="425"/>
      <c r="AW9" s="426"/>
      <c r="AX9" s="426"/>
      <c r="AY9" s="425"/>
      <c r="AZ9" s="424"/>
      <c r="BA9" s="424"/>
      <c r="BB9" s="425"/>
      <c r="BC9" s="426"/>
      <c r="BD9" s="426"/>
      <c r="BE9" s="425"/>
      <c r="BF9" s="424"/>
      <c r="BG9" s="424"/>
      <c r="BH9" s="425"/>
      <c r="BI9" s="426"/>
      <c r="BJ9" s="426"/>
      <c r="BK9" s="425"/>
      <c r="BL9" s="424"/>
      <c r="BM9" s="424"/>
      <c r="BN9" s="425"/>
      <c r="BO9" s="426"/>
      <c r="BP9" s="426"/>
      <c r="BQ9" s="425"/>
      <c r="BR9" s="424"/>
      <c r="BS9" s="424"/>
      <c r="BT9" s="425"/>
      <c r="BU9" s="426"/>
      <c r="BV9" s="426"/>
      <c r="BW9" s="425"/>
      <c r="BX9" s="424"/>
      <c r="BY9" s="424"/>
      <c r="BZ9" s="425"/>
      <c r="CA9" s="426"/>
      <c r="CB9" s="426"/>
      <c r="CC9" s="425"/>
      <c r="CD9" s="424"/>
      <c r="CE9" s="424"/>
      <c r="CF9" s="425"/>
      <c r="CG9" s="426"/>
      <c r="CH9" s="426"/>
      <c r="CI9" s="425"/>
      <c r="CJ9" s="424"/>
      <c r="CK9" s="424"/>
      <c r="CL9" s="425"/>
      <c r="CM9" s="426"/>
      <c r="CN9" s="426"/>
      <c r="CO9" s="425"/>
      <c r="CP9" s="424"/>
      <c r="CQ9" s="424"/>
      <c r="CR9" s="425"/>
      <c r="CS9" s="426"/>
      <c r="CT9" s="426"/>
      <c r="CU9" s="425"/>
      <c r="CV9" s="424"/>
      <c r="CW9" s="424"/>
      <c r="CX9" s="425"/>
      <c r="CY9" s="426"/>
      <c r="CZ9" s="426"/>
      <c r="DA9" s="425"/>
      <c r="DB9" s="424"/>
      <c r="DC9" s="424"/>
      <c r="DD9" s="425"/>
      <c r="DE9" s="426"/>
      <c r="DF9" s="426"/>
      <c r="DG9" s="425"/>
      <c r="DH9" s="424"/>
      <c r="DI9" s="424"/>
      <c r="DJ9" s="425"/>
      <c r="DK9" s="426"/>
      <c r="DL9" s="426"/>
      <c r="DM9" s="425"/>
      <c r="DN9" s="424"/>
      <c r="DO9" s="424"/>
      <c r="DP9" s="425"/>
      <c r="DQ9" s="426"/>
      <c r="DR9" s="426"/>
      <c r="DS9" s="425"/>
      <c r="DT9" s="424"/>
      <c r="DU9" s="424"/>
      <c r="DV9" s="425"/>
      <c r="DW9" s="426"/>
      <c r="DX9" s="426"/>
      <c r="DY9" s="425"/>
      <c r="DZ9" s="424"/>
      <c r="EA9" s="424"/>
    </row>
    <row r="10" spans="2:131">
      <c r="B10" s="21"/>
      <c r="D10" s="5">
        <v>4</v>
      </c>
      <c r="E10" s="1" t="s">
        <v>960</v>
      </c>
      <c r="F10" s="469">
        <f ca="1">'MF Unit Material'!Y48+'MF Unit Material'!Y56</f>
        <v>0</v>
      </c>
      <c r="G10" s="431">
        <f>'MF Unit Material'!Z48+'MF Unit Material'!Z56</f>
        <v>4896.1000000000004</v>
      </c>
      <c r="H10" s="158">
        <f ca="1">'MF Unit Material'!AA48+'MF Unit Material'!AA56</f>
        <v>0</v>
      </c>
      <c r="I10" s="429">
        <f t="shared" ca="1" si="0"/>
        <v>0</v>
      </c>
      <c r="J10" s="429">
        <f t="shared" si="1"/>
        <v>0</v>
      </c>
      <c r="K10" s="428">
        <f t="shared" si="2"/>
        <v>0</v>
      </c>
      <c r="L10" s="427"/>
      <c r="M10" s="426"/>
      <c r="N10" s="426"/>
      <c r="O10" s="425"/>
      <c r="P10" s="424"/>
      <c r="Q10" s="424"/>
      <c r="R10" s="425"/>
      <c r="S10" s="426"/>
      <c r="T10" s="426"/>
      <c r="U10" s="425"/>
      <c r="V10" s="424"/>
      <c r="W10" s="424"/>
      <c r="X10" s="425"/>
      <c r="Y10" s="426"/>
      <c r="Z10" s="426"/>
      <c r="AA10" s="425"/>
      <c r="AB10" s="424"/>
      <c r="AC10" s="424"/>
      <c r="AD10" s="425"/>
      <c r="AE10" s="426"/>
      <c r="AF10" s="426"/>
      <c r="AG10" s="425"/>
      <c r="AH10" s="424"/>
      <c r="AI10" s="424"/>
      <c r="AJ10" s="425"/>
      <c r="AK10" s="426"/>
      <c r="AL10" s="426"/>
      <c r="AM10" s="425"/>
      <c r="AN10" s="424"/>
      <c r="AO10" s="424"/>
      <c r="AP10" s="425"/>
      <c r="AQ10" s="426"/>
      <c r="AR10" s="426"/>
      <c r="AS10" s="425"/>
      <c r="AT10" s="424"/>
      <c r="AU10" s="424"/>
      <c r="AV10" s="425"/>
      <c r="AW10" s="426"/>
      <c r="AX10" s="426"/>
      <c r="AY10" s="425"/>
      <c r="AZ10" s="424"/>
      <c r="BA10" s="424"/>
      <c r="BB10" s="425"/>
      <c r="BC10" s="426"/>
      <c r="BD10" s="426"/>
      <c r="BE10" s="425"/>
      <c r="BF10" s="424"/>
      <c r="BG10" s="424"/>
      <c r="BH10" s="425"/>
      <c r="BI10" s="426"/>
      <c r="BJ10" s="426"/>
      <c r="BK10" s="425"/>
      <c r="BL10" s="424"/>
      <c r="BM10" s="424"/>
      <c r="BN10" s="425"/>
      <c r="BO10" s="426"/>
      <c r="BP10" s="426"/>
      <c r="BQ10" s="425"/>
      <c r="BR10" s="424"/>
      <c r="BS10" s="424"/>
      <c r="BT10" s="425"/>
      <c r="BU10" s="426"/>
      <c r="BV10" s="426"/>
      <c r="BW10" s="425"/>
      <c r="BX10" s="424"/>
      <c r="BY10" s="424"/>
      <c r="BZ10" s="425"/>
      <c r="CA10" s="426"/>
      <c r="CB10" s="426"/>
      <c r="CC10" s="425"/>
      <c r="CD10" s="424"/>
      <c r="CE10" s="424"/>
      <c r="CF10" s="425"/>
      <c r="CG10" s="426"/>
      <c r="CH10" s="426"/>
      <c r="CI10" s="425"/>
      <c r="CJ10" s="424"/>
      <c r="CK10" s="424"/>
      <c r="CL10" s="425"/>
      <c r="CM10" s="426"/>
      <c r="CN10" s="426"/>
      <c r="CO10" s="425"/>
      <c r="CP10" s="424"/>
      <c r="CQ10" s="424"/>
      <c r="CR10" s="425"/>
      <c r="CS10" s="426"/>
      <c r="CT10" s="426"/>
      <c r="CU10" s="425"/>
      <c r="CV10" s="424"/>
      <c r="CW10" s="424"/>
      <c r="CX10" s="425"/>
      <c r="CY10" s="426"/>
      <c r="CZ10" s="426"/>
      <c r="DA10" s="425"/>
      <c r="DB10" s="424"/>
      <c r="DC10" s="424"/>
      <c r="DD10" s="425"/>
      <c r="DE10" s="426"/>
      <c r="DF10" s="426"/>
      <c r="DG10" s="425"/>
      <c r="DH10" s="424"/>
      <c r="DI10" s="424"/>
      <c r="DJ10" s="425"/>
      <c r="DK10" s="426"/>
      <c r="DL10" s="426"/>
      <c r="DM10" s="425"/>
      <c r="DN10" s="424"/>
      <c r="DO10" s="424"/>
      <c r="DP10" s="425"/>
      <c r="DQ10" s="426"/>
      <c r="DR10" s="426"/>
      <c r="DS10" s="425"/>
      <c r="DT10" s="424"/>
      <c r="DU10" s="424"/>
      <c r="DV10" s="425"/>
      <c r="DW10" s="426"/>
      <c r="DX10" s="426"/>
      <c r="DY10" s="425"/>
      <c r="DZ10" s="424"/>
      <c r="EA10" s="424"/>
    </row>
    <row r="11" spans="2:131">
      <c r="B11" s="21"/>
      <c r="D11" s="5">
        <v>5</v>
      </c>
      <c r="E11" s="1" t="s">
        <v>960</v>
      </c>
      <c r="F11" s="469">
        <f ca="1">'MF Unit Material'!Y49+'MF Unit Material'!Y57</f>
        <v>0</v>
      </c>
      <c r="G11" s="431">
        <f>'MF Unit Material'!Z49+'MF Unit Material'!Z57</f>
        <v>5680.66</v>
      </c>
      <c r="H11" s="158">
        <f ca="1">'MF Unit Material'!AA49+'MF Unit Material'!AA57</f>
        <v>0</v>
      </c>
      <c r="I11" s="429">
        <f t="shared" ca="1" si="0"/>
        <v>0</v>
      </c>
      <c r="J11" s="429">
        <f t="shared" si="1"/>
        <v>0</v>
      </c>
      <c r="K11" s="428">
        <f t="shared" si="2"/>
        <v>0</v>
      </c>
      <c r="L11" s="427"/>
      <c r="M11" s="426"/>
      <c r="N11" s="426"/>
      <c r="O11" s="425"/>
      <c r="P11" s="424"/>
      <c r="Q11" s="424"/>
      <c r="R11" s="425"/>
      <c r="S11" s="426"/>
      <c r="T11" s="426"/>
      <c r="U11" s="425"/>
      <c r="V11" s="424"/>
      <c r="W11" s="424"/>
      <c r="X11" s="425"/>
      <c r="Y11" s="426"/>
      <c r="Z11" s="426"/>
      <c r="AA11" s="425"/>
      <c r="AB11" s="424"/>
      <c r="AC11" s="424"/>
      <c r="AD11" s="425"/>
      <c r="AE11" s="426"/>
      <c r="AF11" s="426"/>
      <c r="AG11" s="425"/>
      <c r="AH11" s="424"/>
      <c r="AI11" s="424"/>
      <c r="AJ11" s="425"/>
      <c r="AK11" s="426"/>
      <c r="AL11" s="426"/>
      <c r="AM11" s="425"/>
      <c r="AN11" s="424"/>
      <c r="AO11" s="424"/>
      <c r="AP11" s="425"/>
      <c r="AQ11" s="426"/>
      <c r="AR11" s="426"/>
      <c r="AS11" s="425"/>
      <c r="AT11" s="424"/>
      <c r="AU11" s="424"/>
      <c r="AV11" s="425"/>
      <c r="AW11" s="426"/>
      <c r="AX11" s="426"/>
      <c r="AY11" s="425"/>
      <c r="AZ11" s="424"/>
      <c r="BA11" s="424"/>
      <c r="BB11" s="425"/>
      <c r="BC11" s="426"/>
      <c r="BD11" s="426"/>
      <c r="BE11" s="425"/>
      <c r="BF11" s="424"/>
      <c r="BG11" s="424"/>
      <c r="BH11" s="425"/>
      <c r="BI11" s="426"/>
      <c r="BJ11" s="426"/>
      <c r="BK11" s="425"/>
      <c r="BL11" s="424"/>
      <c r="BM11" s="424"/>
      <c r="BN11" s="425"/>
      <c r="BO11" s="426"/>
      <c r="BP11" s="426"/>
      <c r="BQ11" s="425"/>
      <c r="BR11" s="424"/>
      <c r="BS11" s="424"/>
      <c r="BT11" s="425"/>
      <c r="BU11" s="426"/>
      <c r="BV11" s="426"/>
      <c r="BW11" s="425"/>
      <c r="BX11" s="424"/>
      <c r="BY11" s="424"/>
      <c r="BZ11" s="425"/>
      <c r="CA11" s="426"/>
      <c r="CB11" s="426"/>
      <c r="CC11" s="425"/>
      <c r="CD11" s="424"/>
      <c r="CE11" s="424"/>
      <c r="CF11" s="425"/>
      <c r="CG11" s="426"/>
      <c r="CH11" s="426"/>
      <c r="CI11" s="425"/>
      <c r="CJ11" s="424"/>
      <c r="CK11" s="424"/>
      <c r="CL11" s="425"/>
      <c r="CM11" s="426"/>
      <c r="CN11" s="426"/>
      <c r="CO11" s="425"/>
      <c r="CP11" s="424"/>
      <c r="CQ11" s="424"/>
      <c r="CR11" s="425"/>
      <c r="CS11" s="426"/>
      <c r="CT11" s="426"/>
      <c r="CU11" s="425"/>
      <c r="CV11" s="424"/>
      <c r="CW11" s="424"/>
      <c r="CX11" s="425"/>
      <c r="CY11" s="426"/>
      <c r="CZ11" s="426"/>
      <c r="DA11" s="425"/>
      <c r="DB11" s="424"/>
      <c r="DC11" s="424"/>
      <c r="DD11" s="425"/>
      <c r="DE11" s="426"/>
      <c r="DF11" s="426"/>
      <c r="DG11" s="425"/>
      <c r="DH11" s="424"/>
      <c r="DI11" s="424"/>
      <c r="DJ11" s="425"/>
      <c r="DK11" s="426"/>
      <c r="DL11" s="426"/>
      <c r="DM11" s="425"/>
      <c r="DN11" s="424"/>
      <c r="DO11" s="424"/>
      <c r="DP11" s="425"/>
      <c r="DQ11" s="426"/>
      <c r="DR11" s="426"/>
      <c r="DS11" s="425"/>
      <c r="DT11" s="424"/>
      <c r="DU11" s="424"/>
      <c r="DV11" s="425"/>
      <c r="DW11" s="426"/>
      <c r="DX11" s="426"/>
      <c r="DY11" s="425"/>
      <c r="DZ11" s="424"/>
      <c r="EA11" s="424"/>
    </row>
    <row r="12" spans="2:131">
      <c r="B12" s="21"/>
      <c r="C12" s="423"/>
      <c r="D12" s="5"/>
      <c r="E12" s="16" t="s">
        <v>961</v>
      </c>
      <c r="F12" s="468">
        <f ca="1">'MF Unit Material'!Y59</f>
        <v>365</v>
      </c>
      <c r="G12" s="421"/>
      <c r="H12" s="467">
        <f ca="1">SUM(H5:H11)</f>
        <v>530564.43999999994</v>
      </c>
      <c r="I12" s="429"/>
      <c r="J12" s="429">
        <f t="shared" si="1"/>
        <v>0</v>
      </c>
      <c r="K12" s="428">
        <f t="shared" si="2"/>
        <v>0</v>
      </c>
      <c r="L12" s="466"/>
      <c r="M12" s="426"/>
      <c r="N12" s="426"/>
      <c r="O12" s="425"/>
      <c r="P12" s="424"/>
      <c r="Q12" s="424"/>
      <c r="R12" s="465"/>
      <c r="S12" s="426"/>
      <c r="T12" s="426"/>
      <c r="U12" s="425"/>
      <c r="V12" s="424"/>
      <c r="W12" s="424"/>
      <c r="X12" s="465"/>
      <c r="Y12" s="426"/>
      <c r="Z12" s="426"/>
      <c r="AA12" s="425"/>
      <c r="AB12" s="424"/>
      <c r="AC12" s="424"/>
      <c r="AD12" s="465"/>
      <c r="AE12" s="426"/>
      <c r="AF12" s="426"/>
      <c r="AG12" s="425"/>
      <c r="AH12" s="424"/>
      <c r="AI12" s="424"/>
      <c r="AJ12" s="465"/>
      <c r="AK12" s="426"/>
      <c r="AL12" s="426"/>
      <c r="AM12" s="425"/>
      <c r="AN12" s="424"/>
      <c r="AO12" s="424"/>
      <c r="AP12" s="465"/>
      <c r="AQ12" s="426"/>
      <c r="AR12" s="426"/>
      <c r="AS12" s="425"/>
      <c r="AT12" s="424"/>
      <c r="AU12" s="424"/>
      <c r="AV12" s="465"/>
      <c r="AW12" s="426"/>
      <c r="AX12" s="426"/>
      <c r="AY12" s="425"/>
      <c r="AZ12" s="424"/>
      <c r="BA12" s="424"/>
      <c r="BB12" s="465"/>
      <c r="BC12" s="426"/>
      <c r="BD12" s="426"/>
      <c r="BE12" s="425"/>
      <c r="BF12" s="424"/>
      <c r="BG12" s="424"/>
      <c r="BH12" s="465"/>
      <c r="BI12" s="426"/>
      <c r="BJ12" s="426"/>
      <c r="BK12" s="425"/>
      <c r="BL12" s="424"/>
      <c r="BM12" s="424"/>
      <c r="BN12" s="465"/>
      <c r="BO12" s="426"/>
      <c r="BP12" s="426"/>
      <c r="BQ12" s="425"/>
      <c r="BR12" s="424"/>
      <c r="BS12" s="424"/>
      <c r="BT12" s="465"/>
      <c r="BU12" s="426"/>
      <c r="BV12" s="426"/>
      <c r="BW12" s="425"/>
      <c r="BX12" s="424"/>
      <c r="BY12" s="424"/>
      <c r="BZ12" s="465"/>
      <c r="CA12" s="426"/>
      <c r="CB12" s="426"/>
      <c r="CC12" s="425"/>
      <c r="CD12" s="424"/>
      <c r="CE12" s="424"/>
      <c r="CF12" s="465"/>
      <c r="CG12" s="426"/>
      <c r="CH12" s="426"/>
      <c r="CI12" s="425"/>
      <c r="CJ12" s="424"/>
      <c r="CK12" s="424"/>
      <c r="CL12" s="465"/>
      <c r="CM12" s="426"/>
      <c r="CN12" s="426"/>
      <c r="CO12" s="425"/>
      <c r="CP12" s="424"/>
      <c r="CQ12" s="424"/>
      <c r="CR12" s="465"/>
      <c r="CS12" s="426"/>
      <c r="CT12" s="426"/>
      <c r="CU12" s="425"/>
      <c r="CV12" s="424"/>
      <c r="CW12" s="424"/>
      <c r="CX12" s="465"/>
      <c r="CY12" s="426"/>
      <c r="CZ12" s="426"/>
      <c r="DA12" s="425"/>
      <c r="DB12" s="424"/>
      <c r="DC12" s="424"/>
      <c r="DD12" s="465"/>
      <c r="DE12" s="426"/>
      <c r="DF12" s="426"/>
      <c r="DG12" s="425"/>
      <c r="DH12" s="424"/>
      <c r="DI12" s="424"/>
      <c r="DJ12" s="465"/>
      <c r="DK12" s="426"/>
      <c r="DL12" s="426"/>
      <c r="DM12" s="425"/>
      <c r="DN12" s="424"/>
      <c r="DO12" s="424"/>
      <c r="DP12" s="465"/>
      <c r="DQ12" s="426"/>
      <c r="DR12" s="426"/>
      <c r="DS12" s="425"/>
      <c r="DT12" s="424"/>
      <c r="DU12" s="424"/>
      <c r="DV12" s="465"/>
      <c r="DW12" s="426"/>
      <c r="DX12" s="426"/>
      <c r="DY12" s="425"/>
      <c r="DZ12" s="424"/>
      <c r="EA12" s="424"/>
    </row>
    <row r="13" spans="2:131">
      <c r="C13" s="463" t="s">
        <v>962</v>
      </c>
      <c r="D13" s="65"/>
      <c r="E13" s="65"/>
      <c r="F13" s="437" t="s">
        <v>948</v>
      </c>
      <c r="G13" s="436" t="s">
        <v>949</v>
      </c>
      <c r="H13" s="412" t="s">
        <v>950</v>
      </c>
      <c r="I13" s="429"/>
      <c r="J13" s="429">
        <f t="shared" si="1"/>
        <v>0</v>
      </c>
      <c r="K13" s="428">
        <f t="shared" si="2"/>
        <v>0</v>
      </c>
      <c r="L13" s="427"/>
      <c r="M13" s="426"/>
      <c r="N13" s="426"/>
      <c r="O13" s="425"/>
      <c r="P13" s="424"/>
      <c r="Q13" s="424"/>
      <c r="R13" s="425"/>
      <c r="S13" s="426"/>
      <c r="T13" s="426"/>
      <c r="U13" s="425"/>
      <c r="V13" s="424"/>
      <c r="W13" s="424"/>
      <c r="X13" s="425"/>
      <c r="Y13" s="426"/>
      <c r="Z13" s="426"/>
      <c r="AA13" s="425"/>
      <c r="AB13" s="424"/>
      <c r="AC13" s="424"/>
      <c r="AD13" s="425"/>
      <c r="AE13" s="426"/>
      <c r="AF13" s="426"/>
      <c r="AG13" s="425"/>
      <c r="AH13" s="424"/>
      <c r="AI13" s="424"/>
      <c r="AJ13" s="425"/>
      <c r="AK13" s="426"/>
      <c r="AL13" s="426"/>
      <c r="AM13" s="425"/>
      <c r="AN13" s="424"/>
      <c r="AO13" s="424"/>
      <c r="AP13" s="425"/>
      <c r="AQ13" s="426"/>
      <c r="AR13" s="426"/>
      <c r="AS13" s="425"/>
      <c r="AT13" s="424"/>
      <c r="AU13" s="424"/>
      <c r="AV13" s="425"/>
      <c r="AW13" s="426"/>
      <c r="AX13" s="426"/>
      <c r="AY13" s="425"/>
      <c r="AZ13" s="424"/>
      <c r="BA13" s="424"/>
      <c r="BB13" s="425"/>
      <c r="BC13" s="426"/>
      <c r="BD13" s="426"/>
      <c r="BE13" s="425"/>
      <c r="BF13" s="424"/>
      <c r="BG13" s="424"/>
      <c r="BH13" s="425"/>
      <c r="BI13" s="426"/>
      <c r="BJ13" s="426"/>
      <c r="BK13" s="425"/>
      <c r="BL13" s="424"/>
      <c r="BM13" s="424"/>
      <c r="BN13" s="425"/>
      <c r="BO13" s="426"/>
      <c r="BP13" s="426"/>
      <c r="BQ13" s="425"/>
      <c r="BR13" s="424"/>
      <c r="BS13" s="424"/>
      <c r="BT13" s="425"/>
      <c r="BU13" s="426"/>
      <c r="BV13" s="426"/>
      <c r="BW13" s="425"/>
      <c r="BX13" s="424"/>
      <c r="BY13" s="424"/>
      <c r="BZ13" s="425"/>
      <c r="CA13" s="426"/>
      <c r="CB13" s="426"/>
      <c r="CC13" s="425"/>
      <c r="CD13" s="424"/>
      <c r="CE13" s="424"/>
      <c r="CF13" s="425"/>
      <c r="CG13" s="426"/>
      <c r="CH13" s="426"/>
      <c r="CI13" s="425"/>
      <c r="CJ13" s="424"/>
      <c r="CK13" s="424"/>
      <c r="CL13" s="425"/>
      <c r="CM13" s="426"/>
      <c r="CN13" s="426"/>
      <c r="CO13" s="425"/>
      <c r="CP13" s="424"/>
      <c r="CQ13" s="424"/>
      <c r="CR13" s="425"/>
      <c r="CS13" s="426"/>
      <c r="CT13" s="426"/>
      <c r="CU13" s="425"/>
      <c r="CV13" s="424"/>
      <c r="CW13" s="424"/>
      <c r="CX13" s="425"/>
      <c r="CY13" s="426"/>
      <c r="CZ13" s="426"/>
      <c r="DA13" s="425"/>
      <c r="DB13" s="424"/>
      <c r="DC13" s="424"/>
      <c r="DD13" s="425"/>
      <c r="DE13" s="426"/>
      <c r="DF13" s="426"/>
      <c r="DG13" s="425"/>
      <c r="DH13" s="424"/>
      <c r="DI13" s="424"/>
      <c r="DJ13" s="425"/>
      <c r="DK13" s="426"/>
      <c r="DL13" s="426"/>
      <c r="DM13" s="425"/>
      <c r="DN13" s="424"/>
      <c r="DO13" s="424"/>
      <c r="DP13" s="425"/>
      <c r="DQ13" s="426"/>
      <c r="DR13" s="426"/>
      <c r="DS13" s="425"/>
      <c r="DT13" s="424"/>
      <c r="DU13" s="424"/>
      <c r="DV13" s="425"/>
      <c r="DW13" s="426"/>
      <c r="DX13" s="426"/>
      <c r="DY13" s="425"/>
      <c r="DZ13" s="424"/>
      <c r="EA13" s="424"/>
    </row>
    <row r="14" spans="2:131">
      <c r="D14" s="1" t="s">
        <v>519</v>
      </c>
      <c r="E14" s="1" t="s">
        <v>686</v>
      </c>
      <c r="F14" s="432">
        <f ca="1">'MF Unit Material'!Y67</f>
        <v>12684.800000000001</v>
      </c>
      <c r="G14" s="431">
        <f>'MF Unit Material'!Z67</f>
        <v>67</v>
      </c>
      <c r="H14" s="158">
        <f ca="1">'MF Unit Material'!AA67</f>
        <v>8498.8160000000007</v>
      </c>
      <c r="I14" s="430">
        <f ca="1">F14-J14</f>
        <v>12684.800000000001</v>
      </c>
      <c r="J14" s="429">
        <f t="shared" si="1"/>
        <v>0</v>
      </c>
      <c r="K14" s="428">
        <f t="shared" si="2"/>
        <v>0</v>
      </c>
      <c r="L14" s="427"/>
      <c r="M14" s="426"/>
      <c r="N14" s="426"/>
      <c r="O14" s="425"/>
      <c r="P14" s="424"/>
      <c r="Q14" s="424"/>
      <c r="R14" s="425"/>
      <c r="S14" s="426"/>
      <c r="T14" s="426"/>
      <c r="U14" s="425"/>
      <c r="V14" s="424"/>
      <c r="W14" s="424"/>
      <c r="X14" s="425"/>
      <c r="Y14" s="426"/>
      <c r="Z14" s="426"/>
      <c r="AA14" s="425"/>
      <c r="AB14" s="424"/>
      <c r="AC14" s="424"/>
      <c r="AD14" s="425"/>
      <c r="AE14" s="426"/>
      <c r="AF14" s="426"/>
      <c r="AG14" s="425"/>
      <c r="AH14" s="424"/>
      <c r="AI14" s="424"/>
      <c r="AJ14" s="425"/>
      <c r="AK14" s="426"/>
      <c r="AL14" s="426"/>
      <c r="AM14" s="425"/>
      <c r="AN14" s="424"/>
      <c r="AO14" s="424"/>
      <c r="AP14" s="425"/>
      <c r="AQ14" s="426"/>
      <c r="AR14" s="426"/>
      <c r="AS14" s="425"/>
      <c r="AT14" s="424"/>
      <c r="AU14" s="424"/>
      <c r="AV14" s="425"/>
      <c r="AW14" s="426"/>
      <c r="AX14" s="426"/>
      <c r="AY14" s="425"/>
      <c r="AZ14" s="424"/>
      <c r="BA14" s="424"/>
      <c r="BB14" s="425"/>
      <c r="BC14" s="426"/>
      <c r="BD14" s="426"/>
      <c r="BE14" s="425"/>
      <c r="BF14" s="424"/>
      <c r="BG14" s="424"/>
      <c r="BH14" s="425"/>
      <c r="BI14" s="426"/>
      <c r="BJ14" s="426"/>
      <c r="BK14" s="425"/>
      <c r="BL14" s="424"/>
      <c r="BM14" s="424"/>
      <c r="BN14" s="425"/>
      <c r="BO14" s="426"/>
      <c r="BP14" s="426"/>
      <c r="BQ14" s="425"/>
      <c r="BR14" s="424"/>
      <c r="BS14" s="424"/>
      <c r="BT14" s="425"/>
      <c r="BU14" s="426"/>
      <c r="BV14" s="426"/>
      <c r="BW14" s="425"/>
      <c r="BX14" s="424"/>
      <c r="BY14" s="424"/>
      <c r="BZ14" s="425"/>
      <c r="CA14" s="426"/>
      <c r="CB14" s="426"/>
      <c r="CC14" s="425"/>
      <c r="CD14" s="424"/>
      <c r="CE14" s="424"/>
      <c r="CF14" s="425"/>
      <c r="CG14" s="426"/>
      <c r="CH14" s="426"/>
      <c r="CI14" s="425"/>
      <c r="CJ14" s="424"/>
      <c r="CK14" s="424"/>
      <c r="CL14" s="425"/>
      <c r="CM14" s="426"/>
      <c r="CN14" s="426"/>
      <c r="CO14" s="425"/>
      <c r="CP14" s="424"/>
      <c r="CQ14" s="424"/>
      <c r="CR14" s="425"/>
      <c r="CS14" s="426"/>
      <c r="CT14" s="426"/>
      <c r="CU14" s="425"/>
      <c r="CV14" s="424"/>
      <c r="CW14" s="424"/>
      <c r="CX14" s="425"/>
      <c r="CY14" s="426"/>
      <c r="CZ14" s="426"/>
      <c r="DA14" s="425"/>
      <c r="DB14" s="424"/>
      <c r="DC14" s="424"/>
      <c r="DD14" s="425"/>
      <c r="DE14" s="426"/>
      <c r="DF14" s="426"/>
      <c r="DG14" s="425"/>
      <c r="DH14" s="424"/>
      <c r="DI14" s="424"/>
      <c r="DJ14" s="425"/>
      <c r="DK14" s="426"/>
      <c r="DL14" s="426"/>
      <c r="DM14" s="425"/>
      <c r="DN14" s="424"/>
      <c r="DO14" s="424"/>
      <c r="DP14" s="425"/>
      <c r="DQ14" s="426"/>
      <c r="DR14" s="426"/>
      <c r="DS14" s="425"/>
      <c r="DT14" s="424"/>
      <c r="DU14" s="424"/>
      <c r="DV14" s="425"/>
      <c r="DW14" s="426"/>
      <c r="DX14" s="426"/>
      <c r="DY14" s="425"/>
      <c r="DZ14" s="424"/>
      <c r="EA14" s="424"/>
    </row>
    <row r="15" spans="2:131">
      <c r="D15" s="1" t="s">
        <v>529</v>
      </c>
      <c r="E15" s="1" t="s">
        <v>686</v>
      </c>
      <c r="F15" s="432">
        <f ca="1">'MF Unit Material'!Y68</f>
        <v>12684.800000000001</v>
      </c>
      <c r="G15" s="431">
        <f>'MF Unit Material'!Z68</f>
        <v>160</v>
      </c>
      <c r="H15" s="158">
        <f ca="1">'MF Unit Material'!AA68</f>
        <v>20295.680000000004</v>
      </c>
      <c r="I15" s="430">
        <f ca="1">F15-J15</f>
        <v>12684.800000000001</v>
      </c>
      <c r="J15" s="429">
        <f t="shared" si="1"/>
        <v>0</v>
      </c>
      <c r="K15" s="428">
        <f t="shared" si="2"/>
        <v>0</v>
      </c>
      <c r="L15" s="427"/>
      <c r="M15" s="426"/>
      <c r="N15" s="426"/>
      <c r="O15" s="425"/>
      <c r="P15" s="424"/>
      <c r="Q15" s="424"/>
      <c r="R15" s="425"/>
      <c r="S15" s="426"/>
      <c r="T15" s="426"/>
      <c r="U15" s="425"/>
      <c r="V15" s="424"/>
      <c r="W15" s="424"/>
      <c r="X15" s="425"/>
      <c r="Y15" s="426"/>
      <c r="Z15" s="426"/>
      <c r="AA15" s="425"/>
      <c r="AB15" s="424"/>
      <c r="AC15" s="424"/>
      <c r="AD15" s="425"/>
      <c r="AE15" s="426"/>
      <c r="AF15" s="426"/>
      <c r="AG15" s="425"/>
      <c r="AH15" s="424"/>
      <c r="AI15" s="424"/>
      <c r="AJ15" s="425"/>
      <c r="AK15" s="426"/>
      <c r="AL15" s="426"/>
      <c r="AM15" s="425"/>
      <c r="AN15" s="424"/>
      <c r="AO15" s="424"/>
      <c r="AP15" s="425"/>
      <c r="AQ15" s="426"/>
      <c r="AR15" s="426"/>
      <c r="AS15" s="425"/>
      <c r="AT15" s="424"/>
      <c r="AU15" s="424"/>
      <c r="AV15" s="425"/>
      <c r="AW15" s="426"/>
      <c r="AX15" s="426"/>
      <c r="AY15" s="425"/>
      <c r="AZ15" s="424"/>
      <c r="BA15" s="424"/>
      <c r="BB15" s="425"/>
      <c r="BC15" s="426"/>
      <c r="BD15" s="426"/>
      <c r="BE15" s="425"/>
      <c r="BF15" s="424"/>
      <c r="BG15" s="424"/>
      <c r="BH15" s="425"/>
      <c r="BI15" s="426"/>
      <c r="BJ15" s="426"/>
      <c r="BK15" s="425"/>
      <c r="BL15" s="424"/>
      <c r="BM15" s="424"/>
      <c r="BN15" s="425"/>
      <c r="BO15" s="426"/>
      <c r="BP15" s="426"/>
      <c r="BQ15" s="425"/>
      <c r="BR15" s="424"/>
      <c r="BS15" s="424"/>
      <c r="BT15" s="425"/>
      <c r="BU15" s="426"/>
      <c r="BV15" s="426"/>
      <c r="BW15" s="425"/>
      <c r="BX15" s="424"/>
      <c r="BY15" s="424"/>
      <c r="BZ15" s="425"/>
      <c r="CA15" s="426"/>
      <c r="CB15" s="426"/>
      <c r="CC15" s="425"/>
      <c r="CD15" s="424"/>
      <c r="CE15" s="424"/>
      <c r="CF15" s="425"/>
      <c r="CG15" s="426"/>
      <c r="CH15" s="426"/>
      <c r="CI15" s="425"/>
      <c r="CJ15" s="424"/>
      <c r="CK15" s="424"/>
      <c r="CL15" s="425"/>
      <c r="CM15" s="426"/>
      <c r="CN15" s="426"/>
      <c r="CO15" s="425"/>
      <c r="CP15" s="424"/>
      <c r="CQ15" s="424"/>
      <c r="CR15" s="425"/>
      <c r="CS15" s="426"/>
      <c r="CT15" s="426"/>
      <c r="CU15" s="425"/>
      <c r="CV15" s="424"/>
      <c r="CW15" s="424"/>
      <c r="CX15" s="425"/>
      <c r="CY15" s="426"/>
      <c r="CZ15" s="426"/>
      <c r="DA15" s="425"/>
      <c r="DB15" s="424"/>
      <c r="DC15" s="424"/>
      <c r="DD15" s="425"/>
      <c r="DE15" s="426"/>
      <c r="DF15" s="426"/>
      <c r="DG15" s="425"/>
      <c r="DH15" s="424"/>
      <c r="DI15" s="424"/>
      <c r="DJ15" s="425"/>
      <c r="DK15" s="426"/>
      <c r="DL15" s="426"/>
      <c r="DM15" s="425"/>
      <c r="DN15" s="424"/>
      <c r="DO15" s="424"/>
      <c r="DP15" s="425"/>
      <c r="DQ15" s="426"/>
      <c r="DR15" s="426"/>
      <c r="DS15" s="425"/>
      <c r="DT15" s="424"/>
      <c r="DU15" s="424"/>
      <c r="DV15" s="425"/>
      <c r="DW15" s="426"/>
      <c r="DX15" s="426"/>
      <c r="DY15" s="425"/>
      <c r="DZ15" s="424"/>
      <c r="EA15" s="424"/>
    </row>
    <row r="16" spans="2:131">
      <c r="C16" s="64"/>
      <c r="D16" s="464"/>
      <c r="E16" s="447" t="s">
        <v>961</v>
      </c>
      <c r="F16" s="422">
        <f ca="1">'MF Unit Material'!Y70</f>
        <v>25369.600000000002</v>
      </c>
      <c r="G16" s="421">
        <f>'MF Unit Material'!Z70</f>
        <v>0</v>
      </c>
      <c r="H16" s="420">
        <f ca="1">'MF Unit Material'!AA70</f>
        <v>28794.495999999999</v>
      </c>
      <c r="I16" s="429"/>
      <c r="J16" s="429">
        <f t="shared" si="1"/>
        <v>0</v>
      </c>
      <c r="K16" s="428">
        <f t="shared" si="2"/>
        <v>0</v>
      </c>
      <c r="L16" s="427"/>
      <c r="M16" s="426"/>
      <c r="N16" s="426"/>
      <c r="O16" s="425"/>
      <c r="P16" s="424"/>
      <c r="Q16" s="424"/>
      <c r="R16" s="425"/>
      <c r="S16" s="426"/>
      <c r="T16" s="426"/>
      <c r="U16" s="425"/>
      <c r="V16" s="424"/>
      <c r="W16" s="424"/>
      <c r="X16" s="425"/>
      <c r="Y16" s="426"/>
      <c r="Z16" s="426"/>
      <c r="AA16" s="425"/>
      <c r="AB16" s="424"/>
      <c r="AC16" s="424"/>
      <c r="AD16" s="425"/>
      <c r="AE16" s="426"/>
      <c r="AF16" s="426"/>
      <c r="AG16" s="425"/>
      <c r="AH16" s="424"/>
      <c r="AI16" s="424"/>
      <c r="AJ16" s="425"/>
      <c r="AK16" s="426"/>
      <c r="AL16" s="426"/>
      <c r="AM16" s="425"/>
      <c r="AN16" s="424"/>
      <c r="AO16" s="424"/>
      <c r="AP16" s="425"/>
      <c r="AQ16" s="426"/>
      <c r="AR16" s="426"/>
      <c r="AS16" s="425"/>
      <c r="AT16" s="424"/>
      <c r="AU16" s="424"/>
      <c r="AV16" s="425"/>
      <c r="AW16" s="426"/>
      <c r="AX16" s="426"/>
      <c r="AY16" s="425"/>
      <c r="AZ16" s="424"/>
      <c r="BA16" s="424"/>
      <c r="BB16" s="425"/>
      <c r="BC16" s="426"/>
      <c r="BD16" s="426"/>
      <c r="BE16" s="425"/>
      <c r="BF16" s="424"/>
      <c r="BG16" s="424"/>
      <c r="BH16" s="425"/>
      <c r="BI16" s="426"/>
      <c r="BJ16" s="426"/>
      <c r="BK16" s="425"/>
      <c r="BL16" s="424"/>
      <c r="BM16" s="424"/>
      <c r="BN16" s="425"/>
      <c r="BO16" s="426"/>
      <c r="BP16" s="426"/>
      <c r="BQ16" s="425"/>
      <c r="BR16" s="424"/>
      <c r="BS16" s="424"/>
      <c r="BT16" s="425"/>
      <c r="BU16" s="426"/>
      <c r="BV16" s="426"/>
      <c r="BW16" s="425"/>
      <c r="BX16" s="424"/>
      <c r="BY16" s="424"/>
      <c r="BZ16" s="425"/>
      <c r="CA16" s="426"/>
      <c r="CB16" s="426"/>
      <c r="CC16" s="425"/>
      <c r="CD16" s="424"/>
      <c r="CE16" s="424"/>
      <c r="CF16" s="425"/>
      <c r="CG16" s="426"/>
      <c r="CH16" s="426"/>
      <c r="CI16" s="425"/>
      <c r="CJ16" s="424"/>
      <c r="CK16" s="424"/>
      <c r="CL16" s="425"/>
      <c r="CM16" s="426"/>
      <c r="CN16" s="426"/>
      <c r="CO16" s="425"/>
      <c r="CP16" s="424"/>
      <c r="CQ16" s="424"/>
      <c r="CR16" s="425"/>
      <c r="CS16" s="426"/>
      <c r="CT16" s="426"/>
      <c r="CU16" s="425"/>
      <c r="CV16" s="424"/>
      <c r="CW16" s="424"/>
      <c r="CX16" s="425"/>
      <c r="CY16" s="426"/>
      <c r="CZ16" s="426"/>
      <c r="DA16" s="425"/>
      <c r="DB16" s="424"/>
      <c r="DC16" s="424"/>
      <c r="DD16" s="425"/>
      <c r="DE16" s="426"/>
      <c r="DF16" s="426"/>
      <c r="DG16" s="425"/>
      <c r="DH16" s="424"/>
      <c r="DI16" s="424"/>
      <c r="DJ16" s="425"/>
      <c r="DK16" s="426"/>
      <c r="DL16" s="426"/>
      <c r="DM16" s="425"/>
      <c r="DN16" s="424"/>
      <c r="DO16" s="424"/>
      <c r="DP16" s="425"/>
      <c r="DQ16" s="426"/>
      <c r="DR16" s="426"/>
      <c r="DS16" s="425"/>
      <c r="DT16" s="424"/>
      <c r="DU16" s="424"/>
      <c r="DV16" s="425"/>
      <c r="DW16" s="426"/>
      <c r="DX16" s="426"/>
      <c r="DY16" s="425"/>
      <c r="DZ16" s="424"/>
      <c r="EA16" s="424"/>
    </row>
    <row r="17" spans="3:131">
      <c r="C17" s="463" t="s">
        <v>963</v>
      </c>
      <c r="D17" s="65"/>
      <c r="E17" s="65"/>
      <c r="F17" s="437" t="s">
        <v>948</v>
      </c>
      <c r="G17" s="436" t="s">
        <v>949</v>
      </c>
      <c r="H17" s="412" t="s">
        <v>950</v>
      </c>
      <c r="I17" s="429"/>
      <c r="J17" s="429">
        <f t="shared" si="1"/>
        <v>0</v>
      </c>
      <c r="K17" s="428">
        <f t="shared" si="2"/>
        <v>0</v>
      </c>
      <c r="L17" s="427"/>
      <c r="M17" s="426"/>
      <c r="N17" s="426"/>
      <c r="O17" s="425"/>
      <c r="P17" s="424"/>
      <c r="Q17" s="424"/>
      <c r="R17" s="425"/>
      <c r="S17" s="426"/>
      <c r="T17" s="426"/>
      <c r="U17" s="425"/>
      <c r="V17" s="424"/>
      <c r="W17" s="424"/>
      <c r="X17" s="425"/>
      <c r="Y17" s="426"/>
      <c r="Z17" s="426"/>
      <c r="AA17" s="425"/>
      <c r="AB17" s="424"/>
      <c r="AC17" s="424"/>
      <c r="AD17" s="425"/>
      <c r="AE17" s="426"/>
      <c r="AF17" s="426"/>
      <c r="AG17" s="425"/>
      <c r="AH17" s="424"/>
      <c r="AI17" s="424"/>
      <c r="AJ17" s="425"/>
      <c r="AK17" s="426"/>
      <c r="AL17" s="426"/>
      <c r="AM17" s="425"/>
      <c r="AN17" s="424"/>
      <c r="AO17" s="424"/>
      <c r="AP17" s="425"/>
      <c r="AQ17" s="426"/>
      <c r="AR17" s="426"/>
      <c r="AS17" s="425"/>
      <c r="AT17" s="424"/>
      <c r="AU17" s="424"/>
      <c r="AV17" s="425"/>
      <c r="AW17" s="426"/>
      <c r="AX17" s="426"/>
      <c r="AY17" s="425"/>
      <c r="AZ17" s="424"/>
      <c r="BA17" s="424"/>
      <c r="BB17" s="425"/>
      <c r="BC17" s="426"/>
      <c r="BD17" s="426"/>
      <c r="BE17" s="425"/>
      <c r="BF17" s="424"/>
      <c r="BG17" s="424"/>
      <c r="BH17" s="425"/>
      <c r="BI17" s="426"/>
      <c r="BJ17" s="426"/>
      <c r="BK17" s="425"/>
      <c r="BL17" s="424"/>
      <c r="BM17" s="424"/>
      <c r="BN17" s="425"/>
      <c r="BO17" s="426"/>
      <c r="BP17" s="426"/>
      <c r="BQ17" s="425"/>
      <c r="BR17" s="424"/>
      <c r="BS17" s="424"/>
      <c r="BT17" s="425"/>
      <c r="BU17" s="426"/>
      <c r="BV17" s="426"/>
      <c r="BW17" s="425"/>
      <c r="BX17" s="424"/>
      <c r="BY17" s="424"/>
      <c r="BZ17" s="425"/>
      <c r="CA17" s="426"/>
      <c r="CB17" s="426"/>
      <c r="CC17" s="425"/>
      <c r="CD17" s="424"/>
      <c r="CE17" s="424"/>
      <c r="CF17" s="425"/>
      <c r="CG17" s="426"/>
      <c r="CH17" s="426"/>
      <c r="CI17" s="425"/>
      <c r="CJ17" s="424"/>
      <c r="CK17" s="424"/>
      <c r="CL17" s="425"/>
      <c r="CM17" s="426"/>
      <c r="CN17" s="426"/>
      <c r="CO17" s="425"/>
      <c r="CP17" s="424"/>
      <c r="CQ17" s="424"/>
      <c r="CR17" s="425"/>
      <c r="CS17" s="426"/>
      <c r="CT17" s="426"/>
      <c r="CU17" s="425"/>
      <c r="CV17" s="424"/>
      <c r="CW17" s="424"/>
      <c r="CX17" s="425"/>
      <c r="CY17" s="426"/>
      <c r="CZ17" s="426"/>
      <c r="DA17" s="425"/>
      <c r="DB17" s="424"/>
      <c r="DC17" s="424"/>
      <c r="DD17" s="425"/>
      <c r="DE17" s="426"/>
      <c r="DF17" s="426"/>
      <c r="DG17" s="425"/>
      <c r="DH17" s="424"/>
      <c r="DI17" s="424"/>
      <c r="DJ17" s="425"/>
      <c r="DK17" s="426"/>
      <c r="DL17" s="426"/>
      <c r="DM17" s="425"/>
      <c r="DN17" s="424"/>
      <c r="DO17" s="424"/>
      <c r="DP17" s="425"/>
      <c r="DQ17" s="426"/>
      <c r="DR17" s="426"/>
      <c r="DS17" s="425"/>
      <c r="DT17" s="424"/>
      <c r="DU17" s="424"/>
      <c r="DV17" s="425"/>
      <c r="DW17" s="426"/>
      <c r="DX17" s="426"/>
      <c r="DY17" s="425"/>
      <c r="DZ17" s="424"/>
      <c r="EA17" s="424"/>
    </row>
    <row r="18" spans="3:131">
      <c r="C18" s="21"/>
      <c r="D18" s="1" t="s">
        <v>964</v>
      </c>
      <c r="E18" s="1" t="s">
        <v>686</v>
      </c>
      <c r="F18" s="432">
        <f ca="1">'MF Unit Material'!Y76</f>
        <v>9764.8000000000011</v>
      </c>
      <c r="G18" s="431">
        <f>'MF Unit Material'!Z76</f>
        <v>5.5</v>
      </c>
      <c r="H18" s="158">
        <f ca="1">'MF Unit Material'!AA76</f>
        <v>8951.0666666666675</v>
      </c>
      <c r="I18" s="430">
        <f ca="1">F18-J18</f>
        <v>9764.8000000000011</v>
      </c>
      <c r="J18" s="429">
        <f t="shared" si="1"/>
        <v>0</v>
      </c>
      <c r="K18" s="428">
        <f t="shared" si="2"/>
        <v>0</v>
      </c>
      <c r="L18" s="427"/>
      <c r="M18" s="426"/>
      <c r="N18" s="426"/>
      <c r="O18" s="425"/>
      <c r="P18" s="424"/>
      <c r="Q18" s="424"/>
      <c r="R18" s="425"/>
      <c r="S18" s="426"/>
      <c r="T18" s="426"/>
      <c r="U18" s="425"/>
      <c r="V18" s="424"/>
      <c r="W18" s="424"/>
      <c r="X18" s="425"/>
      <c r="Y18" s="426"/>
      <c r="Z18" s="426"/>
      <c r="AA18" s="425"/>
      <c r="AB18" s="424"/>
      <c r="AC18" s="424"/>
      <c r="AD18" s="425"/>
      <c r="AE18" s="426"/>
      <c r="AF18" s="426"/>
      <c r="AG18" s="425"/>
      <c r="AH18" s="424"/>
      <c r="AI18" s="424"/>
      <c r="AJ18" s="425"/>
      <c r="AK18" s="426"/>
      <c r="AL18" s="426"/>
      <c r="AM18" s="425"/>
      <c r="AN18" s="424"/>
      <c r="AO18" s="424"/>
      <c r="AP18" s="425"/>
      <c r="AQ18" s="426"/>
      <c r="AR18" s="426"/>
      <c r="AS18" s="425"/>
      <c r="AT18" s="424"/>
      <c r="AU18" s="424"/>
      <c r="AV18" s="425"/>
      <c r="AW18" s="426"/>
      <c r="AX18" s="426"/>
      <c r="AY18" s="425"/>
      <c r="AZ18" s="424"/>
      <c r="BA18" s="424"/>
      <c r="BB18" s="425"/>
      <c r="BC18" s="426"/>
      <c r="BD18" s="426"/>
      <c r="BE18" s="425"/>
      <c r="BF18" s="424"/>
      <c r="BG18" s="424"/>
      <c r="BH18" s="425"/>
      <c r="BI18" s="426"/>
      <c r="BJ18" s="426"/>
      <c r="BK18" s="425"/>
      <c r="BL18" s="424"/>
      <c r="BM18" s="424"/>
      <c r="BN18" s="425"/>
      <c r="BO18" s="426"/>
      <c r="BP18" s="426"/>
      <c r="BQ18" s="425"/>
      <c r="BR18" s="424"/>
      <c r="BS18" s="424"/>
      <c r="BT18" s="425"/>
      <c r="BU18" s="426"/>
      <c r="BV18" s="426"/>
      <c r="BW18" s="425"/>
      <c r="BX18" s="424"/>
      <c r="BY18" s="424"/>
      <c r="BZ18" s="425"/>
      <c r="CA18" s="426"/>
      <c r="CB18" s="426"/>
      <c r="CC18" s="425"/>
      <c r="CD18" s="424"/>
      <c r="CE18" s="424"/>
      <c r="CF18" s="425"/>
      <c r="CG18" s="426"/>
      <c r="CH18" s="426"/>
      <c r="CI18" s="425"/>
      <c r="CJ18" s="424"/>
      <c r="CK18" s="424"/>
      <c r="CL18" s="425"/>
      <c r="CM18" s="426"/>
      <c r="CN18" s="426"/>
      <c r="CO18" s="425"/>
      <c r="CP18" s="424"/>
      <c r="CQ18" s="424"/>
      <c r="CR18" s="425"/>
      <c r="CS18" s="426"/>
      <c r="CT18" s="426"/>
      <c r="CU18" s="425"/>
      <c r="CV18" s="424"/>
      <c r="CW18" s="424"/>
      <c r="CX18" s="425"/>
      <c r="CY18" s="426"/>
      <c r="CZ18" s="426"/>
      <c r="DA18" s="425"/>
      <c r="DB18" s="424"/>
      <c r="DC18" s="424"/>
      <c r="DD18" s="425"/>
      <c r="DE18" s="426"/>
      <c r="DF18" s="426"/>
      <c r="DG18" s="425"/>
      <c r="DH18" s="424"/>
      <c r="DI18" s="424"/>
      <c r="DJ18" s="425"/>
      <c r="DK18" s="426"/>
      <c r="DL18" s="426"/>
      <c r="DM18" s="425"/>
      <c r="DN18" s="424"/>
      <c r="DO18" s="424"/>
      <c r="DP18" s="425"/>
      <c r="DQ18" s="426"/>
      <c r="DR18" s="426"/>
      <c r="DS18" s="425"/>
      <c r="DT18" s="424"/>
      <c r="DU18" s="424"/>
      <c r="DV18" s="425"/>
      <c r="DW18" s="426"/>
      <c r="DX18" s="426"/>
      <c r="DY18" s="425"/>
      <c r="DZ18" s="424"/>
      <c r="EA18" s="424"/>
    </row>
    <row r="19" spans="3:131">
      <c r="C19" s="423"/>
      <c r="D19" s="5"/>
      <c r="E19" s="16" t="s">
        <v>961</v>
      </c>
      <c r="F19" s="422">
        <f ca="1">'MF Unit Material'!Y78</f>
        <v>9764.8000000000011</v>
      </c>
      <c r="G19" s="421">
        <f>'MF Unit Material'!Z78</f>
        <v>0</v>
      </c>
      <c r="H19" s="420">
        <f ca="1">'MF Unit Material'!AA78</f>
        <v>8951.0666666666693</v>
      </c>
      <c r="I19" s="429"/>
      <c r="J19" s="429">
        <f t="shared" si="1"/>
        <v>0</v>
      </c>
      <c r="K19" s="428">
        <f t="shared" si="2"/>
        <v>0</v>
      </c>
      <c r="L19" s="427"/>
      <c r="M19" s="426"/>
      <c r="N19" s="426"/>
      <c r="O19" s="425"/>
      <c r="P19" s="424"/>
      <c r="Q19" s="424"/>
      <c r="R19" s="425"/>
      <c r="S19" s="426"/>
      <c r="T19" s="426"/>
      <c r="U19" s="425"/>
      <c r="V19" s="424"/>
      <c r="W19" s="424"/>
      <c r="X19" s="425"/>
      <c r="Y19" s="426"/>
      <c r="Z19" s="426"/>
      <c r="AA19" s="425"/>
      <c r="AB19" s="424"/>
      <c r="AC19" s="424"/>
      <c r="AD19" s="425"/>
      <c r="AE19" s="426"/>
      <c r="AF19" s="426"/>
      <c r="AG19" s="425"/>
      <c r="AH19" s="424"/>
      <c r="AI19" s="424"/>
      <c r="AJ19" s="425"/>
      <c r="AK19" s="426"/>
      <c r="AL19" s="426"/>
      <c r="AM19" s="425"/>
      <c r="AN19" s="424"/>
      <c r="AO19" s="424"/>
      <c r="AP19" s="425"/>
      <c r="AQ19" s="426"/>
      <c r="AR19" s="426"/>
      <c r="AS19" s="425"/>
      <c r="AT19" s="424"/>
      <c r="AU19" s="424"/>
      <c r="AV19" s="425"/>
      <c r="AW19" s="426"/>
      <c r="AX19" s="426"/>
      <c r="AY19" s="425"/>
      <c r="AZ19" s="424"/>
      <c r="BA19" s="424"/>
      <c r="BB19" s="425"/>
      <c r="BC19" s="426"/>
      <c r="BD19" s="426"/>
      <c r="BE19" s="425"/>
      <c r="BF19" s="424"/>
      <c r="BG19" s="424"/>
      <c r="BH19" s="425"/>
      <c r="BI19" s="426"/>
      <c r="BJ19" s="426"/>
      <c r="BK19" s="425"/>
      <c r="BL19" s="424"/>
      <c r="BM19" s="424"/>
      <c r="BN19" s="425"/>
      <c r="BO19" s="426"/>
      <c r="BP19" s="426"/>
      <c r="BQ19" s="425"/>
      <c r="BR19" s="424"/>
      <c r="BS19" s="424"/>
      <c r="BT19" s="425"/>
      <c r="BU19" s="426"/>
      <c r="BV19" s="426"/>
      <c r="BW19" s="425"/>
      <c r="BX19" s="424"/>
      <c r="BY19" s="424"/>
      <c r="BZ19" s="425"/>
      <c r="CA19" s="426"/>
      <c r="CB19" s="426"/>
      <c r="CC19" s="425"/>
      <c r="CD19" s="424"/>
      <c r="CE19" s="424"/>
      <c r="CF19" s="425"/>
      <c r="CG19" s="426"/>
      <c r="CH19" s="426"/>
      <c r="CI19" s="425"/>
      <c r="CJ19" s="424"/>
      <c r="CK19" s="424"/>
      <c r="CL19" s="425"/>
      <c r="CM19" s="426"/>
      <c r="CN19" s="426"/>
      <c r="CO19" s="425"/>
      <c r="CP19" s="424"/>
      <c r="CQ19" s="424"/>
      <c r="CR19" s="425"/>
      <c r="CS19" s="426"/>
      <c r="CT19" s="426"/>
      <c r="CU19" s="425"/>
      <c r="CV19" s="424"/>
      <c r="CW19" s="424"/>
      <c r="CX19" s="425"/>
      <c r="CY19" s="426"/>
      <c r="CZ19" s="426"/>
      <c r="DA19" s="425"/>
      <c r="DB19" s="424"/>
      <c r="DC19" s="424"/>
      <c r="DD19" s="425"/>
      <c r="DE19" s="426"/>
      <c r="DF19" s="426"/>
      <c r="DG19" s="425"/>
      <c r="DH19" s="424"/>
      <c r="DI19" s="424"/>
      <c r="DJ19" s="425"/>
      <c r="DK19" s="426"/>
      <c r="DL19" s="426"/>
      <c r="DM19" s="425"/>
      <c r="DN19" s="424"/>
      <c r="DO19" s="424"/>
      <c r="DP19" s="425"/>
      <c r="DQ19" s="426"/>
      <c r="DR19" s="426"/>
      <c r="DS19" s="425"/>
      <c r="DT19" s="424"/>
      <c r="DU19" s="424"/>
      <c r="DV19" s="425"/>
      <c r="DW19" s="426"/>
      <c r="DX19" s="426"/>
      <c r="DY19" s="425"/>
      <c r="DZ19" s="424"/>
      <c r="EA19" s="424"/>
    </row>
    <row r="20" spans="3:131">
      <c r="C20" s="463" t="s">
        <v>965</v>
      </c>
      <c r="D20" s="65"/>
      <c r="E20" s="65"/>
      <c r="F20" s="437" t="s">
        <v>948</v>
      </c>
      <c r="G20" s="436" t="s">
        <v>949</v>
      </c>
      <c r="H20" s="412" t="s">
        <v>950</v>
      </c>
      <c r="I20" s="429"/>
      <c r="J20" s="429">
        <f t="shared" si="1"/>
        <v>0</v>
      </c>
      <c r="K20" s="428">
        <f t="shared" si="2"/>
        <v>0</v>
      </c>
      <c r="L20" s="427"/>
      <c r="M20" s="426"/>
      <c r="N20" s="426"/>
      <c r="O20" s="425"/>
      <c r="P20" s="424"/>
      <c r="Q20" s="424"/>
      <c r="R20" s="425"/>
      <c r="S20" s="426"/>
      <c r="T20" s="426"/>
      <c r="U20" s="425"/>
      <c r="V20" s="424"/>
      <c r="W20" s="424"/>
      <c r="X20" s="425"/>
      <c r="Y20" s="426"/>
      <c r="Z20" s="426"/>
      <c r="AA20" s="425"/>
      <c r="AB20" s="424"/>
      <c r="AC20" s="424"/>
      <c r="AD20" s="425"/>
      <c r="AE20" s="426"/>
      <c r="AF20" s="426"/>
      <c r="AG20" s="425"/>
      <c r="AH20" s="424"/>
      <c r="AI20" s="424"/>
      <c r="AJ20" s="425"/>
      <c r="AK20" s="426"/>
      <c r="AL20" s="426"/>
      <c r="AM20" s="425"/>
      <c r="AN20" s="424"/>
      <c r="AO20" s="424"/>
      <c r="AP20" s="425"/>
      <c r="AQ20" s="426"/>
      <c r="AR20" s="426"/>
      <c r="AS20" s="425"/>
      <c r="AT20" s="424"/>
      <c r="AU20" s="424"/>
      <c r="AV20" s="425"/>
      <c r="AW20" s="426"/>
      <c r="AX20" s="426"/>
      <c r="AY20" s="425"/>
      <c r="AZ20" s="424"/>
      <c r="BA20" s="424"/>
      <c r="BB20" s="425"/>
      <c r="BC20" s="426"/>
      <c r="BD20" s="426"/>
      <c r="BE20" s="425"/>
      <c r="BF20" s="424"/>
      <c r="BG20" s="424"/>
      <c r="BH20" s="425"/>
      <c r="BI20" s="426"/>
      <c r="BJ20" s="426"/>
      <c r="BK20" s="425"/>
      <c r="BL20" s="424"/>
      <c r="BM20" s="424"/>
      <c r="BN20" s="425"/>
      <c r="BO20" s="426"/>
      <c r="BP20" s="426"/>
      <c r="BQ20" s="425"/>
      <c r="BR20" s="424"/>
      <c r="BS20" s="424"/>
      <c r="BT20" s="425"/>
      <c r="BU20" s="426"/>
      <c r="BV20" s="426"/>
      <c r="BW20" s="425"/>
      <c r="BX20" s="424"/>
      <c r="BY20" s="424"/>
      <c r="BZ20" s="425"/>
      <c r="CA20" s="426"/>
      <c r="CB20" s="426"/>
      <c r="CC20" s="425"/>
      <c r="CD20" s="424"/>
      <c r="CE20" s="424"/>
      <c r="CF20" s="425"/>
      <c r="CG20" s="426"/>
      <c r="CH20" s="426"/>
      <c r="CI20" s="425"/>
      <c r="CJ20" s="424"/>
      <c r="CK20" s="424"/>
      <c r="CL20" s="425"/>
      <c r="CM20" s="426"/>
      <c r="CN20" s="426"/>
      <c r="CO20" s="425"/>
      <c r="CP20" s="424"/>
      <c r="CQ20" s="424"/>
      <c r="CR20" s="425"/>
      <c r="CS20" s="426"/>
      <c r="CT20" s="426"/>
      <c r="CU20" s="425"/>
      <c r="CV20" s="424"/>
      <c r="CW20" s="424"/>
      <c r="CX20" s="425"/>
      <c r="CY20" s="426"/>
      <c r="CZ20" s="426"/>
      <c r="DA20" s="425"/>
      <c r="DB20" s="424"/>
      <c r="DC20" s="424"/>
      <c r="DD20" s="425"/>
      <c r="DE20" s="426"/>
      <c r="DF20" s="426"/>
      <c r="DG20" s="425"/>
      <c r="DH20" s="424"/>
      <c r="DI20" s="424"/>
      <c r="DJ20" s="425"/>
      <c r="DK20" s="426"/>
      <c r="DL20" s="426"/>
      <c r="DM20" s="425"/>
      <c r="DN20" s="424"/>
      <c r="DO20" s="424"/>
      <c r="DP20" s="425"/>
      <c r="DQ20" s="426"/>
      <c r="DR20" s="426"/>
      <c r="DS20" s="425"/>
      <c r="DT20" s="424"/>
      <c r="DU20" s="424"/>
      <c r="DV20" s="425"/>
      <c r="DW20" s="426"/>
      <c r="DX20" s="426"/>
      <c r="DY20" s="425"/>
      <c r="DZ20" s="424"/>
      <c r="EA20" s="424"/>
    </row>
    <row r="21" spans="3:131">
      <c r="D21" s="1" t="s">
        <v>966</v>
      </c>
      <c r="E21" s="1" t="s">
        <v>686</v>
      </c>
      <c r="F21" s="432">
        <f ca="1">'MF Unit Material'!Y84</f>
        <v>2920</v>
      </c>
      <c r="G21" s="431">
        <f>'MF Unit Material'!Z84</f>
        <v>12.5</v>
      </c>
      <c r="H21" s="158">
        <f ca="1">'MF Unit Material'!AA84</f>
        <v>6083.333333333333</v>
      </c>
      <c r="I21" s="430">
        <f ca="1">F21-J21</f>
        <v>2920</v>
      </c>
      <c r="J21" s="429">
        <f t="shared" si="1"/>
        <v>0</v>
      </c>
      <c r="K21" s="428">
        <f t="shared" si="2"/>
        <v>0</v>
      </c>
      <c r="L21" s="427"/>
      <c r="M21" s="426"/>
      <c r="N21" s="426"/>
      <c r="O21" s="425"/>
      <c r="P21" s="424"/>
      <c r="Q21" s="424"/>
      <c r="R21" s="425"/>
      <c r="S21" s="426"/>
      <c r="T21" s="426"/>
      <c r="U21" s="425"/>
      <c r="V21" s="424"/>
      <c r="W21" s="424"/>
      <c r="X21" s="425"/>
      <c r="Y21" s="426"/>
      <c r="Z21" s="426"/>
      <c r="AA21" s="425"/>
      <c r="AB21" s="424"/>
      <c r="AC21" s="424"/>
      <c r="AD21" s="425"/>
      <c r="AE21" s="426"/>
      <c r="AF21" s="426"/>
      <c r="AG21" s="425"/>
      <c r="AH21" s="424"/>
      <c r="AI21" s="424"/>
      <c r="AJ21" s="425"/>
      <c r="AK21" s="426"/>
      <c r="AL21" s="426"/>
      <c r="AM21" s="425"/>
      <c r="AN21" s="424"/>
      <c r="AO21" s="424"/>
      <c r="AP21" s="425"/>
      <c r="AQ21" s="426"/>
      <c r="AR21" s="426"/>
      <c r="AS21" s="425"/>
      <c r="AT21" s="424"/>
      <c r="AU21" s="424"/>
      <c r="AV21" s="425"/>
      <c r="AW21" s="426"/>
      <c r="AX21" s="426"/>
      <c r="AY21" s="425"/>
      <c r="AZ21" s="424"/>
      <c r="BA21" s="424"/>
      <c r="BB21" s="425"/>
      <c r="BC21" s="426"/>
      <c r="BD21" s="426"/>
      <c r="BE21" s="425"/>
      <c r="BF21" s="424"/>
      <c r="BG21" s="424"/>
      <c r="BH21" s="425"/>
      <c r="BI21" s="426"/>
      <c r="BJ21" s="426"/>
      <c r="BK21" s="425"/>
      <c r="BL21" s="424"/>
      <c r="BM21" s="424"/>
      <c r="BN21" s="425"/>
      <c r="BO21" s="426"/>
      <c r="BP21" s="426"/>
      <c r="BQ21" s="425"/>
      <c r="BR21" s="424"/>
      <c r="BS21" s="424"/>
      <c r="BT21" s="425"/>
      <c r="BU21" s="426"/>
      <c r="BV21" s="426"/>
      <c r="BW21" s="425"/>
      <c r="BX21" s="424"/>
      <c r="BY21" s="424"/>
      <c r="BZ21" s="425"/>
      <c r="CA21" s="426"/>
      <c r="CB21" s="426"/>
      <c r="CC21" s="425"/>
      <c r="CD21" s="424"/>
      <c r="CE21" s="424"/>
      <c r="CF21" s="425"/>
      <c r="CG21" s="426"/>
      <c r="CH21" s="426"/>
      <c r="CI21" s="425"/>
      <c r="CJ21" s="424"/>
      <c r="CK21" s="424"/>
      <c r="CL21" s="425"/>
      <c r="CM21" s="426"/>
      <c r="CN21" s="426"/>
      <c r="CO21" s="425"/>
      <c r="CP21" s="424"/>
      <c r="CQ21" s="424"/>
      <c r="CR21" s="425"/>
      <c r="CS21" s="426"/>
      <c r="CT21" s="426"/>
      <c r="CU21" s="425"/>
      <c r="CV21" s="424"/>
      <c r="CW21" s="424"/>
      <c r="CX21" s="425"/>
      <c r="CY21" s="426"/>
      <c r="CZ21" s="426"/>
      <c r="DA21" s="425"/>
      <c r="DB21" s="424"/>
      <c r="DC21" s="424"/>
      <c r="DD21" s="425"/>
      <c r="DE21" s="426"/>
      <c r="DF21" s="426"/>
      <c r="DG21" s="425"/>
      <c r="DH21" s="424"/>
      <c r="DI21" s="424"/>
      <c r="DJ21" s="425"/>
      <c r="DK21" s="426"/>
      <c r="DL21" s="426"/>
      <c r="DM21" s="425"/>
      <c r="DN21" s="424"/>
      <c r="DO21" s="424"/>
      <c r="DP21" s="425"/>
      <c r="DQ21" s="426"/>
      <c r="DR21" s="426"/>
      <c r="DS21" s="425"/>
      <c r="DT21" s="424"/>
      <c r="DU21" s="424"/>
      <c r="DV21" s="425"/>
      <c r="DW21" s="426"/>
      <c r="DX21" s="426"/>
      <c r="DY21" s="425"/>
      <c r="DZ21" s="424"/>
      <c r="EA21" s="424"/>
    </row>
    <row r="22" spans="3:131">
      <c r="D22" s="5"/>
      <c r="E22" s="16" t="s">
        <v>961</v>
      </c>
      <c r="F22" s="422">
        <f ca="1">'MF Unit Material'!Y86</f>
        <v>2920</v>
      </c>
      <c r="G22" s="421">
        <f>'MF Unit Material'!Z86</f>
        <v>0</v>
      </c>
      <c r="H22" s="420">
        <f ca="1">'MF Unit Material'!AA86</f>
        <v>6083.3333333333348</v>
      </c>
      <c r="I22" s="429"/>
      <c r="J22" s="429">
        <f t="shared" si="1"/>
        <v>0</v>
      </c>
      <c r="K22" s="428">
        <f t="shared" si="2"/>
        <v>0</v>
      </c>
      <c r="L22" s="427"/>
      <c r="M22" s="426"/>
      <c r="N22" s="426"/>
      <c r="O22" s="425"/>
      <c r="P22" s="424"/>
      <c r="Q22" s="424"/>
      <c r="R22" s="425"/>
      <c r="S22" s="426"/>
      <c r="T22" s="426"/>
      <c r="U22" s="425"/>
      <c r="V22" s="424"/>
      <c r="W22" s="424"/>
      <c r="X22" s="425"/>
      <c r="Y22" s="426"/>
      <c r="Z22" s="426"/>
      <c r="AA22" s="425"/>
      <c r="AB22" s="424"/>
      <c r="AC22" s="424"/>
      <c r="AD22" s="425"/>
      <c r="AE22" s="426"/>
      <c r="AF22" s="426"/>
      <c r="AG22" s="425"/>
      <c r="AH22" s="424"/>
      <c r="AI22" s="424"/>
      <c r="AJ22" s="425"/>
      <c r="AK22" s="426"/>
      <c r="AL22" s="426"/>
      <c r="AM22" s="425"/>
      <c r="AN22" s="424"/>
      <c r="AO22" s="424"/>
      <c r="AP22" s="425"/>
      <c r="AQ22" s="426"/>
      <c r="AR22" s="426"/>
      <c r="AS22" s="425"/>
      <c r="AT22" s="424"/>
      <c r="AU22" s="424"/>
      <c r="AV22" s="425"/>
      <c r="AW22" s="426"/>
      <c r="AX22" s="426"/>
      <c r="AY22" s="425"/>
      <c r="AZ22" s="424"/>
      <c r="BA22" s="424"/>
      <c r="BB22" s="425"/>
      <c r="BC22" s="426"/>
      <c r="BD22" s="426"/>
      <c r="BE22" s="425"/>
      <c r="BF22" s="424"/>
      <c r="BG22" s="424"/>
      <c r="BH22" s="425"/>
      <c r="BI22" s="426"/>
      <c r="BJ22" s="426"/>
      <c r="BK22" s="425"/>
      <c r="BL22" s="424"/>
      <c r="BM22" s="424"/>
      <c r="BN22" s="425"/>
      <c r="BO22" s="426"/>
      <c r="BP22" s="426"/>
      <c r="BQ22" s="425"/>
      <c r="BR22" s="424"/>
      <c r="BS22" s="424"/>
      <c r="BT22" s="425"/>
      <c r="BU22" s="426"/>
      <c r="BV22" s="426"/>
      <c r="BW22" s="425"/>
      <c r="BX22" s="424"/>
      <c r="BY22" s="424"/>
      <c r="BZ22" s="425"/>
      <c r="CA22" s="426"/>
      <c r="CB22" s="426"/>
      <c r="CC22" s="425"/>
      <c r="CD22" s="424"/>
      <c r="CE22" s="424"/>
      <c r="CF22" s="425"/>
      <c r="CG22" s="426"/>
      <c r="CH22" s="426"/>
      <c r="CI22" s="425"/>
      <c r="CJ22" s="424"/>
      <c r="CK22" s="424"/>
      <c r="CL22" s="425"/>
      <c r="CM22" s="426"/>
      <c r="CN22" s="426"/>
      <c r="CO22" s="425"/>
      <c r="CP22" s="424"/>
      <c r="CQ22" s="424"/>
      <c r="CR22" s="425"/>
      <c r="CS22" s="426"/>
      <c r="CT22" s="426"/>
      <c r="CU22" s="425"/>
      <c r="CV22" s="424"/>
      <c r="CW22" s="424"/>
      <c r="CX22" s="425"/>
      <c r="CY22" s="426"/>
      <c r="CZ22" s="426"/>
      <c r="DA22" s="425"/>
      <c r="DB22" s="424"/>
      <c r="DC22" s="424"/>
      <c r="DD22" s="425"/>
      <c r="DE22" s="426"/>
      <c r="DF22" s="426"/>
      <c r="DG22" s="425"/>
      <c r="DH22" s="424"/>
      <c r="DI22" s="424"/>
      <c r="DJ22" s="425"/>
      <c r="DK22" s="426"/>
      <c r="DL22" s="426"/>
      <c r="DM22" s="425"/>
      <c r="DN22" s="424"/>
      <c r="DO22" s="424"/>
      <c r="DP22" s="425"/>
      <c r="DQ22" s="426"/>
      <c r="DR22" s="426"/>
      <c r="DS22" s="425"/>
      <c r="DT22" s="424"/>
      <c r="DU22" s="424"/>
      <c r="DV22" s="425"/>
      <c r="DW22" s="426"/>
      <c r="DX22" s="426"/>
      <c r="DY22" s="425"/>
      <c r="DZ22" s="424"/>
      <c r="EA22" s="424"/>
    </row>
    <row r="23" spans="3:131" ht="16.5" customHeight="1">
      <c r="C23" s="96" t="s">
        <v>967</v>
      </c>
      <c r="D23" s="65"/>
      <c r="E23" s="65"/>
      <c r="F23" s="437" t="s">
        <v>948</v>
      </c>
      <c r="G23" s="436" t="s">
        <v>949</v>
      </c>
      <c r="H23" s="412" t="s">
        <v>950</v>
      </c>
      <c r="I23" s="429"/>
      <c r="J23" s="429">
        <f t="shared" si="1"/>
        <v>0</v>
      </c>
      <c r="K23" s="428">
        <f t="shared" si="2"/>
        <v>0</v>
      </c>
      <c r="L23" s="427"/>
      <c r="M23" s="426"/>
      <c r="N23" s="426"/>
      <c r="O23" s="425"/>
      <c r="P23" s="424"/>
      <c r="Q23" s="424"/>
      <c r="R23" s="425"/>
      <c r="S23" s="426"/>
      <c r="T23" s="426"/>
      <c r="U23" s="425"/>
      <c r="V23" s="424"/>
      <c r="W23" s="424"/>
      <c r="X23" s="425"/>
      <c r="Y23" s="426"/>
      <c r="Z23" s="426"/>
      <c r="AA23" s="425"/>
      <c r="AB23" s="424"/>
      <c r="AC23" s="424"/>
      <c r="AD23" s="425"/>
      <c r="AE23" s="426"/>
      <c r="AF23" s="426"/>
      <c r="AG23" s="425"/>
      <c r="AH23" s="424"/>
      <c r="AI23" s="424"/>
      <c r="AJ23" s="425"/>
      <c r="AK23" s="426"/>
      <c r="AL23" s="426"/>
      <c r="AM23" s="425"/>
      <c r="AN23" s="424"/>
      <c r="AO23" s="424"/>
      <c r="AP23" s="425"/>
      <c r="AQ23" s="426"/>
      <c r="AR23" s="426"/>
      <c r="AS23" s="425"/>
      <c r="AT23" s="424"/>
      <c r="AU23" s="424"/>
      <c r="AV23" s="425"/>
      <c r="AW23" s="426"/>
      <c r="AX23" s="426"/>
      <c r="AY23" s="425"/>
      <c r="AZ23" s="424"/>
      <c r="BA23" s="424"/>
      <c r="BB23" s="425"/>
      <c r="BC23" s="426"/>
      <c r="BD23" s="426"/>
      <c r="BE23" s="425"/>
      <c r="BF23" s="424"/>
      <c r="BG23" s="424"/>
      <c r="BH23" s="425"/>
      <c r="BI23" s="426"/>
      <c r="BJ23" s="426"/>
      <c r="BK23" s="425"/>
      <c r="BL23" s="424"/>
      <c r="BM23" s="424"/>
      <c r="BN23" s="425"/>
      <c r="BO23" s="426"/>
      <c r="BP23" s="426"/>
      <c r="BQ23" s="425"/>
      <c r="BR23" s="424"/>
      <c r="BS23" s="424"/>
      <c r="BT23" s="425"/>
      <c r="BU23" s="426"/>
      <c r="BV23" s="426"/>
      <c r="BW23" s="425"/>
      <c r="BX23" s="424"/>
      <c r="BY23" s="424"/>
      <c r="BZ23" s="425"/>
      <c r="CA23" s="426"/>
      <c r="CB23" s="426"/>
      <c r="CC23" s="425"/>
      <c r="CD23" s="424"/>
      <c r="CE23" s="424"/>
      <c r="CF23" s="425"/>
      <c r="CG23" s="426"/>
      <c r="CH23" s="426"/>
      <c r="CI23" s="425"/>
      <c r="CJ23" s="424"/>
      <c r="CK23" s="424"/>
      <c r="CL23" s="425"/>
      <c r="CM23" s="426"/>
      <c r="CN23" s="426"/>
      <c r="CO23" s="425"/>
      <c r="CP23" s="424"/>
      <c r="CQ23" s="424"/>
      <c r="CR23" s="425"/>
      <c r="CS23" s="426"/>
      <c r="CT23" s="426"/>
      <c r="CU23" s="425"/>
      <c r="CV23" s="424"/>
      <c r="CW23" s="424"/>
      <c r="CX23" s="425"/>
      <c r="CY23" s="426"/>
      <c r="CZ23" s="426"/>
      <c r="DA23" s="425"/>
      <c r="DB23" s="424"/>
      <c r="DC23" s="424"/>
      <c r="DD23" s="425"/>
      <c r="DE23" s="426"/>
      <c r="DF23" s="426"/>
      <c r="DG23" s="425"/>
      <c r="DH23" s="424"/>
      <c r="DI23" s="424"/>
      <c r="DJ23" s="425"/>
      <c r="DK23" s="426"/>
      <c r="DL23" s="426"/>
      <c r="DM23" s="425"/>
      <c r="DN23" s="424"/>
      <c r="DO23" s="424"/>
      <c r="DP23" s="425"/>
      <c r="DQ23" s="426"/>
      <c r="DR23" s="426"/>
      <c r="DS23" s="425"/>
      <c r="DT23" s="424"/>
      <c r="DU23" s="424"/>
      <c r="DV23" s="425"/>
      <c r="DW23" s="426"/>
      <c r="DX23" s="426"/>
      <c r="DY23" s="425"/>
      <c r="DZ23" s="424"/>
      <c r="EA23" s="424"/>
    </row>
    <row r="24" spans="3:131">
      <c r="D24" s="1"/>
      <c r="E24" s="1" t="s">
        <v>968</v>
      </c>
      <c r="F24" s="432">
        <f ca="1">'MF Unit Material'!Y88</f>
        <v>33.200320000000005</v>
      </c>
      <c r="G24" s="431">
        <f>'MF Unit Material'!Z88</f>
        <v>13.5</v>
      </c>
      <c r="H24" s="158">
        <f ca="1">'MF Unit Material'!AA88</f>
        <v>448.20432000000005</v>
      </c>
      <c r="I24" s="430">
        <f ca="1">F24-J24</f>
        <v>33.200320000000005</v>
      </c>
      <c r="J24" s="429">
        <f t="shared" si="1"/>
        <v>0</v>
      </c>
      <c r="K24" s="428">
        <f t="shared" si="2"/>
        <v>0</v>
      </c>
      <c r="L24" s="427"/>
      <c r="M24" s="426"/>
      <c r="N24" s="426"/>
      <c r="O24" s="425"/>
      <c r="P24" s="424"/>
      <c r="Q24" s="424"/>
      <c r="R24" s="425"/>
      <c r="S24" s="426"/>
      <c r="T24" s="426"/>
      <c r="U24" s="425"/>
      <c r="V24" s="424"/>
      <c r="W24" s="424"/>
      <c r="X24" s="425"/>
      <c r="Y24" s="426"/>
      <c r="Z24" s="426"/>
      <c r="AA24" s="425"/>
      <c r="AB24" s="424"/>
      <c r="AC24" s="424"/>
      <c r="AD24" s="425"/>
      <c r="AE24" s="426"/>
      <c r="AF24" s="426"/>
      <c r="AG24" s="425"/>
      <c r="AH24" s="424"/>
      <c r="AI24" s="424"/>
      <c r="AJ24" s="425"/>
      <c r="AK24" s="426"/>
      <c r="AL24" s="426"/>
      <c r="AM24" s="425"/>
      <c r="AN24" s="424"/>
      <c r="AO24" s="424"/>
      <c r="AP24" s="425"/>
      <c r="AQ24" s="426"/>
      <c r="AR24" s="426"/>
      <c r="AS24" s="425"/>
      <c r="AT24" s="424"/>
      <c r="AU24" s="424"/>
      <c r="AV24" s="425"/>
      <c r="AW24" s="426"/>
      <c r="AX24" s="426"/>
      <c r="AY24" s="425"/>
      <c r="AZ24" s="424"/>
      <c r="BA24" s="424"/>
      <c r="BB24" s="425"/>
      <c r="BC24" s="426"/>
      <c r="BD24" s="426"/>
      <c r="BE24" s="425"/>
      <c r="BF24" s="424"/>
      <c r="BG24" s="424"/>
      <c r="BH24" s="425"/>
      <c r="BI24" s="426"/>
      <c r="BJ24" s="426"/>
      <c r="BK24" s="425"/>
      <c r="BL24" s="424"/>
      <c r="BM24" s="424"/>
      <c r="BN24" s="425"/>
      <c r="BO24" s="426"/>
      <c r="BP24" s="426"/>
      <c r="BQ24" s="425"/>
      <c r="BR24" s="424"/>
      <c r="BS24" s="424"/>
      <c r="BT24" s="425"/>
      <c r="BU24" s="426"/>
      <c r="BV24" s="426"/>
      <c r="BW24" s="425"/>
      <c r="BX24" s="424"/>
      <c r="BY24" s="424"/>
      <c r="BZ24" s="425"/>
      <c r="CA24" s="426"/>
      <c r="CB24" s="426"/>
      <c r="CC24" s="425"/>
      <c r="CD24" s="424"/>
      <c r="CE24" s="424"/>
      <c r="CF24" s="425"/>
      <c r="CG24" s="426"/>
      <c r="CH24" s="426"/>
      <c r="CI24" s="425"/>
      <c r="CJ24" s="424"/>
      <c r="CK24" s="424"/>
      <c r="CL24" s="425"/>
      <c r="CM24" s="426"/>
      <c r="CN24" s="426"/>
      <c r="CO24" s="425"/>
      <c r="CP24" s="424"/>
      <c r="CQ24" s="424"/>
      <c r="CR24" s="425"/>
      <c r="CS24" s="426"/>
      <c r="CT24" s="426"/>
      <c r="CU24" s="425"/>
      <c r="CV24" s="424"/>
      <c r="CW24" s="424"/>
      <c r="CX24" s="425"/>
      <c r="CY24" s="426"/>
      <c r="CZ24" s="426"/>
      <c r="DA24" s="425"/>
      <c r="DB24" s="424"/>
      <c r="DC24" s="424"/>
      <c r="DD24" s="425"/>
      <c r="DE24" s="426"/>
      <c r="DF24" s="426"/>
      <c r="DG24" s="425"/>
      <c r="DH24" s="424"/>
      <c r="DI24" s="424"/>
      <c r="DJ24" s="425"/>
      <c r="DK24" s="426"/>
      <c r="DL24" s="426"/>
      <c r="DM24" s="425"/>
      <c r="DN24" s="424"/>
      <c r="DO24" s="424"/>
      <c r="DP24" s="425"/>
      <c r="DQ24" s="426"/>
      <c r="DR24" s="426"/>
      <c r="DS24" s="425"/>
      <c r="DT24" s="424"/>
      <c r="DU24" s="424"/>
      <c r="DV24" s="425"/>
      <c r="DW24" s="426"/>
      <c r="DX24" s="426"/>
      <c r="DY24" s="425"/>
      <c r="DZ24" s="424"/>
      <c r="EA24" s="424"/>
    </row>
    <row r="25" spans="3:131">
      <c r="C25" s="423"/>
      <c r="D25" s="5"/>
      <c r="E25" s="16" t="s">
        <v>961</v>
      </c>
      <c r="F25" s="422">
        <f ca="1">'MF Unit Material'!Y90</f>
        <v>33.200320000000005</v>
      </c>
      <c r="G25" s="421">
        <f>'MF Unit Material'!Z90</f>
        <v>0</v>
      </c>
      <c r="H25" s="420">
        <f ca="1">'MF Unit Material'!AA90</f>
        <v>448.20432000000011</v>
      </c>
      <c r="I25" s="429"/>
      <c r="J25" s="429">
        <f t="shared" si="1"/>
        <v>0</v>
      </c>
      <c r="K25" s="428">
        <f t="shared" si="2"/>
        <v>0</v>
      </c>
      <c r="L25" s="427"/>
      <c r="M25" s="426"/>
      <c r="N25" s="426"/>
      <c r="O25" s="425"/>
      <c r="P25" s="424"/>
      <c r="Q25" s="424"/>
      <c r="R25" s="425"/>
      <c r="S25" s="426"/>
      <c r="T25" s="426"/>
      <c r="U25" s="425"/>
      <c r="V25" s="424"/>
      <c r="W25" s="424"/>
      <c r="X25" s="425"/>
      <c r="Y25" s="426"/>
      <c r="Z25" s="426"/>
      <c r="AA25" s="425"/>
      <c r="AB25" s="424"/>
      <c r="AC25" s="424"/>
      <c r="AD25" s="425"/>
      <c r="AE25" s="426"/>
      <c r="AF25" s="426"/>
      <c r="AG25" s="425"/>
      <c r="AH25" s="424"/>
      <c r="AI25" s="424"/>
      <c r="AJ25" s="425"/>
      <c r="AK25" s="426"/>
      <c r="AL25" s="426"/>
      <c r="AM25" s="425"/>
      <c r="AN25" s="424"/>
      <c r="AO25" s="424"/>
      <c r="AP25" s="425"/>
      <c r="AQ25" s="426"/>
      <c r="AR25" s="426"/>
      <c r="AS25" s="425"/>
      <c r="AT25" s="424"/>
      <c r="AU25" s="424"/>
      <c r="AV25" s="425"/>
      <c r="AW25" s="426"/>
      <c r="AX25" s="426"/>
      <c r="AY25" s="425"/>
      <c r="AZ25" s="424"/>
      <c r="BA25" s="424"/>
      <c r="BB25" s="425"/>
      <c r="BC25" s="426"/>
      <c r="BD25" s="426"/>
      <c r="BE25" s="425"/>
      <c r="BF25" s="424"/>
      <c r="BG25" s="424"/>
      <c r="BH25" s="425"/>
      <c r="BI25" s="426"/>
      <c r="BJ25" s="426"/>
      <c r="BK25" s="425"/>
      <c r="BL25" s="424"/>
      <c r="BM25" s="424"/>
      <c r="BN25" s="425"/>
      <c r="BO25" s="426"/>
      <c r="BP25" s="426"/>
      <c r="BQ25" s="425"/>
      <c r="BR25" s="424"/>
      <c r="BS25" s="424"/>
      <c r="BT25" s="425"/>
      <c r="BU25" s="426"/>
      <c r="BV25" s="426"/>
      <c r="BW25" s="425"/>
      <c r="BX25" s="424"/>
      <c r="BY25" s="424"/>
      <c r="BZ25" s="425"/>
      <c r="CA25" s="426"/>
      <c r="CB25" s="426"/>
      <c r="CC25" s="425"/>
      <c r="CD25" s="424"/>
      <c r="CE25" s="424"/>
      <c r="CF25" s="425"/>
      <c r="CG25" s="426"/>
      <c r="CH25" s="426"/>
      <c r="CI25" s="425"/>
      <c r="CJ25" s="424"/>
      <c r="CK25" s="424"/>
      <c r="CL25" s="425"/>
      <c r="CM25" s="426"/>
      <c r="CN25" s="426"/>
      <c r="CO25" s="425"/>
      <c r="CP25" s="424"/>
      <c r="CQ25" s="424"/>
      <c r="CR25" s="425"/>
      <c r="CS25" s="426"/>
      <c r="CT25" s="426"/>
      <c r="CU25" s="425"/>
      <c r="CV25" s="424"/>
      <c r="CW25" s="424"/>
      <c r="CX25" s="425"/>
      <c r="CY25" s="426"/>
      <c r="CZ25" s="426"/>
      <c r="DA25" s="425"/>
      <c r="DB25" s="424"/>
      <c r="DC25" s="424"/>
      <c r="DD25" s="425"/>
      <c r="DE25" s="426"/>
      <c r="DF25" s="426"/>
      <c r="DG25" s="425"/>
      <c r="DH25" s="424"/>
      <c r="DI25" s="424"/>
      <c r="DJ25" s="425"/>
      <c r="DK25" s="426"/>
      <c r="DL25" s="426"/>
      <c r="DM25" s="425"/>
      <c r="DN25" s="424"/>
      <c r="DO25" s="424"/>
      <c r="DP25" s="425"/>
      <c r="DQ25" s="426"/>
      <c r="DR25" s="426"/>
      <c r="DS25" s="425"/>
      <c r="DT25" s="424"/>
      <c r="DU25" s="424"/>
      <c r="DV25" s="425"/>
      <c r="DW25" s="426"/>
      <c r="DX25" s="426"/>
      <c r="DY25" s="425"/>
      <c r="DZ25" s="424"/>
      <c r="EA25" s="424"/>
    </row>
    <row r="26" spans="3:131">
      <c r="C26" s="96" t="s">
        <v>969</v>
      </c>
      <c r="D26" s="65"/>
      <c r="E26" s="65"/>
      <c r="F26" s="437" t="s">
        <v>948</v>
      </c>
      <c r="G26" s="436" t="s">
        <v>949</v>
      </c>
      <c r="H26" s="412" t="s">
        <v>950</v>
      </c>
      <c r="I26" s="429"/>
      <c r="J26" s="429">
        <f t="shared" si="1"/>
        <v>0</v>
      </c>
      <c r="K26" s="428">
        <f t="shared" si="2"/>
        <v>0</v>
      </c>
      <c r="L26" s="427"/>
      <c r="M26" s="426"/>
      <c r="N26" s="426"/>
      <c r="O26" s="425"/>
      <c r="P26" s="424"/>
      <c r="Q26" s="424"/>
      <c r="R26" s="425"/>
      <c r="S26" s="426"/>
      <c r="T26" s="426"/>
      <c r="U26" s="425"/>
      <c r="V26" s="424"/>
      <c r="W26" s="424"/>
      <c r="X26" s="425"/>
      <c r="Y26" s="426"/>
      <c r="Z26" s="426"/>
      <c r="AA26" s="425"/>
      <c r="AB26" s="424"/>
      <c r="AC26" s="424"/>
      <c r="AD26" s="425"/>
      <c r="AE26" s="426"/>
      <c r="AF26" s="426"/>
      <c r="AG26" s="425"/>
      <c r="AH26" s="424"/>
      <c r="AI26" s="424"/>
      <c r="AJ26" s="425"/>
      <c r="AK26" s="426"/>
      <c r="AL26" s="426"/>
      <c r="AM26" s="425"/>
      <c r="AN26" s="424"/>
      <c r="AO26" s="424"/>
      <c r="AP26" s="425"/>
      <c r="AQ26" s="426"/>
      <c r="AR26" s="426"/>
      <c r="AS26" s="425"/>
      <c r="AT26" s="424"/>
      <c r="AU26" s="424"/>
      <c r="AV26" s="425"/>
      <c r="AW26" s="426"/>
      <c r="AX26" s="426"/>
      <c r="AY26" s="425"/>
      <c r="AZ26" s="424"/>
      <c r="BA26" s="424"/>
      <c r="BB26" s="425"/>
      <c r="BC26" s="426"/>
      <c r="BD26" s="426"/>
      <c r="BE26" s="425"/>
      <c r="BF26" s="424"/>
      <c r="BG26" s="424"/>
      <c r="BH26" s="425"/>
      <c r="BI26" s="426"/>
      <c r="BJ26" s="426"/>
      <c r="BK26" s="425"/>
      <c r="BL26" s="424"/>
      <c r="BM26" s="424"/>
      <c r="BN26" s="425"/>
      <c r="BO26" s="426"/>
      <c r="BP26" s="426"/>
      <c r="BQ26" s="425"/>
      <c r="BR26" s="424"/>
      <c r="BS26" s="424"/>
      <c r="BT26" s="425"/>
      <c r="BU26" s="426"/>
      <c r="BV26" s="426"/>
      <c r="BW26" s="425"/>
      <c r="BX26" s="424"/>
      <c r="BY26" s="424"/>
      <c r="BZ26" s="425"/>
      <c r="CA26" s="426"/>
      <c r="CB26" s="426"/>
      <c r="CC26" s="425"/>
      <c r="CD26" s="424"/>
      <c r="CE26" s="424"/>
      <c r="CF26" s="425"/>
      <c r="CG26" s="426"/>
      <c r="CH26" s="426"/>
      <c r="CI26" s="425"/>
      <c r="CJ26" s="424"/>
      <c r="CK26" s="424"/>
      <c r="CL26" s="425"/>
      <c r="CM26" s="426"/>
      <c r="CN26" s="426"/>
      <c r="CO26" s="425"/>
      <c r="CP26" s="424"/>
      <c r="CQ26" s="424"/>
      <c r="CR26" s="425"/>
      <c r="CS26" s="426"/>
      <c r="CT26" s="426"/>
      <c r="CU26" s="425"/>
      <c r="CV26" s="424"/>
      <c r="CW26" s="424"/>
      <c r="CX26" s="425"/>
      <c r="CY26" s="426"/>
      <c r="CZ26" s="426"/>
      <c r="DA26" s="425"/>
      <c r="DB26" s="424"/>
      <c r="DC26" s="424"/>
      <c r="DD26" s="425"/>
      <c r="DE26" s="426"/>
      <c r="DF26" s="426"/>
      <c r="DG26" s="425"/>
      <c r="DH26" s="424"/>
      <c r="DI26" s="424"/>
      <c r="DJ26" s="425"/>
      <c r="DK26" s="426"/>
      <c r="DL26" s="426"/>
      <c r="DM26" s="425"/>
      <c r="DN26" s="424"/>
      <c r="DO26" s="424"/>
      <c r="DP26" s="425"/>
      <c r="DQ26" s="426"/>
      <c r="DR26" s="426"/>
      <c r="DS26" s="425"/>
      <c r="DT26" s="424"/>
      <c r="DU26" s="424"/>
      <c r="DV26" s="425"/>
      <c r="DW26" s="426"/>
      <c r="DX26" s="426"/>
      <c r="DY26" s="425"/>
      <c r="DZ26" s="424"/>
      <c r="EA26" s="424"/>
    </row>
    <row r="27" spans="3:131">
      <c r="D27" s="1"/>
      <c r="E27" s="1" t="s">
        <v>968</v>
      </c>
      <c r="F27" s="432">
        <f ca="1">'MF Unit Material'!Y92</f>
        <v>32.589285714285701</v>
      </c>
      <c r="G27" s="431">
        <f>'MF Unit Material'!Z92</f>
        <v>13.5</v>
      </c>
      <c r="H27" s="158">
        <f ca="1">'MF Unit Material'!AA92</f>
        <v>439.95535714285694</v>
      </c>
      <c r="I27" s="430">
        <f ca="1">F27-J27</f>
        <v>32.589285714285701</v>
      </c>
      <c r="J27" s="429">
        <f t="shared" si="1"/>
        <v>0</v>
      </c>
      <c r="K27" s="428">
        <f t="shared" si="2"/>
        <v>0</v>
      </c>
      <c r="L27" s="427"/>
      <c r="M27" s="426"/>
      <c r="N27" s="426"/>
      <c r="O27" s="425"/>
      <c r="P27" s="424"/>
      <c r="Q27" s="424"/>
      <c r="R27" s="425"/>
      <c r="S27" s="426"/>
      <c r="T27" s="426"/>
      <c r="U27" s="425"/>
      <c r="V27" s="424"/>
      <c r="W27" s="424"/>
      <c r="X27" s="425"/>
      <c r="Y27" s="426"/>
      <c r="Z27" s="426"/>
      <c r="AA27" s="425"/>
      <c r="AB27" s="424"/>
      <c r="AC27" s="424"/>
      <c r="AD27" s="425"/>
      <c r="AE27" s="426"/>
      <c r="AF27" s="426"/>
      <c r="AG27" s="425"/>
      <c r="AH27" s="424"/>
      <c r="AI27" s="424"/>
      <c r="AJ27" s="425"/>
      <c r="AK27" s="426"/>
      <c r="AL27" s="426"/>
      <c r="AM27" s="425"/>
      <c r="AN27" s="424"/>
      <c r="AO27" s="424"/>
      <c r="AP27" s="425"/>
      <c r="AQ27" s="426"/>
      <c r="AR27" s="426"/>
      <c r="AS27" s="425"/>
      <c r="AT27" s="424"/>
      <c r="AU27" s="424"/>
      <c r="AV27" s="425"/>
      <c r="AW27" s="426"/>
      <c r="AX27" s="426"/>
      <c r="AY27" s="425"/>
      <c r="AZ27" s="424"/>
      <c r="BA27" s="424"/>
      <c r="BB27" s="425"/>
      <c r="BC27" s="426"/>
      <c r="BD27" s="426"/>
      <c r="BE27" s="425"/>
      <c r="BF27" s="424"/>
      <c r="BG27" s="424"/>
      <c r="BH27" s="425"/>
      <c r="BI27" s="426"/>
      <c r="BJ27" s="426"/>
      <c r="BK27" s="425"/>
      <c r="BL27" s="424"/>
      <c r="BM27" s="424"/>
      <c r="BN27" s="425"/>
      <c r="BO27" s="426"/>
      <c r="BP27" s="426"/>
      <c r="BQ27" s="425"/>
      <c r="BR27" s="424"/>
      <c r="BS27" s="424"/>
      <c r="BT27" s="425"/>
      <c r="BU27" s="426"/>
      <c r="BV27" s="426"/>
      <c r="BW27" s="425"/>
      <c r="BX27" s="424"/>
      <c r="BY27" s="424"/>
      <c r="BZ27" s="425"/>
      <c r="CA27" s="426"/>
      <c r="CB27" s="426"/>
      <c r="CC27" s="425"/>
      <c r="CD27" s="424"/>
      <c r="CE27" s="424"/>
      <c r="CF27" s="425"/>
      <c r="CG27" s="426"/>
      <c r="CH27" s="426"/>
      <c r="CI27" s="425"/>
      <c r="CJ27" s="424"/>
      <c r="CK27" s="424"/>
      <c r="CL27" s="425"/>
      <c r="CM27" s="426"/>
      <c r="CN27" s="426"/>
      <c r="CO27" s="425"/>
      <c r="CP27" s="424"/>
      <c r="CQ27" s="424"/>
      <c r="CR27" s="425"/>
      <c r="CS27" s="426"/>
      <c r="CT27" s="426"/>
      <c r="CU27" s="425"/>
      <c r="CV27" s="424"/>
      <c r="CW27" s="424"/>
      <c r="CX27" s="425"/>
      <c r="CY27" s="426"/>
      <c r="CZ27" s="426"/>
      <c r="DA27" s="425"/>
      <c r="DB27" s="424"/>
      <c r="DC27" s="424"/>
      <c r="DD27" s="425"/>
      <c r="DE27" s="426"/>
      <c r="DF27" s="426"/>
      <c r="DG27" s="425"/>
      <c r="DH27" s="424"/>
      <c r="DI27" s="424"/>
      <c r="DJ27" s="425"/>
      <c r="DK27" s="426"/>
      <c r="DL27" s="426"/>
      <c r="DM27" s="425"/>
      <c r="DN27" s="424"/>
      <c r="DO27" s="424"/>
      <c r="DP27" s="425"/>
      <c r="DQ27" s="426"/>
      <c r="DR27" s="426"/>
      <c r="DS27" s="425"/>
      <c r="DT27" s="424"/>
      <c r="DU27" s="424"/>
      <c r="DV27" s="425"/>
      <c r="DW27" s="426"/>
      <c r="DX27" s="426"/>
      <c r="DY27" s="425"/>
      <c r="DZ27" s="424"/>
      <c r="EA27" s="424"/>
    </row>
    <row r="28" spans="3:131">
      <c r="C28" s="423"/>
      <c r="D28" s="5"/>
      <c r="E28" s="16" t="s">
        <v>961</v>
      </c>
      <c r="F28" s="422">
        <f ca="1">'MF Unit Material'!Y94</f>
        <v>32.589285714285701</v>
      </c>
      <c r="G28" s="421">
        <f>'MF Unit Material'!Z94</f>
        <v>0</v>
      </c>
      <c r="H28" s="420">
        <f ca="1">'MF Unit Material'!AA94</f>
        <v>439.95535714285694</v>
      </c>
      <c r="I28" s="429"/>
      <c r="J28" s="429">
        <f t="shared" si="1"/>
        <v>0</v>
      </c>
      <c r="K28" s="428">
        <f t="shared" si="2"/>
        <v>0</v>
      </c>
      <c r="L28" s="427"/>
      <c r="M28" s="426"/>
      <c r="N28" s="426"/>
      <c r="O28" s="425"/>
      <c r="P28" s="424"/>
      <c r="Q28" s="424"/>
      <c r="R28" s="425"/>
      <c r="S28" s="426"/>
      <c r="T28" s="426"/>
      <c r="U28" s="425"/>
      <c r="V28" s="424"/>
      <c r="W28" s="424"/>
      <c r="X28" s="425"/>
      <c r="Y28" s="426"/>
      <c r="Z28" s="426"/>
      <c r="AA28" s="425"/>
      <c r="AB28" s="424"/>
      <c r="AC28" s="424"/>
      <c r="AD28" s="425"/>
      <c r="AE28" s="426"/>
      <c r="AF28" s="426"/>
      <c r="AG28" s="425"/>
      <c r="AH28" s="424"/>
      <c r="AI28" s="424"/>
      <c r="AJ28" s="425"/>
      <c r="AK28" s="426"/>
      <c r="AL28" s="426"/>
      <c r="AM28" s="425"/>
      <c r="AN28" s="424"/>
      <c r="AO28" s="424"/>
      <c r="AP28" s="425"/>
      <c r="AQ28" s="426"/>
      <c r="AR28" s="426"/>
      <c r="AS28" s="425"/>
      <c r="AT28" s="424"/>
      <c r="AU28" s="424"/>
      <c r="AV28" s="425"/>
      <c r="AW28" s="426"/>
      <c r="AX28" s="426"/>
      <c r="AY28" s="425"/>
      <c r="AZ28" s="424"/>
      <c r="BA28" s="424"/>
      <c r="BB28" s="425"/>
      <c r="BC28" s="426"/>
      <c r="BD28" s="426"/>
      <c r="BE28" s="425"/>
      <c r="BF28" s="424"/>
      <c r="BG28" s="424"/>
      <c r="BH28" s="425"/>
      <c r="BI28" s="426"/>
      <c r="BJ28" s="426"/>
      <c r="BK28" s="425"/>
      <c r="BL28" s="424"/>
      <c r="BM28" s="424"/>
      <c r="BN28" s="425"/>
      <c r="BO28" s="426"/>
      <c r="BP28" s="426"/>
      <c r="BQ28" s="425"/>
      <c r="BR28" s="424"/>
      <c r="BS28" s="424"/>
      <c r="BT28" s="425"/>
      <c r="BU28" s="426"/>
      <c r="BV28" s="426"/>
      <c r="BW28" s="425"/>
      <c r="BX28" s="424"/>
      <c r="BY28" s="424"/>
      <c r="BZ28" s="425"/>
      <c r="CA28" s="426"/>
      <c r="CB28" s="426"/>
      <c r="CC28" s="425"/>
      <c r="CD28" s="424"/>
      <c r="CE28" s="424"/>
      <c r="CF28" s="425"/>
      <c r="CG28" s="426"/>
      <c r="CH28" s="426"/>
      <c r="CI28" s="425"/>
      <c r="CJ28" s="424"/>
      <c r="CK28" s="424"/>
      <c r="CL28" s="425"/>
      <c r="CM28" s="426"/>
      <c r="CN28" s="426"/>
      <c r="CO28" s="425"/>
      <c r="CP28" s="424"/>
      <c r="CQ28" s="424"/>
      <c r="CR28" s="425"/>
      <c r="CS28" s="426"/>
      <c r="CT28" s="426"/>
      <c r="CU28" s="425"/>
      <c r="CV28" s="424"/>
      <c r="CW28" s="424"/>
      <c r="CX28" s="425"/>
      <c r="CY28" s="426"/>
      <c r="CZ28" s="426"/>
      <c r="DA28" s="425"/>
      <c r="DB28" s="424"/>
      <c r="DC28" s="424"/>
      <c r="DD28" s="425"/>
      <c r="DE28" s="426"/>
      <c r="DF28" s="426"/>
      <c r="DG28" s="425"/>
      <c r="DH28" s="424"/>
      <c r="DI28" s="424"/>
      <c r="DJ28" s="425"/>
      <c r="DK28" s="426"/>
      <c r="DL28" s="426"/>
      <c r="DM28" s="425"/>
      <c r="DN28" s="424"/>
      <c r="DO28" s="424"/>
      <c r="DP28" s="425"/>
      <c r="DQ28" s="426"/>
      <c r="DR28" s="426"/>
      <c r="DS28" s="425"/>
      <c r="DT28" s="424"/>
      <c r="DU28" s="424"/>
      <c r="DV28" s="425"/>
      <c r="DW28" s="426"/>
      <c r="DX28" s="426"/>
      <c r="DY28" s="425"/>
      <c r="DZ28" s="424"/>
      <c r="EA28" s="424"/>
    </row>
    <row r="29" spans="3:131">
      <c r="C29" s="96" t="s">
        <v>970</v>
      </c>
      <c r="D29" s="65"/>
      <c r="E29" s="65"/>
      <c r="F29" s="437" t="s">
        <v>948</v>
      </c>
      <c r="G29" s="436" t="s">
        <v>949</v>
      </c>
      <c r="H29" s="412" t="s">
        <v>950</v>
      </c>
      <c r="I29" s="429"/>
      <c r="J29" s="429">
        <f t="shared" si="1"/>
        <v>0</v>
      </c>
      <c r="K29" s="428">
        <f t="shared" si="2"/>
        <v>0</v>
      </c>
      <c r="L29" s="427"/>
      <c r="M29" s="426"/>
      <c r="N29" s="426"/>
      <c r="O29" s="425"/>
      <c r="P29" s="424"/>
      <c r="Q29" s="424"/>
      <c r="R29" s="425"/>
      <c r="S29" s="426"/>
      <c r="T29" s="426"/>
      <c r="U29" s="425"/>
      <c r="V29" s="424"/>
      <c r="W29" s="424"/>
      <c r="X29" s="425"/>
      <c r="Y29" s="426"/>
      <c r="Z29" s="426"/>
      <c r="AA29" s="425"/>
      <c r="AB29" s="424"/>
      <c r="AC29" s="424"/>
      <c r="AD29" s="425"/>
      <c r="AE29" s="426"/>
      <c r="AF29" s="426"/>
      <c r="AG29" s="425"/>
      <c r="AH29" s="424"/>
      <c r="AI29" s="424"/>
      <c r="AJ29" s="425"/>
      <c r="AK29" s="426"/>
      <c r="AL29" s="426"/>
      <c r="AM29" s="425"/>
      <c r="AN29" s="424"/>
      <c r="AO29" s="424"/>
      <c r="AP29" s="425"/>
      <c r="AQ29" s="426"/>
      <c r="AR29" s="426"/>
      <c r="AS29" s="425"/>
      <c r="AT29" s="424"/>
      <c r="AU29" s="424"/>
      <c r="AV29" s="425"/>
      <c r="AW29" s="426"/>
      <c r="AX29" s="426"/>
      <c r="AY29" s="425"/>
      <c r="AZ29" s="424"/>
      <c r="BA29" s="424"/>
      <c r="BB29" s="425"/>
      <c r="BC29" s="426"/>
      <c r="BD29" s="426"/>
      <c r="BE29" s="425"/>
      <c r="BF29" s="424"/>
      <c r="BG29" s="424"/>
      <c r="BH29" s="425"/>
      <c r="BI29" s="426"/>
      <c r="BJ29" s="426"/>
      <c r="BK29" s="425"/>
      <c r="BL29" s="424"/>
      <c r="BM29" s="424"/>
      <c r="BN29" s="425"/>
      <c r="BO29" s="426"/>
      <c r="BP29" s="426"/>
      <c r="BQ29" s="425"/>
      <c r="BR29" s="424"/>
      <c r="BS29" s="424"/>
      <c r="BT29" s="425"/>
      <c r="BU29" s="426"/>
      <c r="BV29" s="426"/>
      <c r="BW29" s="425"/>
      <c r="BX29" s="424"/>
      <c r="BY29" s="424"/>
      <c r="BZ29" s="425"/>
      <c r="CA29" s="426"/>
      <c r="CB29" s="426"/>
      <c r="CC29" s="425"/>
      <c r="CD29" s="424"/>
      <c r="CE29" s="424"/>
      <c r="CF29" s="425"/>
      <c r="CG29" s="426"/>
      <c r="CH29" s="426"/>
      <c r="CI29" s="425"/>
      <c r="CJ29" s="424"/>
      <c r="CK29" s="424"/>
      <c r="CL29" s="425"/>
      <c r="CM29" s="426"/>
      <c r="CN29" s="426"/>
      <c r="CO29" s="425"/>
      <c r="CP29" s="424"/>
      <c r="CQ29" s="424"/>
      <c r="CR29" s="425"/>
      <c r="CS29" s="426"/>
      <c r="CT29" s="426"/>
      <c r="CU29" s="425"/>
      <c r="CV29" s="424"/>
      <c r="CW29" s="424"/>
      <c r="CX29" s="425"/>
      <c r="CY29" s="426"/>
      <c r="CZ29" s="426"/>
      <c r="DA29" s="425"/>
      <c r="DB29" s="424"/>
      <c r="DC29" s="424"/>
      <c r="DD29" s="425"/>
      <c r="DE29" s="426"/>
      <c r="DF29" s="426"/>
      <c r="DG29" s="425"/>
      <c r="DH29" s="424"/>
      <c r="DI29" s="424"/>
      <c r="DJ29" s="425"/>
      <c r="DK29" s="426"/>
      <c r="DL29" s="426"/>
      <c r="DM29" s="425"/>
      <c r="DN29" s="424"/>
      <c r="DO29" s="424"/>
      <c r="DP29" s="425"/>
      <c r="DQ29" s="426"/>
      <c r="DR29" s="426"/>
      <c r="DS29" s="425"/>
      <c r="DT29" s="424"/>
      <c r="DU29" s="424"/>
      <c r="DV29" s="425"/>
      <c r="DW29" s="426"/>
      <c r="DX29" s="426"/>
      <c r="DY29" s="425"/>
      <c r="DZ29" s="424"/>
      <c r="EA29" s="424"/>
    </row>
    <row r="30" spans="3:131">
      <c r="D30" s="446"/>
      <c r="E30" s="460" t="s">
        <v>968</v>
      </c>
      <c r="F30" s="432">
        <f ca="1">'MF Unit Material'!Y96</f>
        <v>365</v>
      </c>
      <c r="G30" s="431">
        <f>'MF Unit Material'!Z96</f>
        <v>45</v>
      </c>
      <c r="H30" s="158">
        <f ca="1">'MF Unit Material'!AA96</f>
        <v>16425</v>
      </c>
      <c r="I30" s="430">
        <f ca="1">F30-J30</f>
        <v>365</v>
      </c>
      <c r="J30" s="429">
        <f t="shared" si="1"/>
        <v>0</v>
      </c>
      <c r="K30" s="428">
        <f t="shared" si="2"/>
        <v>0</v>
      </c>
      <c r="L30" s="427"/>
      <c r="M30" s="426"/>
      <c r="N30" s="426"/>
      <c r="O30" s="425"/>
      <c r="P30" s="424"/>
      <c r="Q30" s="424"/>
      <c r="R30" s="425"/>
      <c r="S30" s="426"/>
      <c r="T30" s="426"/>
      <c r="U30" s="425"/>
      <c r="V30" s="424"/>
      <c r="W30" s="424"/>
      <c r="X30" s="425"/>
      <c r="Y30" s="426"/>
      <c r="Z30" s="426"/>
      <c r="AA30" s="425"/>
      <c r="AB30" s="424"/>
      <c r="AC30" s="424"/>
      <c r="AD30" s="425"/>
      <c r="AE30" s="426"/>
      <c r="AF30" s="426"/>
      <c r="AG30" s="425"/>
      <c r="AH30" s="424"/>
      <c r="AI30" s="424"/>
      <c r="AJ30" s="425"/>
      <c r="AK30" s="426"/>
      <c r="AL30" s="426"/>
      <c r="AM30" s="425"/>
      <c r="AN30" s="424"/>
      <c r="AO30" s="424"/>
      <c r="AP30" s="425"/>
      <c r="AQ30" s="426"/>
      <c r="AR30" s="426"/>
      <c r="AS30" s="425"/>
      <c r="AT30" s="424"/>
      <c r="AU30" s="424"/>
      <c r="AV30" s="425"/>
      <c r="AW30" s="426"/>
      <c r="AX30" s="426"/>
      <c r="AY30" s="425"/>
      <c r="AZ30" s="424"/>
      <c r="BA30" s="424"/>
      <c r="BB30" s="425"/>
      <c r="BC30" s="426"/>
      <c r="BD30" s="426"/>
      <c r="BE30" s="425"/>
      <c r="BF30" s="424"/>
      <c r="BG30" s="424"/>
      <c r="BH30" s="425"/>
      <c r="BI30" s="426"/>
      <c r="BJ30" s="426"/>
      <c r="BK30" s="425"/>
      <c r="BL30" s="424"/>
      <c r="BM30" s="424"/>
      <c r="BN30" s="425"/>
      <c r="BO30" s="426"/>
      <c r="BP30" s="426"/>
      <c r="BQ30" s="425"/>
      <c r="BR30" s="424"/>
      <c r="BS30" s="424"/>
      <c r="BT30" s="425"/>
      <c r="BU30" s="426"/>
      <c r="BV30" s="426"/>
      <c r="BW30" s="425"/>
      <c r="BX30" s="424"/>
      <c r="BY30" s="424"/>
      <c r="BZ30" s="425"/>
      <c r="CA30" s="426"/>
      <c r="CB30" s="426"/>
      <c r="CC30" s="425"/>
      <c r="CD30" s="424"/>
      <c r="CE30" s="424"/>
      <c r="CF30" s="425"/>
      <c r="CG30" s="426"/>
      <c r="CH30" s="426"/>
      <c r="CI30" s="425"/>
      <c r="CJ30" s="424"/>
      <c r="CK30" s="424"/>
      <c r="CL30" s="425"/>
      <c r="CM30" s="426"/>
      <c r="CN30" s="426"/>
      <c r="CO30" s="425"/>
      <c r="CP30" s="424"/>
      <c r="CQ30" s="424"/>
      <c r="CR30" s="425"/>
      <c r="CS30" s="426"/>
      <c r="CT30" s="426"/>
      <c r="CU30" s="425"/>
      <c r="CV30" s="424"/>
      <c r="CW30" s="424"/>
      <c r="CX30" s="425"/>
      <c r="CY30" s="426"/>
      <c r="CZ30" s="426"/>
      <c r="DA30" s="425"/>
      <c r="DB30" s="424"/>
      <c r="DC30" s="424"/>
      <c r="DD30" s="425"/>
      <c r="DE30" s="426"/>
      <c r="DF30" s="426"/>
      <c r="DG30" s="425"/>
      <c r="DH30" s="424"/>
      <c r="DI30" s="424"/>
      <c r="DJ30" s="425"/>
      <c r="DK30" s="426"/>
      <c r="DL30" s="426"/>
      <c r="DM30" s="425"/>
      <c r="DN30" s="424"/>
      <c r="DO30" s="424"/>
      <c r="DP30" s="425"/>
      <c r="DQ30" s="426"/>
      <c r="DR30" s="426"/>
      <c r="DS30" s="425"/>
      <c r="DT30" s="424"/>
      <c r="DU30" s="424"/>
      <c r="DV30" s="425"/>
      <c r="DW30" s="426"/>
      <c r="DX30" s="426"/>
      <c r="DY30" s="425"/>
      <c r="DZ30" s="424"/>
      <c r="EA30" s="424"/>
    </row>
    <row r="31" spans="3:131">
      <c r="C31" s="423"/>
      <c r="D31" s="1"/>
      <c r="E31" s="16" t="s">
        <v>961</v>
      </c>
      <c r="F31" s="422">
        <f ca="1">'MF Unit Material'!Y98</f>
        <v>365</v>
      </c>
      <c r="G31" s="421">
        <f>'MF Unit Material'!Z98</f>
        <v>0</v>
      </c>
      <c r="H31" s="420">
        <f ca="1">'MF Unit Material'!AA98</f>
        <v>16425</v>
      </c>
      <c r="I31" s="429"/>
      <c r="J31" s="429">
        <f t="shared" si="1"/>
        <v>0</v>
      </c>
      <c r="K31" s="428">
        <f t="shared" si="2"/>
        <v>0</v>
      </c>
      <c r="L31" s="427"/>
      <c r="M31" s="426"/>
      <c r="N31" s="426"/>
      <c r="O31" s="425"/>
      <c r="P31" s="424"/>
      <c r="Q31" s="424"/>
      <c r="R31" s="425"/>
      <c r="S31" s="426"/>
      <c r="T31" s="426"/>
      <c r="U31" s="425"/>
      <c r="V31" s="424"/>
      <c r="W31" s="424"/>
      <c r="X31" s="425"/>
      <c r="Y31" s="426"/>
      <c r="Z31" s="426"/>
      <c r="AA31" s="425"/>
      <c r="AB31" s="424"/>
      <c r="AC31" s="424"/>
      <c r="AD31" s="425"/>
      <c r="AE31" s="426"/>
      <c r="AF31" s="426"/>
      <c r="AG31" s="425"/>
      <c r="AH31" s="424"/>
      <c r="AI31" s="424"/>
      <c r="AJ31" s="425"/>
      <c r="AK31" s="426"/>
      <c r="AL31" s="426"/>
      <c r="AM31" s="425"/>
      <c r="AN31" s="424"/>
      <c r="AO31" s="424"/>
      <c r="AP31" s="425"/>
      <c r="AQ31" s="426"/>
      <c r="AR31" s="426"/>
      <c r="AS31" s="425"/>
      <c r="AT31" s="424"/>
      <c r="AU31" s="424"/>
      <c r="AV31" s="425"/>
      <c r="AW31" s="426"/>
      <c r="AX31" s="426"/>
      <c r="AY31" s="425"/>
      <c r="AZ31" s="424"/>
      <c r="BA31" s="424"/>
      <c r="BB31" s="425"/>
      <c r="BC31" s="426"/>
      <c r="BD31" s="426"/>
      <c r="BE31" s="425"/>
      <c r="BF31" s="424"/>
      <c r="BG31" s="424"/>
      <c r="BH31" s="425"/>
      <c r="BI31" s="426"/>
      <c r="BJ31" s="426"/>
      <c r="BK31" s="425"/>
      <c r="BL31" s="424"/>
      <c r="BM31" s="424"/>
      <c r="BN31" s="425"/>
      <c r="BO31" s="426"/>
      <c r="BP31" s="426"/>
      <c r="BQ31" s="425"/>
      <c r="BR31" s="424"/>
      <c r="BS31" s="424"/>
      <c r="BT31" s="425"/>
      <c r="BU31" s="426"/>
      <c r="BV31" s="426"/>
      <c r="BW31" s="425"/>
      <c r="BX31" s="424"/>
      <c r="BY31" s="424"/>
      <c r="BZ31" s="425"/>
      <c r="CA31" s="426"/>
      <c r="CB31" s="426"/>
      <c r="CC31" s="425"/>
      <c r="CD31" s="424"/>
      <c r="CE31" s="424"/>
      <c r="CF31" s="425"/>
      <c r="CG31" s="426"/>
      <c r="CH31" s="426"/>
      <c r="CI31" s="425"/>
      <c r="CJ31" s="424"/>
      <c r="CK31" s="424"/>
      <c r="CL31" s="425"/>
      <c r="CM31" s="426"/>
      <c r="CN31" s="426"/>
      <c r="CO31" s="425"/>
      <c r="CP31" s="424"/>
      <c r="CQ31" s="424"/>
      <c r="CR31" s="425"/>
      <c r="CS31" s="426"/>
      <c r="CT31" s="426"/>
      <c r="CU31" s="425"/>
      <c r="CV31" s="424"/>
      <c r="CW31" s="424"/>
      <c r="CX31" s="425"/>
      <c r="CY31" s="426"/>
      <c r="CZ31" s="426"/>
      <c r="DA31" s="425"/>
      <c r="DB31" s="424"/>
      <c r="DC31" s="424"/>
      <c r="DD31" s="425"/>
      <c r="DE31" s="426"/>
      <c r="DF31" s="426"/>
      <c r="DG31" s="425"/>
      <c r="DH31" s="424"/>
      <c r="DI31" s="424"/>
      <c r="DJ31" s="425"/>
      <c r="DK31" s="426"/>
      <c r="DL31" s="426"/>
      <c r="DM31" s="425"/>
      <c r="DN31" s="424"/>
      <c r="DO31" s="424"/>
      <c r="DP31" s="425"/>
      <c r="DQ31" s="426"/>
      <c r="DR31" s="426"/>
      <c r="DS31" s="425"/>
      <c r="DT31" s="424"/>
      <c r="DU31" s="424"/>
      <c r="DV31" s="425"/>
      <c r="DW31" s="426"/>
      <c r="DX31" s="426"/>
      <c r="DY31" s="425"/>
      <c r="DZ31" s="424"/>
      <c r="EA31" s="424"/>
    </row>
    <row r="32" spans="3:131" collapsed="1">
      <c r="C32" s="96" t="s">
        <v>971</v>
      </c>
      <c r="D32" s="65"/>
      <c r="E32" s="65"/>
      <c r="F32" s="437" t="s">
        <v>948</v>
      </c>
      <c r="G32" s="436" t="s">
        <v>949</v>
      </c>
      <c r="H32" s="412" t="s">
        <v>950</v>
      </c>
      <c r="I32" s="429"/>
      <c r="J32" s="429">
        <f t="shared" si="1"/>
        <v>0</v>
      </c>
      <c r="K32" s="428">
        <f t="shared" si="2"/>
        <v>0</v>
      </c>
      <c r="L32" s="427"/>
      <c r="M32" s="426"/>
      <c r="N32" s="426"/>
      <c r="O32" s="425"/>
      <c r="P32" s="424"/>
      <c r="Q32" s="424"/>
      <c r="R32" s="425"/>
      <c r="S32" s="426"/>
      <c r="T32" s="426"/>
      <c r="U32" s="425"/>
      <c r="V32" s="424"/>
      <c r="W32" s="424"/>
      <c r="X32" s="425"/>
      <c r="Y32" s="426"/>
      <c r="Z32" s="426"/>
      <c r="AA32" s="425"/>
      <c r="AB32" s="424"/>
      <c r="AC32" s="424"/>
      <c r="AD32" s="425"/>
      <c r="AE32" s="426"/>
      <c r="AF32" s="426"/>
      <c r="AG32" s="425"/>
      <c r="AH32" s="424"/>
      <c r="AI32" s="424"/>
      <c r="AJ32" s="425"/>
      <c r="AK32" s="426"/>
      <c r="AL32" s="426"/>
      <c r="AM32" s="425"/>
      <c r="AN32" s="424"/>
      <c r="AO32" s="424"/>
      <c r="AP32" s="425"/>
      <c r="AQ32" s="426"/>
      <c r="AR32" s="426"/>
      <c r="AS32" s="425"/>
      <c r="AT32" s="424"/>
      <c r="AU32" s="424"/>
      <c r="AV32" s="425"/>
      <c r="AW32" s="426"/>
      <c r="AX32" s="426"/>
      <c r="AY32" s="425"/>
      <c r="AZ32" s="424"/>
      <c r="BA32" s="424"/>
      <c r="BB32" s="425"/>
      <c r="BC32" s="426"/>
      <c r="BD32" s="426"/>
      <c r="BE32" s="425"/>
      <c r="BF32" s="424"/>
      <c r="BG32" s="424"/>
      <c r="BH32" s="425"/>
      <c r="BI32" s="426"/>
      <c r="BJ32" s="426"/>
      <c r="BK32" s="425"/>
      <c r="BL32" s="424"/>
      <c r="BM32" s="424"/>
      <c r="BN32" s="425"/>
      <c r="BO32" s="426"/>
      <c r="BP32" s="426"/>
      <c r="BQ32" s="425"/>
      <c r="BR32" s="424"/>
      <c r="BS32" s="424"/>
      <c r="BT32" s="425"/>
      <c r="BU32" s="426"/>
      <c r="BV32" s="426"/>
      <c r="BW32" s="425"/>
      <c r="BX32" s="424"/>
      <c r="BY32" s="424"/>
      <c r="BZ32" s="425"/>
      <c r="CA32" s="426"/>
      <c r="CB32" s="426"/>
      <c r="CC32" s="425"/>
      <c r="CD32" s="424"/>
      <c r="CE32" s="424"/>
      <c r="CF32" s="425"/>
      <c r="CG32" s="426"/>
      <c r="CH32" s="426"/>
      <c r="CI32" s="425"/>
      <c r="CJ32" s="424"/>
      <c r="CK32" s="424"/>
      <c r="CL32" s="425"/>
      <c r="CM32" s="426"/>
      <c r="CN32" s="426"/>
      <c r="CO32" s="425"/>
      <c r="CP32" s="424"/>
      <c r="CQ32" s="424"/>
      <c r="CR32" s="425"/>
      <c r="CS32" s="426"/>
      <c r="CT32" s="426"/>
      <c r="CU32" s="425"/>
      <c r="CV32" s="424"/>
      <c r="CW32" s="424"/>
      <c r="CX32" s="425"/>
      <c r="CY32" s="426"/>
      <c r="CZ32" s="426"/>
      <c r="DA32" s="425"/>
      <c r="DB32" s="424"/>
      <c r="DC32" s="424"/>
      <c r="DD32" s="425"/>
      <c r="DE32" s="426"/>
      <c r="DF32" s="426"/>
      <c r="DG32" s="425"/>
      <c r="DH32" s="424"/>
      <c r="DI32" s="424"/>
      <c r="DJ32" s="425"/>
      <c r="DK32" s="426"/>
      <c r="DL32" s="426"/>
      <c r="DM32" s="425"/>
      <c r="DN32" s="424"/>
      <c r="DO32" s="424"/>
      <c r="DP32" s="425"/>
      <c r="DQ32" s="426"/>
      <c r="DR32" s="426"/>
      <c r="DS32" s="425"/>
      <c r="DT32" s="424"/>
      <c r="DU32" s="424"/>
      <c r="DV32" s="425"/>
      <c r="DW32" s="426"/>
      <c r="DX32" s="426"/>
      <c r="DY32" s="425"/>
      <c r="DZ32" s="424"/>
      <c r="EA32" s="424"/>
    </row>
    <row r="33" spans="2:131">
      <c r="D33" s="446"/>
      <c r="E33" s="1" t="s">
        <v>968</v>
      </c>
      <c r="F33" s="432">
        <f>'MF Unit Material'!Y100</f>
        <v>94.39</v>
      </c>
      <c r="G33" s="431">
        <f>'MF Unit Material'!Z100</f>
        <v>60</v>
      </c>
      <c r="H33" s="158">
        <f>'MF Unit Material'!AA100</f>
        <v>5663.4</v>
      </c>
      <c r="I33" s="429">
        <f>F33-J33</f>
        <v>94.39</v>
      </c>
      <c r="J33" s="429">
        <f t="shared" si="1"/>
        <v>0</v>
      </c>
      <c r="K33" s="428">
        <f t="shared" si="2"/>
        <v>0</v>
      </c>
      <c r="L33" s="427"/>
      <c r="M33" s="426"/>
      <c r="N33" s="426"/>
      <c r="O33" s="425"/>
      <c r="P33" s="424"/>
      <c r="Q33" s="424"/>
      <c r="R33" s="425"/>
      <c r="S33" s="426"/>
      <c r="T33" s="426"/>
      <c r="U33" s="425"/>
      <c r="V33" s="424"/>
      <c r="W33" s="424"/>
      <c r="X33" s="425"/>
      <c r="Y33" s="426"/>
      <c r="Z33" s="426"/>
      <c r="AA33" s="425"/>
      <c r="AB33" s="424"/>
      <c r="AC33" s="424"/>
      <c r="AD33" s="425"/>
      <c r="AE33" s="426"/>
      <c r="AF33" s="426"/>
      <c r="AG33" s="425"/>
      <c r="AH33" s="424"/>
      <c r="AI33" s="424"/>
      <c r="AJ33" s="425"/>
      <c r="AK33" s="426"/>
      <c r="AL33" s="426"/>
      <c r="AM33" s="425"/>
      <c r="AN33" s="424"/>
      <c r="AO33" s="424"/>
      <c r="AP33" s="425"/>
      <c r="AQ33" s="426"/>
      <c r="AR33" s="426"/>
      <c r="AS33" s="425"/>
      <c r="AT33" s="424"/>
      <c r="AU33" s="424"/>
      <c r="AV33" s="425"/>
      <c r="AW33" s="426"/>
      <c r="AX33" s="426"/>
      <c r="AY33" s="425"/>
      <c r="AZ33" s="424"/>
      <c r="BA33" s="424"/>
      <c r="BB33" s="425"/>
      <c r="BC33" s="426"/>
      <c r="BD33" s="426"/>
      <c r="BE33" s="425"/>
      <c r="BF33" s="424"/>
      <c r="BG33" s="424"/>
      <c r="BH33" s="425"/>
      <c r="BI33" s="426"/>
      <c r="BJ33" s="426"/>
      <c r="BK33" s="425"/>
      <c r="BL33" s="424"/>
      <c r="BM33" s="424"/>
      <c r="BN33" s="425"/>
      <c r="BO33" s="426"/>
      <c r="BP33" s="426"/>
      <c r="BQ33" s="425"/>
      <c r="BR33" s="424"/>
      <c r="BS33" s="424"/>
      <c r="BT33" s="425"/>
      <c r="BU33" s="426"/>
      <c r="BV33" s="426"/>
      <c r="BW33" s="425"/>
      <c r="BX33" s="424"/>
      <c r="BY33" s="424"/>
      <c r="BZ33" s="425"/>
      <c r="CA33" s="426"/>
      <c r="CB33" s="426"/>
      <c r="CC33" s="425"/>
      <c r="CD33" s="424"/>
      <c r="CE33" s="424"/>
      <c r="CF33" s="425"/>
      <c r="CG33" s="426"/>
      <c r="CH33" s="426"/>
      <c r="CI33" s="425"/>
      <c r="CJ33" s="424"/>
      <c r="CK33" s="424"/>
      <c r="CL33" s="425"/>
      <c r="CM33" s="426"/>
      <c r="CN33" s="426"/>
      <c r="CO33" s="425"/>
      <c r="CP33" s="424"/>
      <c r="CQ33" s="424"/>
      <c r="CR33" s="425"/>
      <c r="CS33" s="426"/>
      <c r="CT33" s="426"/>
      <c r="CU33" s="425"/>
      <c r="CV33" s="424"/>
      <c r="CW33" s="424"/>
      <c r="CX33" s="425"/>
      <c r="CY33" s="426"/>
      <c r="CZ33" s="426"/>
      <c r="DA33" s="425"/>
      <c r="DB33" s="424"/>
      <c r="DC33" s="424"/>
      <c r="DD33" s="425"/>
      <c r="DE33" s="426"/>
      <c r="DF33" s="426"/>
      <c r="DG33" s="425"/>
      <c r="DH33" s="424"/>
      <c r="DI33" s="424"/>
      <c r="DJ33" s="425"/>
      <c r="DK33" s="426"/>
      <c r="DL33" s="426"/>
      <c r="DM33" s="425"/>
      <c r="DN33" s="424"/>
      <c r="DO33" s="424"/>
      <c r="DP33" s="425"/>
      <c r="DQ33" s="426"/>
      <c r="DR33" s="426"/>
      <c r="DS33" s="425"/>
      <c r="DT33" s="424"/>
      <c r="DU33" s="424"/>
      <c r="DV33" s="425"/>
      <c r="DW33" s="426"/>
      <c r="DX33" s="426"/>
      <c r="DY33" s="425"/>
      <c r="DZ33" s="424"/>
      <c r="EA33" s="424"/>
    </row>
    <row r="34" spans="2:131">
      <c r="C34" s="423"/>
      <c r="D34" s="1"/>
      <c r="E34" s="16" t="s">
        <v>961</v>
      </c>
      <c r="F34" s="422">
        <f>'MF Unit Material'!Y102</f>
        <v>94.39</v>
      </c>
      <c r="G34" s="421">
        <f>'MF Unit Material'!Z102</f>
        <v>0</v>
      </c>
      <c r="H34" s="420">
        <f>'MF Unit Material'!AA102</f>
        <v>5663.4</v>
      </c>
      <c r="I34" s="429"/>
      <c r="J34" s="429">
        <f t="shared" si="1"/>
        <v>0</v>
      </c>
      <c r="K34" s="428">
        <f t="shared" si="2"/>
        <v>0</v>
      </c>
      <c r="L34" s="427"/>
      <c r="M34" s="426"/>
      <c r="N34" s="426"/>
      <c r="O34" s="425"/>
      <c r="P34" s="424"/>
      <c r="Q34" s="424"/>
      <c r="R34" s="425"/>
      <c r="S34" s="426"/>
      <c r="T34" s="426"/>
      <c r="U34" s="425"/>
      <c r="V34" s="424"/>
      <c r="W34" s="424"/>
      <c r="X34" s="425"/>
      <c r="Y34" s="426"/>
      <c r="Z34" s="426"/>
      <c r="AA34" s="425"/>
      <c r="AB34" s="424"/>
      <c r="AC34" s="424"/>
      <c r="AD34" s="425"/>
      <c r="AE34" s="426"/>
      <c r="AF34" s="426"/>
      <c r="AG34" s="425"/>
      <c r="AH34" s="424"/>
      <c r="AI34" s="424"/>
      <c r="AJ34" s="425"/>
      <c r="AK34" s="426"/>
      <c r="AL34" s="426"/>
      <c r="AM34" s="425"/>
      <c r="AN34" s="424"/>
      <c r="AO34" s="424"/>
      <c r="AP34" s="425"/>
      <c r="AQ34" s="426"/>
      <c r="AR34" s="426"/>
      <c r="AS34" s="425"/>
      <c r="AT34" s="424"/>
      <c r="AU34" s="424"/>
      <c r="AV34" s="425"/>
      <c r="AW34" s="426"/>
      <c r="AX34" s="426"/>
      <c r="AY34" s="425"/>
      <c r="AZ34" s="424"/>
      <c r="BA34" s="424"/>
      <c r="BB34" s="425"/>
      <c r="BC34" s="426"/>
      <c r="BD34" s="426"/>
      <c r="BE34" s="425"/>
      <c r="BF34" s="424"/>
      <c r="BG34" s="424"/>
      <c r="BH34" s="425"/>
      <c r="BI34" s="426"/>
      <c r="BJ34" s="426"/>
      <c r="BK34" s="425"/>
      <c r="BL34" s="424"/>
      <c r="BM34" s="424"/>
      <c r="BN34" s="425"/>
      <c r="BO34" s="426"/>
      <c r="BP34" s="426"/>
      <c r="BQ34" s="425"/>
      <c r="BR34" s="424"/>
      <c r="BS34" s="424"/>
      <c r="BT34" s="425"/>
      <c r="BU34" s="426"/>
      <c r="BV34" s="426"/>
      <c r="BW34" s="425"/>
      <c r="BX34" s="424"/>
      <c r="BY34" s="424"/>
      <c r="BZ34" s="425"/>
      <c r="CA34" s="426"/>
      <c r="CB34" s="426"/>
      <c r="CC34" s="425"/>
      <c r="CD34" s="424"/>
      <c r="CE34" s="424"/>
      <c r="CF34" s="425"/>
      <c r="CG34" s="426"/>
      <c r="CH34" s="426"/>
      <c r="CI34" s="425"/>
      <c r="CJ34" s="424"/>
      <c r="CK34" s="424"/>
      <c r="CL34" s="425"/>
      <c r="CM34" s="426"/>
      <c r="CN34" s="426"/>
      <c r="CO34" s="425"/>
      <c r="CP34" s="424"/>
      <c r="CQ34" s="424"/>
      <c r="CR34" s="425"/>
      <c r="CS34" s="426"/>
      <c r="CT34" s="426"/>
      <c r="CU34" s="425"/>
      <c r="CV34" s="424"/>
      <c r="CW34" s="424"/>
      <c r="CX34" s="425"/>
      <c r="CY34" s="426"/>
      <c r="CZ34" s="426"/>
      <c r="DA34" s="425"/>
      <c r="DB34" s="424"/>
      <c r="DC34" s="424"/>
      <c r="DD34" s="425"/>
      <c r="DE34" s="426"/>
      <c r="DF34" s="426"/>
      <c r="DG34" s="425"/>
      <c r="DH34" s="424"/>
      <c r="DI34" s="424"/>
      <c r="DJ34" s="425"/>
      <c r="DK34" s="426"/>
      <c r="DL34" s="426"/>
      <c r="DM34" s="425"/>
      <c r="DN34" s="424"/>
      <c r="DO34" s="424"/>
      <c r="DP34" s="425"/>
      <c r="DQ34" s="426"/>
      <c r="DR34" s="426"/>
      <c r="DS34" s="425"/>
      <c r="DT34" s="424"/>
      <c r="DU34" s="424"/>
      <c r="DV34" s="425"/>
      <c r="DW34" s="426"/>
      <c r="DX34" s="426"/>
      <c r="DY34" s="425"/>
      <c r="DZ34" s="424"/>
      <c r="EA34" s="424"/>
    </row>
    <row r="35" spans="2:131">
      <c r="C35" s="96" t="s">
        <v>972</v>
      </c>
      <c r="D35" s="65"/>
      <c r="E35" s="65"/>
      <c r="F35" s="437" t="s">
        <v>948</v>
      </c>
      <c r="G35" s="436" t="s">
        <v>949</v>
      </c>
      <c r="H35" s="412" t="s">
        <v>950</v>
      </c>
      <c r="I35" s="429"/>
      <c r="J35" s="429">
        <f t="shared" si="1"/>
        <v>0</v>
      </c>
      <c r="K35" s="428">
        <f t="shared" si="2"/>
        <v>0</v>
      </c>
      <c r="L35" s="427"/>
      <c r="M35" s="426"/>
      <c r="N35" s="426"/>
      <c r="O35" s="425"/>
      <c r="P35" s="424"/>
      <c r="Q35" s="424"/>
      <c r="R35" s="425"/>
      <c r="S35" s="426"/>
      <c r="T35" s="426"/>
      <c r="U35" s="425"/>
      <c r="V35" s="424"/>
      <c r="W35" s="424"/>
      <c r="X35" s="425"/>
      <c r="Y35" s="426"/>
      <c r="Z35" s="426"/>
      <c r="AA35" s="425"/>
      <c r="AB35" s="424"/>
      <c r="AC35" s="424"/>
      <c r="AD35" s="425"/>
      <c r="AE35" s="426"/>
      <c r="AF35" s="426"/>
      <c r="AG35" s="425"/>
      <c r="AH35" s="424"/>
      <c r="AI35" s="424"/>
      <c r="AJ35" s="425"/>
      <c r="AK35" s="426"/>
      <c r="AL35" s="426"/>
      <c r="AM35" s="425"/>
      <c r="AN35" s="424"/>
      <c r="AO35" s="424"/>
      <c r="AP35" s="425"/>
      <c r="AQ35" s="426"/>
      <c r="AR35" s="426"/>
      <c r="AS35" s="425"/>
      <c r="AT35" s="424"/>
      <c r="AU35" s="424"/>
      <c r="AV35" s="425"/>
      <c r="AW35" s="426"/>
      <c r="AX35" s="426"/>
      <c r="AY35" s="425"/>
      <c r="AZ35" s="424"/>
      <c r="BA35" s="424"/>
      <c r="BB35" s="425"/>
      <c r="BC35" s="426"/>
      <c r="BD35" s="426"/>
      <c r="BE35" s="425"/>
      <c r="BF35" s="424"/>
      <c r="BG35" s="424"/>
      <c r="BH35" s="425"/>
      <c r="BI35" s="426"/>
      <c r="BJ35" s="426"/>
      <c r="BK35" s="425"/>
      <c r="BL35" s="424"/>
      <c r="BM35" s="424"/>
      <c r="BN35" s="425"/>
      <c r="BO35" s="426"/>
      <c r="BP35" s="426"/>
      <c r="BQ35" s="425"/>
      <c r="BR35" s="424"/>
      <c r="BS35" s="424"/>
      <c r="BT35" s="425"/>
      <c r="BU35" s="426"/>
      <c r="BV35" s="426"/>
      <c r="BW35" s="425"/>
      <c r="BX35" s="424"/>
      <c r="BY35" s="424"/>
      <c r="BZ35" s="425"/>
      <c r="CA35" s="426"/>
      <c r="CB35" s="426"/>
      <c r="CC35" s="425"/>
      <c r="CD35" s="424"/>
      <c r="CE35" s="424"/>
      <c r="CF35" s="425"/>
      <c r="CG35" s="426"/>
      <c r="CH35" s="426"/>
      <c r="CI35" s="425"/>
      <c r="CJ35" s="424"/>
      <c r="CK35" s="424"/>
      <c r="CL35" s="425"/>
      <c r="CM35" s="426"/>
      <c r="CN35" s="426"/>
      <c r="CO35" s="425"/>
      <c r="CP35" s="424"/>
      <c r="CQ35" s="424"/>
      <c r="CR35" s="425"/>
      <c r="CS35" s="426"/>
      <c r="CT35" s="426"/>
      <c r="CU35" s="425"/>
      <c r="CV35" s="424"/>
      <c r="CW35" s="424"/>
      <c r="CX35" s="425"/>
      <c r="CY35" s="426"/>
      <c r="CZ35" s="426"/>
      <c r="DA35" s="425"/>
      <c r="DB35" s="424"/>
      <c r="DC35" s="424"/>
      <c r="DD35" s="425"/>
      <c r="DE35" s="426"/>
      <c r="DF35" s="426"/>
      <c r="DG35" s="425"/>
      <c r="DH35" s="424"/>
      <c r="DI35" s="424"/>
      <c r="DJ35" s="425"/>
      <c r="DK35" s="426"/>
      <c r="DL35" s="426"/>
      <c r="DM35" s="425"/>
      <c r="DN35" s="424"/>
      <c r="DO35" s="424"/>
      <c r="DP35" s="425"/>
      <c r="DQ35" s="426"/>
      <c r="DR35" s="426"/>
      <c r="DS35" s="425"/>
      <c r="DT35" s="424"/>
      <c r="DU35" s="424"/>
      <c r="DV35" s="425"/>
      <c r="DW35" s="426"/>
      <c r="DX35" s="426"/>
      <c r="DY35" s="425"/>
      <c r="DZ35" s="424"/>
      <c r="EA35" s="424"/>
    </row>
    <row r="36" spans="2:131">
      <c r="D36" s="446"/>
      <c r="E36" s="1" t="s">
        <v>973</v>
      </c>
      <c r="F36" s="432">
        <f ca="1">'MF Unit Material'!Y104</f>
        <v>456.25</v>
      </c>
      <c r="G36" s="431">
        <f>'MF Unit Material'!Z104</f>
        <v>325</v>
      </c>
      <c r="H36" s="158">
        <f ca="1">'MF Unit Material'!AA104</f>
        <v>5931.25</v>
      </c>
      <c r="I36" s="429">
        <f ca="1">F36-J36</f>
        <v>456.25</v>
      </c>
      <c r="J36" s="429">
        <f t="shared" si="1"/>
        <v>0</v>
      </c>
      <c r="K36" s="428">
        <f t="shared" si="2"/>
        <v>0</v>
      </c>
      <c r="L36" s="427"/>
      <c r="M36" s="426"/>
      <c r="N36" s="426"/>
      <c r="O36" s="425"/>
      <c r="P36" s="424"/>
      <c r="Q36" s="424"/>
      <c r="R36" s="425"/>
      <c r="S36" s="426"/>
      <c r="T36" s="426"/>
      <c r="U36" s="425"/>
      <c r="V36" s="424"/>
      <c r="W36" s="424"/>
      <c r="X36" s="425"/>
      <c r="Y36" s="426"/>
      <c r="Z36" s="426"/>
      <c r="AA36" s="425"/>
      <c r="AB36" s="424"/>
      <c r="AC36" s="424"/>
      <c r="AD36" s="425"/>
      <c r="AE36" s="426"/>
      <c r="AF36" s="426"/>
      <c r="AG36" s="425"/>
      <c r="AH36" s="424"/>
      <c r="AI36" s="424"/>
      <c r="AJ36" s="425"/>
      <c r="AK36" s="426"/>
      <c r="AL36" s="426"/>
      <c r="AM36" s="425"/>
      <c r="AN36" s="424"/>
      <c r="AO36" s="424"/>
      <c r="AP36" s="425"/>
      <c r="AQ36" s="426"/>
      <c r="AR36" s="426"/>
      <c r="AS36" s="425"/>
      <c r="AT36" s="424"/>
      <c r="AU36" s="424"/>
      <c r="AV36" s="425"/>
      <c r="AW36" s="426"/>
      <c r="AX36" s="426"/>
      <c r="AY36" s="425"/>
      <c r="AZ36" s="424"/>
      <c r="BA36" s="424"/>
      <c r="BB36" s="425"/>
      <c r="BC36" s="426"/>
      <c r="BD36" s="426"/>
      <c r="BE36" s="425"/>
      <c r="BF36" s="424"/>
      <c r="BG36" s="424"/>
      <c r="BH36" s="425"/>
      <c r="BI36" s="426"/>
      <c r="BJ36" s="426"/>
      <c r="BK36" s="425"/>
      <c r="BL36" s="424"/>
      <c r="BM36" s="424"/>
      <c r="BN36" s="425"/>
      <c r="BO36" s="426"/>
      <c r="BP36" s="426"/>
      <c r="BQ36" s="425"/>
      <c r="BR36" s="424"/>
      <c r="BS36" s="424"/>
      <c r="BT36" s="425"/>
      <c r="BU36" s="426"/>
      <c r="BV36" s="426"/>
      <c r="BW36" s="425"/>
      <c r="BX36" s="424"/>
      <c r="BY36" s="424"/>
      <c r="BZ36" s="425"/>
      <c r="CA36" s="426"/>
      <c r="CB36" s="426"/>
      <c r="CC36" s="425"/>
      <c r="CD36" s="424"/>
      <c r="CE36" s="424"/>
      <c r="CF36" s="425"/>
      <c r="CG36" s="426"/>
      <c r="CH36" s="426"/>
      <c r="CI36" s="425"/>
      <c r="CJ36" s="424"/>
      <c r="CK36" s="424"/>
      <c r="CL36" s="425"/>
      <c r="CM36" s="426"/>
      <c r="CN36" s="426"/>
      <c r="CO36" s="425"/>
      <c r="CP36" s="424"/>
      <c r="CQ36" s="424"/>
      <c r="CR36" s="425"/>
      <c r="CS36" s="426"/>
      <c r="CT36" s="426"/>
      <c r="CU36" s="425"/>
      <c r="CV36" s="424"/>
      <c r="CW36" s="424"/>
      <c r="CX36" s="425"/>
      <c r="CY36" s="426"/>
      <c r="CZ36" s="426"/>
      <c r="DA36" s="425"/>
      <c r="DB36" s="424"/>
      <c r="DC36" s="424"/>
      <c r="DD36" s="425"/>
      <c r="DE36" s="426"/>
      <c r="DF36" s="426"/>
      <c r="DG36" s="425"/>
      <c r="DH36" s="424"/>
      <c r="DI36" s="424"/>
      <c r="DJ36" s="425"/>
      <c r="DK36" s="426"/>
      <c r="DL36" s="426"/>
      <c r="DM36" s="425"/>
      <c r="DN36" s="424"/>
      <c r="DO36" s="424"/>
      <c r="DP36" s="425"/>
      <c r="DQ36" s="426"/>
      <c r="DR36" s="426"/>
      <c r="DS36" s="425"/>
      <c r="DT36" s="424"/>
      <c r="DU36" s="424"/>
      <c r="DV36" s="425"/>
      <c r="DW36" s="426"/>
      <c r="DX36" s="426"/>
      <c r="DY36" s="425"/>
      <c r="DZ36" s="424"/>
      <c r="EA36" s="424"/>
    </row>
    <row r="37" spans="2:131">
      <c r="C37" s="423"/>
      <c r="D37" s="1"/>
      <c r="E37" s="16" t="s">
        <v>961</v>
      </c>
      <c r="F37" s="422">
        <f ca="1">'MF Unit Material'!Y106</f>
        <v>456.25</v>
      </c>
      <c r="G37" s="421">
        <f>'MF Unit Material'!Z106</f>
        <v>0</v>
      </c>
      <c r="H37" s="420">
        <f ca="1">'MF Unit Material'!AA106</f>
        <v>5931.25</v>
      </c>
      <c r="I37" s="429"/>
      <c r="J37" s="429">
        <f t="shared" si="1"/>
        <v>0</v>
      </c>
      <c r="K37" s="428">
        <f t="shared" si="2"/>
        <v>0</v>
      </c>
      <c r="L37" s="427"/>
      <c r="M37" s="426"/>
      <c r="N37" s="426"/>
      <c r="O37" s="425"/>
      <c r="P37" s="424"/>
      <c r="Q37" s="424"/>
      <c r="R37" s="425"/>
      <c r="S37" s="426"/>
      <c r="T37" s="426"/>
      <c r="U37" s="425"/>
      <c r="V37" s="424"/>
      <c r="W37" s="424"/>
      <c r="X37" s="425"/>
      <c r="Y37" s="426"/>
      <c r="Z37" s="426"/>
      <c r="AA37" s="425"/>
      <c r="AB37" s="424"/>
      <c r="AC37" s="424"/>
      <c r="AD37" s="425"/>
      <c r="AE37" s="426"/>
      <c r="AF37" s="426"/>
      <c r="AG37" s="425"/>
      <c r="AH37" s="424"/>
      <c r="AI37" s="424"/>
      <c r="AJ37" s="425"/>
      <c r="AK37" s="426"/>
      <c r="AL37" s="426"/>
      <c r="AM37" s="425"/>
      <c r="AN37" s="424"/>
      <c r="AO37" s="424"/>
      <c r="AP37" s="425"/>
      <c r="AQ37" s="426"/>
      <c r="AR37" s="426"/>
      <c r="AS37" s="425"/>
      <c r="AT37" s="424"/>
      <c r="AU37" s="424"/>
      <c r="AV37" s="425"/>
      <c r="AW37" s="426"/>
      <c r="AX37" s="426"/>
      <c r="AY37" s="425"/>
      <c r="AZ37" s="424"/>
      <c r="BA37" s="424"/>
      <c r="BB37" s="425"/>
      <c r="BC37" s="426"/>
      <c r="BD37" s="426"/>
      <c r="BE37" s="425"/>
      <c r="BF37" s="424"/>
      <c r="BG37" s="424"/>
      <c r="BH37" s="425"/>
      <c r="BI37" s="426"/>
      <c r="BJ37" s="426"/>
      <c r="BK37" s="425"/>
      <c r="BL37" s="424"/>
      <c r="BM37" s="424"/>
      <c r="BN37" s="425"/>
      <c r="BO37" s="426"/>
      <c r="BP37" s="426"/>
      <c r="BQ37" s="425"/>
      <c r="BR37" s="424"/>
      <c r="BS37" s="424"/>
      <c r="BT37" s="425"/>
      <c r="BU37" s="426"/>
      <c r="BV37" s="426"/>
      <c r="BW37" s="425"/>
      <c r="BX37" s="424"/>
      <c r="BY37" s="424"/>
      <c r="BZ37" s="425"/>
      <c r="CA37" s="426"/>
      <c r="CB37" s="426"/>
      <c r="CC37" s="425"/>
      <c r="CD37" s="424"/>
      <c r="CE37" s="424"/>
      <c r="CF37" s="425"/>
      <c r="CG37" s="426"/>
      <c r="CH37" s="426"/>
      <c r="CI37" s="425"/>
      <c r="CJ37" s="424"/>
      <c r="CK37" s="424"/>
      <c r="CL37" s="425"/>
      <c r="CM37" s="426"/>
      <c r="CN37" s="426"/>
      <c r="CO37" s="425"/>
      <c r="CP37" s="424"/>
      <c r="CQ37" s="424"/>
      <c r="CR37" s="425"/>
      <c r="CS37" s="426"/>
      <c r="CT37" s="426"/>
      <c r="CU37" s="425"/>
      <c r="CV37" s="424"/>
      <c r="CW37" s="424"/>
      <c r="CX37" s="425"/>
      <c r="CY37" s="426"/>
      <c r="CZ37" s="426"/>
      <c r="DA37" s="425"/>
      <c r="DB37" s="424"/>
      <c r="DC37" s="424"/>
      <c r="DD37" s="425"/>
      <c r="DE37" s="426"/>
      <c r="DF37" s="426"/>
      <c r="DG37" s="425"/>
      <c r="DH37" s="424"/>
      <c r="DI37" s="424"/>
      <c r="DJ37" s="425"/>
      <c r="DK37" s="426"/>
      <c r="DL37" s="426"/>
      <c r="DM37" s="425"/>
      <c r="DN37" s="424"/>
      <c r="DO37" s="424"/>
      <c r="DP37" s="425"/>
      <c r="DQ37" s="426"/>
      <c r="DR37" s="426"/>
      <c r="DS37" s="425"/>
      <c r="DT37" s="424"/>
      <c r="DU37" s="424"/>
      <c r="DV37" s="425"/>
      <c r="DW37" s="426"/>
      <c r="DX37" s="426"/>
      <c r="DY37" s="425"/>
      <c r="DZ37" s="424"/>
      <c r="EA37" s="424"/>
    </row>
    <row r="38" spans="2:131">
      <c r="B38" s="438" t="s">
        <v>622</v>
      </c>
      <c r="C38" s="462" t="s">
        <v>437</v>
      </c>
      <c r="D38" s="65"/>
      <c r="E38" s="65"/>
      <c r="F38" s="437" t="s">
        <v>948</v>
      </c>
      <c r="G38" s="436" t="s">
        <v>949</v>
      </c>
      <c r="H38" s="412" t="s">
        <v>950</v>
      </c>
      <c r="I38" s="429"/>
      <c r="J38" s="429">
        <f t="shared" si="1"/>
        <v>0</v>
      </c>
      <c r="K38" s="428">
        <f t="shared" si="2"/>
        <v>0</v>
      </c>
      <c r="L38" s="427"/>
      <c r="M38" s="426"/>
      <c r="N38" s="426"/>
      <c r="O38" s="425"/>
      <c r="P38" s="424"/>
      <c r="Q38" s="424"/>
      <c r="R38" s="425"/>
      <c r="S38" s="426"/>
      <c r="T38" s="426"/>
      <c r="U38" s="425"/>
      <c r="V38" s="424"/>
      <c r="W38" s="424"/>
      <c r="X38" s="425"/>
      <c r="Y38" s="426"/>
      <c r="Z38" s="426"/>
      <c r="AA38" s="425"/>
      <c r="AB38" s="424"/>
      <c r="AC38" s="424"/>
      <c r="AD38" s="425"/>
      <c r="AE38" s="426"/>
      <c r="AF38" s="426"/>
      <c r="AG38" s="425"/>
      <c r="AH38" s="424"/>
      <c r="AI38" s="424"/>
      <c r="AJ38" s="425"/>
      <c r="AK38" s="426"/>
      <c r="AL38" s="426"/>
      <c r="AM38" s="425"/>
      <c r="AN38" s="424"/>
      <c r="AO38" s="424"/>
      <c r="AP38" s="425"/>
      <c r="AQ38" s="426"/>
      <c r="AR38" s="426"/>
      <c r="AS38" s="425"/>
      <c r="AT38" s="424"/>
      <c r="AU38" s="424"/>
      <c r="AV38" s="425"/>
      <c r="AW38" s="426"/>
      <c r="AX38" s="426"/>
      <c r="AY38" s="425"/>
      <c r="AZ38" s="424"/>
      <c r="BA38" s="424"/>
      <c r="BB38" s="425"/>
      <c r="BC38" s="426"/>
      <c r="BD38" s="426"/>
      <c r="BE38" s="425"/>
      <c r="BF38" s="424"/>
      <c r="BG38" s="424"/>
      <c r="BH38" s="425"/>
      <c r="BI38" s="426"/>
      <c r="BJ38" s="426"/>
      <c r="BK38" s="425"/>
      <c r="BL38" s="424"/>
      <c r="BM38" s="424"/>
      <c r="BN38" s="425"/>
      <c r="BO38" s="426"/>
      <c r="BP38" s="426"/>
      <c r="BQ38" s="425"/>
      <c r="BR38" s="424"/>
      <c r="BS38" s="424"/>
      <c r="BT38" s="425"/>
      <c r="BU38" s="426"/>
      <c r="BV38" s="426"/>
      <c r="BW38" s="425"/>
      <c r="BX38" s="424"/>
      <c r="BY38" s="424"/>
      <c r="BZ38" s="425"/>
      <c r="CA38" s="426"/>
      <c r="CB38" s="426"/>
      <c r="CC38" s="425"/>
      <c r="CD38" s="424"/>
      <c r="CE38" s="424"/>
      <c r="CF38" s="425"/>
      <c r="CG38" s="426"/>
      <c r="CH38" s="426"/>
      <c r="CI38" s="425"/>
      <c r="CJ38" s="424"/>
      <c r="CK38" s="424"/>
      <c r="CL38" s="425"/>
      <c r="CM38" s="426"/>
      <c r="CN38" s="426"/>
      <c r="CO38" s="425"/>
      <c r="CP38" s="424"/>
      <c r="CQ38" s="424"/>
      <c r="CR38" s="425"/>
      <c r="CS38" s="426"/>
      <c r="CT38" s="426"/>
      <c r="CU38" s="425"/>
      <c r="CV38" s="424"/>
      <c r="CW38" s="424"/>
      <c r="CX38" s="425"/>
      <c r="CY38" s="426"/>
      <c r="CZ38" s="426"/>
      <c r="DA38" s="425"/>
      <c r="DB38" s="424"/>
      <c r="DC38" s="424"/>
      <c r="DD38" s="425"/>
      <c r="DE38" s="426"/>
      <c r="DF38" s="426"/>
      <c r="DG38" s="425"/>
      <c r="DH38" s="424"/>
      <c r="DI38" s="424"/>
      <c r="DJ38" s="425"/>
      <c r="DK38" s="426"/>
      <c r="DL38" s="426"/>
      <c r="DM38" s="425"/>
      <c r="DN38" s="424"/>
      <c r="DO38" s="424"/>
      <c r="DP38" s="425"/>
      <c r="DQ38" s="426"/>
      <c r="DR38" s="426"/>
      <c r="DS38" s="425"/>
      <c r="DT38" s="424"/>
      <c r="DU38" s="424"/>
      <c r="DV38" s="425"/>
      <c r="DW38" s="426"/>
      <c r="DX38" s="426"/>
      <c r="DY38" s="425"/>
      <c r="DZ38" s="424"/>
      <c r="EA38" s="424"/>
    </row>
    <row r="39" spans="2:131">
      <c r="D39" s="75"/>
      <c r="E39" s="75" t="s">
        <v>968</v>
      </c>
      <c r="F39" s="432">
        <f ca="1">'MF Unit Material'!Y116</f>
        <v>365</v>
      </c>
      <c r="G39" s="431">
        <f>'MF Unit Material'!Z116</f>
        <v>32</v>
      </c>
      <c r="H39" s="158">
        <f ca="1">'MF Unit Material'!AA116</f>
        <v>11680</v>
      </c>
      <c r="I39" s="429">
        <f ca="1">F39-J39</f>
        <v>365</v>
      </c>
      <c r="J39" s="429">
        <f t="shared" si="1"/>
        <v>0</v>
      </c>
      <c r="K39" s="428">
        <f t="shared" si="2"/>
        <v>0</v>
      </c>
      <c r="L39" s="427"/>
      <c r="M39" s="426"/>
      <c r="N39" s="426"/>
      <c r="O39" s="425"/>
      <c r="P39" s="424"/>
      <c r="Q39" s="424"/>
      <c r="R39" s="425"/>
      <c r="S39" s="426"/>
      <c r="T39" s="426"/>
      <c r="U39" s="425"/>
      <c r="V39" s="424"/>
      <c r="W39" s="424"/>
      <c r="X39" s="425"/>
      <c r="Y39" s="426"/>
      <c r="Z39" s="426"/>
      <c r="AA39" s="425"/>
      <c r="AB39" s="424"/>
      <c r="AC39" s="424"/>
      <c r="AD39" s="425"/>
      <c r="AE39" s="426"/>
      <c r="AF39" s="426"/>
      <c r="AG39" s="425"/>
      <c r="AH39" s="424"/>
      <c r="AI39" s="424"/>
      <c r="AJ39" s="425"/>
      <c r="AK39" s="426"/>
      <c r="AL39" s="426"/>
      <c r="AM39" s="425"/>
      <c r="AN39" s="424"/>
      <c r="AO39" s="424"/>
      <c r="AP39" s="425"/>
      <c r="AQ39" s="426"/>
      <c r="AR39" s="426"/>
      <c r="AS39" s="425"/>
      <c r="AT39" s="424"/>
      <c r="AU39" s="424"/>
      <c r="AV39" s="425"/>
      <c r="AW39" s="426"/>
      <c r="AX39" s="426"/>
      <c r="AY39" s="425"/>
      <c r="AZ39" s="424"/>
      <c r="BA39" s="424"/>
      <c r="BB39" s="425"/>
      <c r="BC39" s="426"/>
      <c r="BD39" s="426"/>
      <c r="BE39" s="425"/>
      <c r="BF39" s="424"/>
      <c r="BG39" s="424"/>
      <c r="BH39" s="425"/>
      <c r="BI39" s="426"/>
      <c r="BJ39" s="426"/>
      <c r="BK39" s="425"/>
      <c r="BL39" s="424"/>
      <c r="BM39" s="424"/>
      <c r="BN39" s="425"/>
      <c r="BO39" s="426"/>
      <c r="BP39" s="426"/>
      <c r="BQ39" s="425"/>
      <c r="BR39" s="424"/>
      <c r="BS39" s="424"/>
      <c r="BT39" s="425"/>
      <c r="BU39" s="426"/>
      <c r="BV39" s="426"/>
      <c r="BW39" s="425"/>
      <c r="BX39" s="424"/>
      <c r="BY39" s="424"/>
      <c r="BZ39" s="425"/>
      <c r="CA39" s="426"/>
      <c r="CB39" s="426"/>
      <c r="CC39" s="425"/>
      <c r="CD39" s="424"/>
      <c r="CE39" s="424"/>
      <c r="CF39" s="425"/>
      <c r="CG39" s="426"/>
      <c r="CH39" s="426"/>
      <c r="CI39" s="425"/>
      <c r="CJ39" s="424"/>
      <c r="CK39" s="424"/>
      <c r="CL39" s="425"/>
      <c r="CM39" s="426"/>
      <c r="CN39" s="426"/>
      <c r="CO39" s="425"/>
      <c r="CP39" s="424"/>
      <c r="CQ39" s="424"/>
      <c r="CR39" s="425"/>
      <c r="CS39" s="426"/>
      <c r="CT39" s="426"/>
      <c r="CU39" s="425"/>
      <c r="CV39" s="424"/>
      <c r="CW39" s="424"/>
      <c r="CX39" s="425"/>
      <c r="CY39" s="426"/>
      <c r="CZ39" s="426"/>
      <c r="DA39" s="425"/>
      <c r="DB39" s="424"/>
      <c r="DC39" s="424"/>
      <c r="DD39" s="425"/>
      <c r="DE39" s="426"/>
      <c r="DF39" s="426"/>
      <c r="DG39" s="425"/>
      <c r="DH39" s="424"/>
      <c r="DI39" s="424"/>
      <c r="DJ39" s="425"/>
      <c r="DK39" s="426"/>
      <c r="DL39" s="426"/>
      <c r="DM39" s="425"/>
      <c r="DN39" s="424"/>
      <c r="DO39" s="424"/>
      <c r="DP39" s="425"/>
      <c r="DQ39" s="426"/>
      <c r="DR39" s="426"/>
      <c r="DS39" s="425"/>
      <c r="DT39" s="424"/>
      <c r="DU39" s="424"/>
      <c r="DV39" s="425"/>
      <c r="DW39" s="426"/>
      <c r="DX39" s="426"/>
      <c r="DY39" s="425"/>
      <c r="DZ39" s="424"/>
      <c r="EA39" s="424"/>
    </row>
    <row r="40" spans="2:131">
      <c r="C40" s="423"/>
      <c r="D40" s="1"/>
      <c r="E40" s="16" t="s">
        <v>961</v>
      </c>
      <c r="F40" s="422">
        <f ca="1">'MF Unit Material'!Y118</f>
        <v>365</v>
      </c>
      <c r="G40" s="421">
        <f>'MF Unit Material'!Z118</f>
        <v>0</v>
      </c>
      <c r="H40" s="420">
        <f ca="1">'MF Unit Material'!AA118</f>
        <v>11680</v>
      </c>
      <c r="I40" s="429"/>
      <c r="J40" s="429">
        <f t="shared" si="1"/>
        <v>0</v>
      </c>
      <c r="K40" s="428">
        <f t="shared" si="2"/>
        <v>0</v>
      </c>
      <c r="L40" s="427"/>
      <c r="M40" s="426"/>
      <c r="N40" s="426"/>
      <c r="O40" s="425"/>
      <c r="P40" s="424"/>
      <c r="Q40" s="424"/>
      <c r="R40" s="425"/>
      <c r="S40" s="426"/>
      <c r="T40" s="426"/>
      <c r="U40" s="425"/>
      <c r="V40" s="424"/>
      <c r="W40" s="424"/>
      <c r="X40" s="425"/>
      <c r="Y40" s="426"/>
      <c r="Z40" s="426"/>
      <c r="AA40" s="425"/>
      <c r="AB40" s="424"/>
      <c r="AC40" s="424"/>
      <c r="AD40" s="425"/>
      <c r="AE40" s="426"/>
      <c r="AF40" s="426"/>
      <c r="AG40" s="425"/>
      <c r="AH40" s="424"/>
      <c r="AI40" s="424"/>
      <c r="AJ40" s="425"/>
      <c r="AK40" s="426"/>
      <c r="AL40" s="426"/>
      <c r="AM40" s="425"/>
      <c r="AN40" s="424"/>
      <c r="AO40" s="424"/>
      <c r="AP40" s="425"/>
      <c r="AQ40" s="426"/>
      <c r="AR40" s="426"/>
      <c r="AS40" s="425"/>
      <c r="AT40" s="424"/>
      <c r="AU40" s="424"/>
      <c r="AV40" s="425"/>
      <c r="AW40" s="426"/>
      <c r="AX40" s="426"/>
      <c r="AY40" s="425"/>
      <c r="AZ40" s="424"/>
      <c r="BA40" s="424"/>
      <c r="BB40" s="425"/>
      <c r="BC40" s="426"/>
      <c r="BD40" s="426"/>
      <c r="BE40" s="425"/>
      <c r="BF40" s="424"/>
      <c r="BG40" s="424"/>
      <c r="BH40" s="425"/>
      <c r="BI40" s="426"/>
      <c r="BJ40" s="426"/>
      <c r="BK40" s="425"/>
      <c r="BL40" s="424"/>
      <c r="BM40" s="424"/>
      <c r="BN40" s="425"/>
      <c r="BO40" s="426"/>
      <c r="BP40" s="426"/>
      <c r="BQ40" s="425"/>
      <c r="BR40" s="424"/>
      <c r="BS40" s="424"/>
      <c r="BT40" s="425"/>
      <c r="BU40" s="426"/>
      <c r="BV40" s="426"/>
      <c r="BW40" s="425"/>
      <c r="BX40" s="424"/>
      <c r="BY40" s="424"/>
      <c r="BZ40" s="425"/>
      <c r="CA40" s="426"/>
      <c r="CB40" s="426"/>
      <c r="CC40" s="425"/>
      <c r="CD40" s="424"/>
      <c r="CE40" s="424"/>
      <c r="CF40" s="425"/>
      <c r="CG40" s="426"/>
      <c r="CH40" s="426"/>
      <c r="CI40" s="425"/>
      <c r="CJ40" s="424"/>
      <c r="CK40" s="424"/>
      <c r="CL40" s="425"/>
      <c r="CM40" s="426"/>
      <c r="CN40" s="426"/>
      <c r="CO40" s="425"/>
      <c r="CP40" s="424"/>
      <c r="CQ40" s="424"/>
      <c r="CR40" s="425"/>
      <c r="CS40" s="426"/>
      <c r="CT40" s="426"/>
      <c r="CU40" s="425"/>
      <c r="CV40" s="424"/>
      <c r="CW40" s="424"/>
      <c r="CX40" s="425"/>
      <c r="CY40" s="426"/>
      <c r="CZ40" s="426"/>
      <c r="DA40" s="425"/>
      <c r="DB40" s="424"/>
      <c r="DC40" s="424"/>
      <c r="DD40" s="425"/>
      <c r="DE40" s="426"/>
      <c r="DF40" s="426"/>
      <c r="DG40" s="425"/>
      <c r="DH40" s="424"/>
      <c r="DI40" s="424"/>
      <c r="DJ40" s="425"/>
      <c r="DK40" s="426"/>
      <c r="DL40" s="426"/>
      <c r="DM40" s="425"/>
      <c r="DN40" s="424"/>
      <c r="DO40" s="424"/>
      <c r="DP40" s="425"/>
      <c r="DQ40" s="426"/>
      <c r="DR40" s="426"/>
      <c r="DS40" s="425"/>
      <c r="DT40" s="424"/>
      <c r="DU40" s="424"/>
      <c r="DV40" s="425"/>
      <c r="DW40" s="426"/>
      <c r="DX40" s="426"/>
      <c r="DY40" s="425"/>
      <c r="DZ40" s="424"/>
      <c r="EA40" s="424"/>
    </row>
    <row r="41" spans="2:131">
      <c r="C41" s="461" t="s">
        <v>440</v>
      </c>
      <c r="D41" s="65"/>
      <c r="E41" s="65"/>
      <c r="F41" s="437" t="s">
        <v>948</v>
      </c>
      <c r="G41" s="436" t="s">
        <v>949</v>
      </c>
      <c r="H41" s="412" t="s">
        <v>950</v>
      </c>
      <c r="I41" s="429"/>
      <c r="J41" s="429">
        <f t="shared" si="1"/>
        <v>0</v>
      </c>
      <c r="K41" s="428">
        <f t="shared" si="2"/>
        <v>0</v>
      </c>
      <c r="L41" s="427"/>
      <c r="M41" s="426"/>
      <c r="N41" s="426"/>
      <c r="O41" s="425"/>
      <c r="P41" s="424"/>
      <c r="Q41" s="424"/>
      <c r="R41" s="425"/>
      <c r="S41" s="426"/>
      <c r="T41" s="426"/>
      <c r="U41" s="425"/>
      <c r="V41" s="424"/>
      <c r="W41" s="424"/>
      <c r="X41" s="425"/>
      <c r="Y41" s="426"/>
      <c r="Z41" s="426"/>
      <c r="AA41" s="425"/>
      <c r="AB41" s="424"/>
      <c r="AC41" s="424"/>
      <c r="AD41" s="425"/>
      <c r="AE41" s="426"/>
      <c r="AF41" s="426"/>
      <c r="AG41" s="425"/>
      <c r="AH41" s="424"/>
      <c r="AI41" s="424"/>
      <c r="AJ41" s="425"/>
      <c r="AK41" s="426"/>
      <c r="AL41" s="426"/>
      <c r="AM41" s="425"/>
      <c r="AN41" s="424"/>
      <c r="AO41" s="424"/>
      <c r="AP41" s="425"/>
      <c r="AQ41" s="426"/>
      <c r="AR41" s="426"/>
      <c r="AS41" s="425"/>
      <c r="AT41" s="424"/>
      <c r="AU41" s="424"/>
      <c r="AV41" s="425"/>
      <c r="AW41" s="426"/>
      <c r="AX41" s="426"/>
      <c r="AY41" s="425"/>
      <c r="AZ41" s="424"/>
      <c r="BA41" s="424"/>
      <c r="BB41" s="425"/>
      <c r="BC41" s="426"/>
      <c r="BD41" s="426"/>
      <c r="BE41" s="425"/>
      <c r="BF41" s="424"/>
      <c r="BG41" s="424"/>
      <c r="BH41" s="425"/>
      <c r="BI41" s="426"/>
      <c r="BJ41" s="426"/>
      <c r="BK41" s="425"/>
      <c r="BL41" s="424"/>
      <c r="BM41" s="424"/>
      <c r="BN41" s="425"/>
      <c r="BO41" s="426"/>
      <c r="BP41" s="426"/>
      <c r="BQ41" s="425"/>
      <c r="BR41" s="424"/>
      <c r="BS41" s="424"/>
      <c r="BT41" s="425"/>
      <c r="BU41" s="426"/>
      <c r="BV41" s="426"/>
      <c r="BW41" s="425"/>
      <c r="BX41" s="424"/>
      <c r="BY41" s="424"/>
      <c r="BZ41" s="425"/>
      <c r="CA41" s="426"/>
      <c r="CB41" s="426"/>
      <c r="CC41" s="425"/>
      <c r="CD41" s="424"/>
      <c r="CE41" s="424"/>
      <c r="CF41" s="425"/>
      <c r="CG41" s="426"/>
      <c r="CH41" s="426"/>
      <c r="CI41" s="425"/>
      <c r="CJ41" s="424"/>
      <c r="CK41" s="424"/>
      <c r="CL41" s="425"/>
      <c r="CM41" s="426"/>
      <c r="CN41" s="426"/>
      <c r="CO41" s="425"/>
      <c r="CP41" s="424"/>
      <c r="CQ41" s="424"/>
      <c r="CR41" s="425"/>
      <c r="CS41" s="426"/>
      <c r="CT41" s="426"/>
      <c r="CU41" s="425"/>
      <c r="CV41" s="424"/>
      <c r="CW41" s="424"/>
      <c r="CX41" s="425"/>
      <c r="CY41" s="426"/>
      <c r="CZ41" s="426"/>
      <c r="DA41" s="425"/>
      <c r="DB41" s="424"/>
      <c r="DC41" s="424"/>
      <c r="DD41" s="425"/>
      <c r="DE41" s="426"/>
      <c r="DF41" s="426"/>
      <c r="DG41" s="425"/>
      <c r="DH41" s="424"/>
      <c r="DI41" s="424"/>
      <c r="DJ41" s="425"/>
      <c r="DK41" s="426"/>
      <c r="DL41" s="426"/>
      <c r="DM41" s="425"/>
      <c r="DN41" s="424"/>
      <c r="DO41" s="424"/>
      <c r="DP41" s="425"/>
      <c r="DQ41" s="426"/>
      <c r="DR41" s="426"/>
      <c r="DS41" s="425"/>
      <c r="DT41" s="424"/>
      <c r="DU41" s="424"/>
      <c r="DV41" s="425"/>
      <c r="DW41" s="426"/>
      <c r="DX41" s="426"/>
      <c r="DY41" s="425"/>
      <c r="DZ41" s="424"/>
      <c r="EA41" s="424"/>
    </row>
    <row r="42" spans="2:131">
      <c r="D42" s="446"/>
      <c r="E42" s="460" t="s">
        <v>968</v>
      </c>
      <c r="F42" s="432">
        <f ca="1">'MF Unit Material'!Y120</f>
        <v>21334.800000000003</v>
      </c>
      <c r="G42" s="431">
        <f>'MF Unit Material'!Z120</f>
        <v>70</v>
      </c>
      <c r="H42" s="158">
        <f ca="1">'MF Unit Material'!AA120</f>
        <v>5973.7440000000006</v>
      </c>
      <c r="I42" s="430">
        <f ca="1">F42-J42</f>
        <v>21334.800000000003</v>
      </c>
      <c r="J42" s="429">
        <f t="shared" si="1"/>
        <v>0</v>
      </c>
      <c r="K42" s="428">
        <f t="shared" si="2"/>
        <v>0</v>
      </c>
      <c r="L42" s="427"/>
      <c r="M42" s="426"/>
      <c r="N42" s="426"/>
      <c r="O42" s="425"/>
      <c r="P42" s="424"/>
      <c r="Q42" s="424"/>
      <c r="R42" s="425"/>
      <c r="S42" s="426"/>
      <c r="T42" s="426"/>
      <c r="U42" s="425"/>
      <c r="V42" s="424"/>
      <c r="W42" s="424"/>
      <c r="X42" s="425"/>
      <c r="Y42" s="426"/>
      <c r="Z42" s="426"/>
      <c r="AA42" s="425"/>
      <c r="AB42" s="424"/>
      <c r="AC42" s="424"/>
      <c r="AD42" s="425"/>
      <c r="AE42" s="426"/>
      <c r="AF42" s="426"/>
      <c r="AG42" s="425"/>
      <c r="AH42" s="424"/>
      <c r="AI42" s="424"/>
      <c r="AJ42" s="425"/>
      <c r="AK42" s="426"/>
      <c r="AL42" s="426"/>
      <c r="AM42" s="425"/>
      <c r="AN42" s="424"/>
      <c r="AO42" s="424"/>
      <c r="AP42" s="425"/>
      <c r="AQ42" s="426"/>
      <c r="AR42" s="426"/>
      <c r="AS42" s="425"/>
      <c r="AT42" s="424"/>
      <c r="AU42" s="424"/>
      <c r="AV42" s="425"/>
      <c r="AW42" s="426"/>
      <c r="AX42" s="426"/>
      <c r="AY42" s="425"/>
      <c r="AZ42" s="424"/>
      <c r="BA42" s="424"/>
      <c r="BB42" s="425"/>
      <c r="BC42" s="426"/>
      <c r="BD42" s="426"/>
      <c r="BE42" s="425"/>
      <c r="BF42" s="424"/>
      <c r="BG42" s="424"/>
      <c r="BH42" s="425"/>
      <c r="BI42" s="426"/>
      <c r="BJ42" s="426"/>
      <c r="BK42" s="425"/>
      <c r="BL42" s="424"/>
      <c r="BM42" s="424"/>
      <c r="BN42" s="425"/>
      <c r="BO42" s="426"/>
      <c r="BP42" s="426"/>
      <c r="BQ42" s="425"/>
      <c r="BR42" s="424"/>
      <c r="BS42" s="424"/>
      <c r="BT42" s="425"/>
      <c r="BU42" s="426"/>
      <c r="BV42" s="426"/>
      <c r="BW42" s="425"/>
      <c r="BX42" s="424"/>
      <c r="BY42" s="424"/>
      <c r="BZ42" s="425"/>
      <c r="CA42" s="426"/>
      <c r="CB42" s="426"/>
      <c r="CC42" s="425"/>
      <c r="CD42" s="424"/>
      <c r="CE42" s="424"/>
      <c r="CF42" s="425"/>
      <c r="CG42" s="426"/>
      <c r="CH42" s="426"/>
      <c r="CI42" s="425"/>
      <c r="CJ42" s="424"/>
      <c r="CK42" s="424"/>
      <c r="CL42" s="425"/>
      <c r="CM42" s="426"/>
      <c r="CN42" s="426"/>
      <c r="CO42" s="425"/>
      <c r="CP42" s="424"/>
      <c r="CQ42" s="424"/>
      <c r="CR42" s="425"/>
      <c r="CS42" s="426"/>
      <c r="CT42" s="426"/>
      <c r="CU42" s="425"/>
      <c r="CV42" s="424"/>
      <c r="CW42" s="424"/>
      <c r="CX42" s="425"/>
      <c r="CY42" s="426"/>
      <c r="CZ42" s="426"/>
      <c r="DA42" s="425"/>
      <c r="DB42" s="424"/>
      <c r="DC42" s="424"/>
      <c r="DD42" s="425"/>
      <c r="DE42" s="426"/>
      <c r="DF42" s="426"/>
      <c r="DG42" s="425"/>
      <c r="DH42" s="424"/>
      <c r="DI42" s="424"/>
      <c r="DJ42" s="425"/>
      <c r="DK42" s="426"/>
      <c r="DL42" s="426"/>
      <c r="DM42" s="425"/>
      <c r="DN42" s="424"/>
      <c r="DO42" s="424"/>
      <c r="DP42" s="425"/>
      <c r="DQ42" s="426"/>
      <c r="DR42" s="426"/>
      <c r="DS42" s="425"/>
      <c r="DT42" s="424"/>
      <c r="DU42" s="424"/>
      <c r="DV42" s="425"/>
      <c r="DW42" s="426"/>
      <c r="DX42" s="426"/>
      <c r="DY42" s="425"/>
      <c r="DZ42" s="424"/>
      <c r="EA42" s="424"/>
    </row>
    <row r="43" spans="2:131">
      <c r="C43" s="423"/>
      <c r="D43" s="1"/>
      <c r="E43" s="16" t="s">
        <v>961</v>
      </c>
      <c r="F43" s="422">
        <f ca="1">'MF Unit Material'!Y122</f>
        <v>21334.800000000003</v>
      </c>
      <c r="G43" s="421">
        <f>'MF Unit Material'!Z122</f>
        <v>0</v>
      </c>
      <c r="H43" s="420">
        <f ca="1">'MF Unit Material'!AA122</f>
        <v>5973.7439999999997</v>
      </c>
      <c r="I43" s="429"/>
      <c r="J43" s="429">
        <f t="shared" si="1"/>
        <v>0</v>
      </c>
      <c r="K43" s="428">
        <f t="shared" si="2"/>
        <v>0</v>
      </c>
      <c r="L43" s="427"/>
      <c r="M43" s="426"/>
      <c r="N43" s="426"/>
      <c r="O43" s="425"/>
      <c r="P43" s="424"/>
      <c r="Q43" s="424"/>
      <c r="R43" s="425"/>
      <c r="S43" s="426"/>
      <c r="T43" s="426"/>
      <c r="U43" s="425"/>
      <c r="V43" s="424"/>
      <c r="W43" s="424"/>
      <c r="X43" s="425"/>
      <c r="Y43" s="426"/>
      <c r="Z43" s="426"/>
      <c r="AA43" s="425"/>
      <c r="AB43" s="424"/>
      <c r="AC43" s="424"/>
      <c r="AD43" s="425"/>
      <c r="AE43" s="426"/>
      <c r="AF43" s="426"/>
      <c r="AG43" s="425"/>
      <c r="AH43" s="424"/>
      <c r="AI43" s="424"/>
      <c r="AJ43" s="425"/>
      <c r="AK43" s="426"/>
      <c r="AL43" s="426"/>
      <c r="AM43" s="425"/>
      <c r="AN43" s="424"/>
      <c r="AO43" s="424"/>
      <c r="AP43" s="425"/>
      <c r="AQ43" s="426"/>
      <c r="AR43" s="426"/>
      <c r="AS43" s="425"/>
      <c r="AT43" s="424"/>
      <c r="AU43" s="424"/>
      <c r="AV43" s="425"/>
      <c r="AW43" s="426"/>
      <c r="AX43" s="426"/>
      <c r="AY43" s="425"/>
      <c r="AZ43" s="424"/>
      <c r="BA43" s="424"/>
      <c r="BB43" s="425"/>
      <c r="BC43" s="426"/>
      <c r="BD43" s="426"/>
      <c r="BE43" s="425"/>
      <c r="BF43" s="424"/>
      <c r="BG43" s="424"/>
      <c r="BH43" s="425"/>
      <c r="BI43" s="426"/>
      <c r="BJ43" s="426"/>
      <c r="BK43" s="425"/>
      <c r="BL43" s="424"/>
      <c r="BM43" s="424"/>
      <c r="BN43" s="425"/>
      <c r="BO43" s="426"/>
      <c r="BP43" s="426"/>
      <c r="BQ43" s="425"/>
      <c r="BR43" s="424"/>
      <c r="BS43" s="424"/>
      <c r="BT43" s="425"/>
      <c r="BU43" s="426"/>
      <c r="BV43" s="426"/>
      <c r="BW43" s="425"/>
      <c r="BX43" s="424"/>
      <c r="BY43" s="424"/>
      <c r="BZ43" s="425"/>
      <c r="CA43" s="426"/>
      <c r="CB43" s="426"/>
      <c r="CC43" s="425"/>
      <c r="CD43" s="424"/>
      <c r="CE43" s="424"/>
      <c r="CF43" s="425"/>
      <c r="CG43" s="426"/>
      <c r="CH43" s="426"/>
      <c r="CI43" s="425"/>
      <c r="CJ43" s="424"/>
      <c r="CK43" s="424"/>
      <c r="CL43" s="425"/>
      <c r="CM43" s="426"/>
      <c r="CN43" s="426"/>
      <c r="CO43" s="425"/>
      <c r="CP43" s="424"/>
      <c r="CQ43" s="424"/>
      <c r="CR43" s="425"/>
      <c r="CS43" s="426"/>
      <c r="CT43" s="426"/>
      <c r="CU43" s="425"/>
      <c r="CV43" s="424"/>
      <c r="CW43" s="424"/>
      <c r="CX43" s="425"/>
      <c r="CY43" s="426"/>
      <c r="CZ43" s="426"/>
      <c r="DA43" s="425"/>
      <c r="DB43" s="424"/>
      <c r="DC43" s="424"/>
      <c r="DD43" s="425"/>
      <c r="DE43" s="426"/>
      <c r="DF43" s="426"/>
      <c r="DG43" s="425"/>
      <c r="DH43" s="424"/>
      <c r="DI43" s="424"/>
      <c r="DJ43" s="425"/>
      <c r="DK43" s="426"/>
      <c r="DL43" s="426"/>
      <c r="DM43" s="425"/>
      <c r="DN43" s="424"/>
      <c r="DO43" s="424"/>
      <c r="DP43" s="425"/>
      <c r="DQ43" s="426"/>
      <c r="DR43" s="426"/>
      <c r="DS43" s="425"/>
      <c r="DT43" s="424"/>
      <c r="DU43" s="424"/>
      <c r="DV43" s="425"/>
      <c r="DW43" s="426"/>
      <c r="DX43" s="426"/>
      <c r="DY43" s="425"/>
      <c r="DZ43" s="424"/>
      <c r="EA43" s="424"/>
    </row>
    <row r="44" spans="2:131">
      <c r="C44" s="461" t="s">
        <v>974</v>
      </c>
      <c r="D44" s="65"/>
      <c r="E44" s="65"/>
      <c r="F44" s="437" t="s">
        <v>948</v>
      </c>
      <c r="G44" s="436" t="s">
        <v>949</v>
      </c>
      <c r="H44" s="412" t="s">
        <v>950</v>
      </c>
      <c r="I44" s="429"/>
      <c r="J44" s="429">
        <f t="shared" si="1"/>
        <v>0</v>
      </c>
      <c r="K44" s="428">
        <f t="shared" si="2"/>
        <v>0</v>
      </c>
      <c r="L44" s="427"/>
      <c r="M44" s="426"/>
      <c r="N44" s="426"/>
      <c r="O44" s="425"/>
      <c r="P44" s="424"/>
      <c r="Q44" s="424"/>
      <c r="R44" s="425"/>
      <c r="S44" s="426"/>
      <c r="T44" s="426"/>
      <c r="U44" s="425"/>
      <c r="V44" s="424"/>
      <c r="W44" s="424"/>
      <c r="X44" s="425"/>
      <c r="Y44" s="426"/>
      <c r="Z44" s="426"/>
      <c r="AA44" s="425"/>
      <c r="AB44" s="424"/>
      <c r="AC44" s="424"/>
      <c r="AD44" s="425"/>
      <c r="AE44" s="426"/>
      <c r="AF44" s="426"/>
      <c r="AG44" s="425"/>
      <c r="AH44" s="424"/>
      <c r="AI44" s="424"/>
      <c r="AJ44" s="425"/>
      <c r="AK44" s="426"/>
      <c r="AL44" s="426"/>
      <c r="AM44" s="425"/>
      <c r="AN44" s="424"/>
      <c r="AO44" s="424"/>
      <c r="AP44" s="425"/>
      <c r="AQ44" s="426"/>
      <c r="AR44" s="426"/>
      <c r="AS44" s="425"/>
      <c r="AT44" s="424"/>
      <c r="AU44" s="424"/>
      <c r="AV44" s="425"/>
      <c r="AW44" s="426"/>
      <c r="AX44" s="426"/>
      <c r="AY44" s="425"/>
      <c r="AZ44" s="424"/>
      <c r="BA44" s="424"/>
      <c r="BB44" s="425"/>
      <c r="BC44" s="426"/>
      <c r="BD44" s="426"/>
      <c r="BE44" s="425"/>
      <c r="BF44" s="424"/>
      <c r="BG44" s="424"/>
      <c r="BH44" s="425"/>
      <c r="BI44" s="426"/>
      <c r="BJ44" s="426"/>
      <c r="BK44" s="425"/>
      <c r="BL44" s="424"/>
      <c r="BM44" s="424"/>
      <c r="BN44" s="425"/>
      <c r="BO44" s="426"/>
      <c r="BP44" s="426"/>
      <c r="BQ44" s="425"/>
      <c r="BR44" s="424"/>
      <c r="BS44" s="424"/>
      <c r="BT44" s="425"/>
      <c r="BU44" s="426"/>
      <c r="BV44" s="426"/>
      <c r="BW44" s="425"/>
      <c r="BX44" s="424"/>
      <c r="BY44" s="424"/>
      <c r="BZ44" s="425"/>
      <c r="CA44" s="426"/>
      <c r="CB44" s="426"/>
      <c r="CC44" s="425"/>
      <c r="CD44" s="424"/>
      <c r="CE44" s="424"/>
      <c r="CF44" s="425"/>
      <c r="CG44" s="426"/>
      <c r="CH44" s="426"/>
      <c r="CI44" s="425"/>
      <c r="CJ44" s="424"/>
      <c r="CK44" s="424"/>
      <c r="CL44" s="425"/>
      <c r="CM44" s="426"/>
      <c r="CN44" s="426"/>
      <c r="CO44" s="425"/>
      <c r="CP44" s="424"/>
      <c r="CQ44" s="424"/>
      <c r="CR44" s="425"/>
      <c r="CS44" s="426"/>
      <c r="CT44" s="426"/>
      <c r="CU44" s="425"/>
      <c r="CV44" s="424"/>
      <c r="CW44" s="424"/>
      <c r="CX44" s="425"/>
      <c r="CY44" s="426"/>
      <c r="CZ44" s="426"/>
      <c r="DA44" s="425"/>
      <c r="DB44" s="424"/>
      <c r="DC44" s="424"/>
      <c r="DD44" s="425"/>
      <c r="DE44" s="426"/>
      <c r="DF44" s="426"/>
      <c r="DG44" s="425"/>
      <c r="DH44" s="424"/>
      <c r="DI44" s="424"/>
      <c r="DJ44" s="425"/>
      <c r="DK44" s="426"/>
      <c r="DL44" s="426"/>
      <c r="DM44" s="425"/>
      <c r="DN44" s="424"/>
      <c r="DO44" s="424"/>
      <c r="DP44" s="425"/>
      <c r="DQ44" s="426"/>
      <c r="DR44" s="426"/>
      <c r="DS44" s="425"/>
      <c r="DT44" s="424"/>
      <c r="DU44" s="424"/>
      <c r="DV44" s="425"/>
      <c r="DW44" s="426"/>
      <c r="DX44" s="426"/>
      <c r="DY44" s="425"/>
      <c r="DZ44" s="424"/>
      <c r="EA44" s="424"/>
    </row>
    <row r="45" spans="2:131">
      <c r="D45" s="446"/>
      <c r="E45" s="460" t="s">
        <v>968</v>
      </c>
      <c r="F45" s="432">
        <f ca="1">'MF Unit Material'!Y124</f>
        <v>365</v>
      </c>
      <c r="G45" s="431">
        <f>'MF Unit Material'!Z124</f>
        <v>0.5</v>
      </c>
      <c r="H45" s="158">
        <f ca="1">'MF Unit Material'!AA124</f>
        <v>182.5</v>
      </c>
      <c r="I45" s="430">
        <f ca="1">F45-J45</f>
        <v>365</v>
      </c>
      <c r="J45" s="429">
        <f t="shared" si="1"/>
        <v>0</v>
      </c>
      <c r="K45" s="428">
        <f t="shared" si="2"/>
        <v>0</v>
      </c>
      <c r="L45" s="427"/>
      <c r="M45" s="426"/>
      <c r="N45" s="426"/>
      <c r="O45" s="425"/>
      <c r="P45" s="424"/>
      <c r="Q45" s="424"/>
      <c r="R45" s="425"/>
      <c r="S45" s="426"/>
      <c r="T45" s="426"/>
      <c r="U45" s="425"/>
      <c r="V45" s="424"/>
      <c r="W45" s="424"/>
      <c r="X45" s="425"/>
      <c r="Y45" s="426"/>
      <c r="Z45" s="426"/>
      <c r="AA45" s="425"/>
      <c r="AB45" s="424"/>
      <c r="AC45" s="424"/>
      <c r="AD45" s="425"/>
      <c r="AE45" s="426"/>
      <c r="AF45" s="426"/>
      <c r="AG45" s="425"/>
      <c r="AH45" s="424"/>
      <c r="AI45" s="424"/>
      <c r="AJ45" s="425"/>
      <c r="AK45" s="426"/>
      <c r="AL45" s="426"/>
      <c r="AM45" s="425"/>
      <c r="AN45" s="424"/>
      <c r="AO45" s="424"/>
      <c r="AP45" s="425"/>
      <c r="AQ45" s="426"/>
      <c r="AR45" s="426"/>
      <c r="AS45" s="425"/>
      <c r="AT45" s="424"/>
      <c r="AU45" s="424"/>
      <c r="AV45" s="425"/>
      <c r="AW45" s="426"/>
      <c r="AX45" s="426"/>
      <c r="AY45" s="425"/>
      <c r="AZ45" s="424"/>
      <c r="BA45" s="424"/>
      <c r="BB45" s="425"/>
      <c r="BC45" s="426"/>
      <c r="BD45" s="426"/>
      <c r="BE45" s="425"/>
      <c r="BF45" s="424"/>
      <c r="BG45" s="424"/>
      <c r="BH45" s="425"/>
      <c r="BI45" s="426"/>
      <c r="BJ45" s="426"/>
      <c r="BK45" s="425"/>
      <c r="BL45" s="424"/>
      <c r="BM45" s="424"/>
      <c r="BN45" s="425"/>
      <c r="BO45" s="426"/>
      <c r="BP45" s="426"/>
      <c r="BQ45" s="425"/>
      <c r="BR45" s="424"/>
      <c r="BS45" s="424"/>
      <c r="BT45" s="425"/>
      <c r="BU45" s="426"/>
      <c r="BV45" s="426"/>
      <c r="BW45" s="425"/>
      <c r="BX45" s="424"/>
      <c r="BY45" s="424"/>
      <c r="BZ45" s="425"/>
      <c r="CA45" s="426"/>
      <c r="CB45" s="426"/>
      <c r="CC45" s="425"/>
      <c r="CD45" s="424"/>
      <c r="CE45" s="424"/>
      <c r="CF45" s="425"/>
      <c r="CG45" s="426"/>
      <c r="CH45" s="426"/>
      <c r="CI45" s="425"/>
      <c r="CJ45" s="424"/>
      <c r="CK45" s="424"/>
      <c r="CL45" s="425"/>
      <c r="CM45" s="426"/>
      <c r="CN45" s="426"/>
      <c r="CO45" s="425"/>
      <c r="CP45" s="424"/>
      <c r="CQ45" s="424"/>
      <c r="CR45" s="425"/>
      <c r="CS45" s="426"/>
      <c r="CT45" s="426"/>
      <c r="CU45" s="425"/>
      <c r="CV45" s="424"/>
      <c r="CW45" s="424"/>
      <c r="CX45" s="425"/>
      <c r="CY45" s="426"/>
      <c r="CZ45" s="426"/>
      <c r="DA45" s="425"/>
      <c r="DB45" s="424"/>
      <c r="DC45" s="424"/>
      <c r="DD45" s="425"/>
      <c r="DE45" s="426"/>
      <c r="DF45" s="426"/>
      <c r="DG45" s="425"/>
      <c r="DH45" s="424"/>
      <c r="DI45" s="424"/>
      <c r="DJ45" s="425"/>
      <c r="DK45" s="426"/>
      <c r="DL45" s="426"/>
      <c r="DM45" s="425"/>
      <c r="DN45" s="424"/>
      <c r="DO45" s="424"/>
      <c r="DP45" s="425"/>
      <c r="DQ45" s="426"/>
      <c r="DR45" s="426"/>
      <c r="DS45" s="425"/>
      <c r="DT45" s="424"/>
      <c r="DU45" s="424"/>
      <c r="DV45" s="425"/>
      <c r="DW45" s="426"/>
      <c r="DX45" s="426"/>
      <c r="DY45" s="425"/>
      <c r="DZ45" s="424"/>
      <c r="EA45" s="424"/>
    </row>
    <row r="46" spans="2:131">
      <c r="C46" s="423"/>
      <c r="D46" s="1"/>
      <c r="E46" s="16" t="s">
        <v>961</v>
      </c>
      <c r="F46" s="422">
        <f ca="1">'MF Unit Material'!Y126</f>
        <v>365</v>
      </c>
      <c r="G46" s="421">
        <f>'MF Unit Material'!Z126</f>
        <v>0</v>
      </c>
      <c r="H46" s="420">
        <f ca="1">'MF Unit Material'!AA126</f>
        <v>182.5</v>
      </c>
      <c r="I46" s="429"/>
      <c r="J46" s="429">
        <f t="shared" si="1"/>
        <v>0</v>
      </c>
      <c r="K46" s="428">
        <f t="shared" si="2"/>
        <v>0</v>
      </c>
      <c r="L46" s="427"/>
      <c r="M46" s="426"/>
      <c r="N46" s="426"/>
      <c r="O46" s="425"/>
      <c r="P46" s="424"/>
      <c r="Q46" s="424"/>
      <c r="R46" s="425"/>
      <c r="S46" s="426"/>
      <c r="T46" s="426"/>
      <c r="U46" s="425"/>
      <c r="V46" s="424"/>
      <c r="W46" s="424"/>
      <c r="X46" s="425"/>
      <c r="Y46" s="426"/>
      <c r="Z46" s="426"/>
      <c r="AA46" s="425"/>
      <c r="AB46" s="424"/>
      <c r="AC46" s="424"/>
      <c r="AD46" s="425"/>
      <c r="AE46" s="426"/>
      <c r="AF46" s="426"/>
      <c r="AG46" s="425"/>
      <c r="AH46" s="424"/>
      <c r="AI46" s="424"/>
      <c r="AJ46" s="425"/>
      <c r="AK46" s="426"/>
      <c r="AL46" s="426"/>
      <c r="AM46" s="425"/>
      <c r="AN46" s="424"/>
      <c r="AO46" s="424"/>
      <c r="AP46" s="425"/>
      <c r="AQ46" s="426"/>
      <c r="AR46" s="426"/>
      <c r="AS46" s="425"/>
      <c r="AT46" s="424"/>
      <c r="AU46" s="424"/>
      <c r="AV46" s="425"/>
      <c r="AW46" s="426"/>
      <c r="AX46" s="426"/>
      <c r="AY46" s="425"/>
      <c r="AZ46" s="424"/>
      <c r="BA46" s="424"/>
      <c r="BB46" s="425"/>
      <c r="BC46" s="426"/>
      <c r="BD46" s="426"/>
      <c r="BE46" s="425"/>
      <c r="BF46" s="424"/>
      <c r="BG46" s="424"/>
      <c r="BH46" s="425"/>
      <c r="BI46" s="426"/>
      <c r="BJ46" s="426"/>
      <c r="BK46" s="425"/>
      <c r="BL46" s="424"/>
      <c r="BM46" s="424"/>
      <c r="BN46" s="425"/>
      <c r="BO46" s="426"/>
      <c r="BP46" s="426"/>
      <c r="BQ46" s="425"/>
      <c r="BR46" s="424"/>
      <c r="BS46" s="424"/>
      <c r="BT46" s="425"/>
      <c r="BU46" s="426"/>
      <c r="BV46" s="426"/>
      <c r="BW46" s="425"/>
      <c r="BX46" s="424"/>
      <c r="BY46" s="424"/>
      <c r="BZ46" s="425"/>
      <c r="CA46" s="426"/>
      <c r="CB46" s="426"/>
      <c r="CC46" s="425"/>
      <c r="CD46" s="424"/>
      <c r="CE46" s="424"/>
      <c r="CF46" s="425"/>
      <c r="CG46" s="426"/>
      <c r="CH46" s="426"/>
      <c r="CI46" s="425"/>
      <c r="CJ46" s="424"/>
      <c r="CK46" s="424"/>
      <c r="CL46" s="425"/>
      <c r="CM46" s="426"/>
      <c r="CN46" s="426"/>
      <c r="CO46" s="425"/>
      <c r="CP46" s="424"/>
      <c r="CQ46" s="424"/>
      <c r="CR46" s="425"/>
      <c r="CS46" s="426"/>
      <c r="CT46" s="426"/>
      <c r="CU46" s="425"/>
      <c r="CV46" s="424"/>
      <c r="CW46" s="424"/>
      <c r="CX46" s="425"/>
      <c r="CY46" s="426"/>
      <c r="CZ46" s="426"/>
      <c r="DA46" s="425"/>
      <c r="DB46" s="424"/>
      <c r="DC46" s="424"/>
      <c r="DD46" s="425"/>
      <c r="DE46" s="426"/>
      <c r="DF46" s="426"/>
      <c r="DG46" s="425"/>
      <c r="DH46" s="424"/>
      <c r="DI46" s="424"/>
      <c r="DJ46" s="425"/>
      <c r="DK46" s="426"/>
      <c r="DL46" s="426"/>
      <c r="DM46" s="425"/>
      <c r="DN46" s="424"/>
      <c r="DO46" s="424"/>
      <c r="DP46" s="425"/>
      <c r="DQ46" s="426"/>
      <c r="DR46" s="426"/>
      <c r="DS46" s="425"/>
      <c r="DT46" s="424"/>
      <c r="DU46" s="424"/>
      <c r="DV46" s="425"/>
      <c r="DW46" s="426"/>
      <c r="DX46" s="426"/>
      <c r="DY46" s="425"/>
      <c r="DZ46" s="424"/>
      <c r="EA46" s="424"/>
    </row>
    <row r="47" spans="2:131">
      <c r="C47" s="461" t="s">
        <v>975</v>
      </c>
      <c r="D47" s="65"/>
      <c r="E47" s="65"/>
      <c r="F47" s="437" t="s">
        <v>948</v>
      </c>
      <c r="G47" s="436" t="s">
        <v>949</v>
      </c>
      <c r="H47" s="412" t="s">
        <v>950</v>
      </c>
      <c r="I47" s="429"/>
      <c r="J47" s="429">
        <f t="shared" si="1"/>
        <v>0</v>
      </c>
      <c r="K47" s="428">
        <f t="shared" si="2"/>
        <v>0</v>
      </c>
      <c r="L47" s="427"/>
      <c r="M47" s="426"/>
      <c r="N47" s="426"/>
      <c r="O47" s="425"/>
      <c r="P47" s="424"/>
      <c r="Q47" s="424"/>
      <c r="R47" s="425"/>
      <c r="S47" s="426"/>
      <c r="T47" s="426"/>
      <c r="U47" s="425"/>
      <c r="V47" s="424"/>
      <c r="W47" s="424"/>
      <c r="X47" s="425"/>
      <c r="Y47" s="426"/>
      <c r="Z47" s="426"/>
      <c r="AA47" s="425"/>
      <c r="AB47" s="424"/>
      <c r="AC47" s="424"/>
      <c r="AD47" s="425"/>
      <c r="AE47" s="426"/>
      <c r="AF47" s="426"/>
      <c r="AG47" s="425"/>
      <c r="AH47" s="424"/>
      <c r="AI47" s="424"/>
      <c r="AJ47" s="425"/>
      <c r="AK47" s="426"/>
      <c r="AL47" s="426"/>
      <c r="AM47" s="425"/>
      <c r="AN47" s="424"/>
      <c r="AO47" s="424"/>
      <c r="AP47" s="425"/>
      <c r="AQ47" s="426"/>
      <c r="AR47" s="426"/>
      <c r="AS47" s="425"/>
      <c r="AT47" s="424"/>
      <c r="AU47" s="424"/>
      <c r="AV47" s="425"/>
      <c r="AW47" s="426"/>
      <c r="AX47" s="426"/>
      <c r="AY47" s="425"/>
      <c r="AZ47" s="424"/>
      <c r="BA47" s="424"/>
      <c r="BB47" s="425"/>
      <c r="BC47" s="426"/>
      <c r="BD47" s="426"/>
      <c r="BE47" s="425"/>
      <c r="BF47" s="424"/>
      <c r="BG47" s="424"/>
      <c r="BH47" s="425"/>
      <c r="BI47" s="426"/>
      <c r="BJ47" s="426"/>
      <c r="BK47" s="425"/>
      <c r="BL47" s="424"/>
      <c r="BM47" s="424"/>
      <c r="BN47" s="425"/>
      <c r="BO47" s="426"/>
      <c r="BP47" s="426"/>
      <c r="BQ47" s="425"/>
      <c r="BR47" s="424"/>
      <c r="BS47" s="424"/>
      <c r="BT47" s="425"/>
      <c r="BU47" s="426"/>
      <c r="BV47" s="426"/>
      <c r="BW47" s="425"/>
      <c r="BX47" s="424"/>
      <c r="BY47" s="424"/>
      <c r="BZ47" s="425"/>
      <c r="CA47" s="426"/>
      <c r="CB47" s="426"/>
      <c r="CC47" s="425"/>
      <c r="CD47" s="424"/>
      <c r="CE47" s="424"/>
      <c r="CF47" s="425"/>
      <c r="CG47" s="426"/>
      <c r="CH47" s="426"/>
      <c r="CI47" s="425"/>
      <c r="CJ47" s="424"/>
      <c r="CK47" s="424"/>
      <c r="CL47" s="425"/>
      <c r="CM47" s="426"/>
      <c r="CN47" s="426"/>
      <c r="CO47" s="425"/>
      <c r="CP47" s="424"/>
      <c r="CQ47" s="424"/>
      <c r="CR47" s="425"/>
      <c r="CS47" s="426"/>
      <c r="CT47" s="426"/>
      <c r="CU47" s="425"/>
      <c r="CV47" s="424"/>
      <c r="CW47" s="424"/>
      <c r="CX47" s="425"/>
      <c r="CY47" s="426"/>
      <c r="CZ47" s="426"/>
      <c r="DA47" s="425"/>
      <c r="DB47" s="424"/>
      <c r="DC47" s="424"/>
      <c r="DD47" s="425"/>
      <c r="DE47" s="426"/>
      <c r="DF47" s="426"/>
      <c r="DG47" s="425"/>
      <c r="DH47" s="424"/>
      <c r="DI47" s="424"/>
      <c r="DJ47" s="425"/>
      <c r="DK47" s="426"/>
      <c r="DL47" s="426"/>
      <c r="DM47" s="425"/>
      <c r="DN47" s="424"/>
      <c r="DO47" s="424"/>
      <c r="DP47" s="425"/>
      <c r="DQ47" s="426"/>
      <c r="DR47" s="426"/>
      <c r="DS47" s="425"/>
      <c r="DT47" s="424"/>
      <c r="DU47" s="424"/>
      <c r="DV47" s="425"/>
      <c r="DW47" s="426"/>
      <c r="DX47" s="426"/>
      <c r="DY47" s="425"/>
      <c r="DZ47" s="424"/>
      <c r="EA47" s="424"/>
    </row>
    <row r="48" spans="2:131">
      <c r="D48" s="446"/>
      <c r="E48" s="460" t="s">
        <v>968</v>
      </c>
      <c r="F48" s="432">
        <f ca="1">'MF Unit Material'!Y128</f>
        <v>365</v>
      </c>
      <c r="G48" s="431">
        <f>'MF Unit Material'!Z128</f>
        <v>119</v>
      </c>
      <c r="H48" s="158">
        <f ca="1">'MF Unit Material'!AA128</f>
        <v>43435</v>
      </c>
      <c r="I48" s="430">
        <f ca="1">F48-J48</f>
        <v>365</v>
      </c>
      <c r="J48" s="429">
        <f t="shared" si="1"/>
        <v>0</v>
      </c>
      <c r="K48" s="428">
        <f t="shared" si="2"/>
        <v>0</v>
      </c>
      <c r="L48" s="427"/>
      <c r="M48" s="426"/>
      <c r="N48" s="426"/>
      <c r="O48" s="425"/>
      <c r="P48" s="424"/>
      <c r="Q48" s="424"/>
      <c r="R48" s="425"/>
      <c r="S48" s="426"/>
      <c r="T48" s="426"/>
      <c r="U48" s="425"/>
      <c r="V48" s="424"/>
      <c r="W48" s="424"/>
      <c r="X48" s="425"/>
      <c r="Y48" s="426"/>
      <c r="Z48" s="426"/>
      <c r="AA48" s="425"/>
      <c r="AB48" s="424"/>
      <c r="AC48" s="424"/>
      <c r="AD48" s="425"/>
      <c r="AE48" s="426"/>
      <c r="AF48" s="426"/>
      <c r="AG48" s="425"/>
      <c r="AH48" s="424"/>
      <c r="AI48" s="424"/>
      <c r="AJ48" s="425"/>
      <c r="AK48" s="426"/>
      <c r="AL48" s="426"/>
      <c r="AM48" s="425"/>
      <c r="AN48" s="424"/>
      <c r="AO48" s="424"/>
      <c r="AP48" s="425"/>
      <c r="AQ48" s="426"/>
      <c r="AR48" s="426"/>
      <c r="AS48" s="425"/>
      <c r="AT48" s="424"/>
      <c r="AU48" s="424"/>
      <c r="AV48" s="425"/>
      <c r="AW48" s="426"/>
      <c r="AX48" s="426"/>
      <c r="AY48" s="425"/>
      <c r="AZ48" s="424"/>
      <c r="BA48" s="424"/>
      <c r="BB48" s="425"/>
      <c r="BC48" s="426"/>
      <c r="BD48" s="426"/>
      <c r="BE48" s="425"/>
      <c r="BF48" s="424"/>
      <c r="BG48" s="424"/>
      <c r="BH48" s="425"/>
      <c r="BI48" s="426"/>
      <c r="BJ48" s="426"/>
      <c r="BK48" s="425"/>
      <c r="BL48" s="424"/>
      <c r="BM48" s="424"/>
      <c r="BN48" s="425"/>
      <c r="BO48" s="426"/>
      <c r="BP48" s="426"/>
      <c r="BQ48" s="425"/>
      <c r="BR48" s="424"/>
      <c r="BS48" s="424"/>
      <c r="BT48" s="425"/>
      <c r="BU48" s="426"/>
      <c r="BV48" s="426"/>
      <c r="BW48" s="425"/>
      <c r="BX48" s="424"/>
      <c r="BY48" s="424"/>
      <c r="BZ48" s="425"/>
      <c r="CA48" s="426"/>
      <c r="CB48" s="426"/>
      <c r="CC48" s="425"/>
      <c r="CD48" s="424"/>
      <c r="CE48" s="424"/>
      <c r="CF48" s="425"/>
      <c r="CG48" s="426"/>
      <c r="CH48" s="426"/>
      <c r="CI48" s="425"/>
      <c r="CJ48" s="424"/>
      <c r="CK48" s="424"/>
      <c r="CL48" s="425"/>
      <c r="CM48" s="426"/>
      <c r="CN48" s="426"/>
      <c r="CO48" s="425"/>
      <c r="CP48" s="424"/>
      <c r="CQ48" s="424"/>
      <c r="CR48" s="425"/>
      <c r="CS48" s="426"/>
      <c r="CT48" s="426"/>
      <c r="CU48" s="425"/>
      <c r="CV48" s="424"/>
      <c r="CW48" s="424"/>
      <c r="CX48" s="425"/>
      <c r="CY48" s="426"/>
      <c r="CZ48" s="426"/>
      <c r="DA48" s="425"/>
      <c r="DB48" s="424"/>
      <c r="DC48" s="424"/>
      <c r="DD48" s="425"/>
      <c r="DE48" s="426"/>
      <c r="DF48" s="426"/>
      <c r="DG48" s="425"/>
      <c r="DH48" s="424"/>
      <c r="DI48" s="424"/>
      <c r="DJ48" s="425"/>
      <c r="DK48" s="426"/>
      <c r="DL48" s="426"/>
      <c r="DM48" s="425"/>
      <c r="DN48" s="424"/>
      <c r="DO48" s="424"/>
      <c r="DP48" s="425"/>
      <c r="DQ48" s="426"/>
      <c r="DR48" s="426"/>
      <c r="DS48" s="425"/>
      <c r="DT48" s="424"/>
      <c r="DU48" s="424"/>
      <c r="DV48" s="425"/>
      <c r="DW48" s="426"/>
      <c r="DX48" s="426"/>
      <c r="DY48" s="425"/>
      <c r="DZ48" s="424"/>
      <c r="EA48" s="424"/>
    </row>
    <row r="49" spans="2:131">
      <c r="C49" s="423"/>
      <c r="D49" s="1"/>
      <c r="E49" s="16" t="s">
        <v>961</v>
      </c>
      <c r="F49" s="422">
        <f ca="1">'MF Unit Material'!Y130</f>
        <v>365</v>
      </c>
      <c r="G49" s="421">
        <f>'MF Unit Material'!Z130</f>
        <v>0</v>
      </c>
      <c r="H49" s="420">
        <f ca="1">'MF Unit Material'!AA130</f>
        <v>43435</v>
      </c>
      <c r="I49" s="429"/>
      <c r="J49" s="429">
        <f t="shared" si="1"/>
        <v>0</v>
      </c>
      <c r="K49" s="428">
        <f t="shared" si="2"/>
        <v>0</v>
      </c>
      <c r="L49" s="427"/>
      <c r="M49" s="426"/>
      <c r="N49" s="426"/>
      <c r="O49" s="425"/>
      <c r="P49" s="424"/>
      <c r="Q49" s="424"/>
      <c r="R49" s="425"/>
      <c r="S49" s="426"/>
      <c r="T49" s="426"/>
      <c r="U49" s="425"/>
      <c r="V49" s="424"/>
      <c r="W49" s="424"/>
      <c r="X49" s="425"/>
      <c r="Y49" s="426"/>
      <c r="Z49" s="426"/>
      <c r="AA49" s="425"/>
      <c r="AB49" s="424"/>
      <c r="AC49" s="424"/>
      <c r="AD49" s="425"/>
      <c r="AE49" s="426"/>
      <c r="AF49" s="426"/>
      <c r="AG49" s="425"/>
      <c r="AH49" s="424"/>
      <c r="AI49" s="424"/>
      <c r="AJ49" s="425"/>
      <c r="AK49" s="426"/>
      <c r="AL49" s="426"/>
      <c r="AM49" s="425"/>
      <c r="AN49" s="424"/>
      <c r="AO49" s="424"/>
      <c r="AP49" s="425"/>
      <c r="AQ49" s="426"/>
      <c r="AR49" s="426"/>
      <c r="AS49" s="425"/>
      <c r="AT49" s="424"/>
      <c r="AU49" s="424"/>
      <c r="AV49" s="425"/>
      <c r="AW49" s="426"/>
      <c r="AX49" s="426"/>
      <c r="AY49" s="425"/>
      <c r="AZ49" s="424"/>
      <c r="BA49" s="424"/>
      <c r="BB49" s="425"/>
      <c r="BC49" s="426"/>
      <c r="BD49" s="426"/>
      <c r="BE49" s="425"/>
      <c r="BF49" s="424"/>
      <c r="BG49" s="424"/>
      <c r="BH49" s="425"/>
      <c r="BI49" s="426"/>
      <c r="BJ49" s="426"/>
      <c r="BK49" s="425"/>
      <c r="BL49" s="424"/>
      <c r="BM49" s="424"/>
      <c r="BN49" s="425"/>
      <c r="BO49" s="426"/>
      <c r="BP49" s="426"/>
      <c r="BQ49" s="425"/>
      <c r="BR49" s="424"/>
      <c r="BS49" s="424"/>
      <c r="BT49" s="425"/>
      <c r="BU49" s="426"/>
      <c r="BV49" s="426"/>
      <c r="BW49" s="425"/>
      <c r="BX49" s="424"/>
      <c r="BY49" s="424"/>
      <c r="BZ49" s="425"/>
      <c r="CA49" s="426"/>
      <c r="CB49" s="426"/>
      <c r="CC49" s="425"/>
      <c r="CD49" s="424"/>
      <c r="CE49" s="424"/>
      <c r="CF49" s="425"/>
      <c r="CG49" s="426"/>
      <c r="CH49" s="426"/>
      <c r="CI49" s="425"/>
      <c r="CJ49" s="424"/>
      <c r="CK49" s="424"/>
      <c r="CL49" s="425"/>
      <c r="CM49" s="426"/>
      <c r="CN49" s="426"/>
      <c r="CO49" s="425"/>
      <c r="CP49" s="424"/>
      <c r="CQ49" s="424"/>
      <c r="CR49" s="425"/>
      <c r="CS49" s="426"/>
      <c r="CT49" s="426"/>
      <c r="CU49" s="425"/>
      <c r="CV49" s="424"/>
      <c r="CW49" s="424"/>
      <c r="CX49" s="425"/>
      <c r="CY49" s="426"/>
      <c r="CZ49" s="426"/>
      <c r="DA49" s="425"/>
      <c r="DB49" s="424"/>
      <c r="DC49" s="424"/>
      <c r="DD49" s="425"/>
      <c r="DE49" s="426"/>
      <c r="DF49" s="426"/>
      <c r="DG49" s="425"/>
      <c r="DH49" s="424"/>
      <c r="DI49" s="424"/>
      <c r="DJ49" s="425"/>
      <c r="DK49" s="426"/>
      <c r="DL49" s="426"/>
      <c r="DM49" s="425"/>
      <c r="DN49" s="424"/>
      <c r="DO49" s="424"/>
      <c r="DP49" s="425"/>
      <c r="DQ49" s="426"/>
      <c r="DR49" s="426"/>
      <c r="DS49" s="425"/>
      <c r="DT49" s="424"/>
      <c r="DU49" s="424"/>
      <c r="DV49" s="425"/>
      <c r="DW49" s="426"/>
      <c r="DX49" s="426"/>
      <c r="DY49" s="425"/>
      <c r="DZ49" s="424"/>
      <c r="EA49" s="424"/>
    </row>
    <row r="50" spans="2:131">
      <c r="B50" s="438" t="s">
        <v>976</v>
      </c>
      <c r="C50" s="462" t="s">
        <v>491</v>
      </c>
      <c r="D50" s="65"/>
      <c r="E50" s="65"/>
      <c r="F50" s="437" t="s">
        <v>948</v>
      </c>
      <c r="G50" s="436" t="s">
        <v>949</v>
      </c>
      <c r="H50" s="412" t="s">
        <v>950</v>
      </c>
      <c r="I50" s="429"/>
      <c r="J50" s="429">
        <f t="shared" si="1"/>
        <v>0</v>
      </c>
      <c r="K50" s="428">
        <f t="shared" si="2"/>
        <v>0</v>
      </c>
      <c r="L50" s="427"/>
      <c r="M50" s="426"/>
      <c r="N50" s="426"/>
      <c r="O50" s="425"/>
      <c r="P50" s="424"/>
      <c r="Q50" s="424"/>
      <c r="R50" s="425"/>
      <c r="S50" s="426"/>
      <c r="T50" s="426"/>
      <c r="U50" s="425"/>
      <c r="V50" s="424"/>
      <c r="W50" s="424"/>
      <c r="X50" s="425"/>
      <c r="Y50" s="426"/>
      <c r="Z50" s="426"/>
      <c r="AA50" s="425"/>
      <c r="AB50" s="424"/>
      <c r="AC50" s="424"/>
      <c r="AD50" s="425"/>
      <c r="AE50" s="426"/>
      <c r="AF50" s="426"/>
      <c r="AG50" s="425"/>
      <c r="AH50" s="424"/>
      <c r="AI50" s="424"/>
      <c r="AJ50" s="425"/>
      <c r="AK50" s="426"/>
      <c r="AL50" s="426"/>
      <c r="AM50" s="425"/>
      <c r="AN50" s="424"/>
      <c r="AO50" s="424"/>
      <c r="AP50" s="425"/>
      <c r="AQ50" s="426"/>
      <c r="AR50" s="426"/>
      <c r="AS50" s="425"/>
      <c r="AT50" s="424"/>
      <c r="AU50" s="424"/>
      <c r="AV50" s="425"/>
      <c r="AW50" s="426"/>
      <c r="AX50" s="426"/>
      <c r="AY50" s="425"/>
      <c r="AZ50" s="424"/>
      <c r="BA50" s="424"/>
      <c r="BB50" s="425"/>
      <c r="BC50" s="426"/>
      <c r="BD50" s="426"/>
      <c r="BE50" s="425"/>
      <c r="BF50" s="424"/>
      <c r="BG50" s="424"/>
      <c r="BH50" s="425"/>
      <c r="BI50" s="426"/>
      <c r="BJ50" s="426"/>
      <c r="BK50" s="425"/>
      <c r="BL50" s="424"/>
      <c r="BM50" s="424"/>
      <c r="BN50" s="425"/>
      <c r="BO50" s="426"/>
      <c r="BP50" s="426"/>
      <c r="BQ50" s="425"/>
      <c r="BR50" s="424"/>
      <c r="BS50" s="424"/>
      <c r="BT50" s="425"/>
      <c r="BU50" s="426"/>
      <c r="BV50" s="426"/>
      <c r="BW50" s="425"/>
      <c r="BX50" s="424"/>
      <c r="BY50" s="424"/>
      <c r="BZ50" s="425"/>
      <c r="CA50" s="426"/>
      <c r="CB50" s="426"/>
      <c r="CC50" s="425"/>
      <c r="CD50" s="424"/>
      <c r="CE50" s="424"/>
      <c r="CF50" s="425"/>
      <c r="CG50" s="426"/>
      <c r="CH50" s="426"/>
      <c r="CI50" s="425"/>
      <c r="CJ50" s="424"/>
      <c r="CK50" s="424"/>
      <c r="CL50" s="425"/>
      <c r="CM50" s="426"/>
      <c r="CN50" s="426"/>
      <c r="CO50" s="425"/>
      <c r="CP50" s="424"/>
      <c r="CQ50" s="424"/>
      <c r="CR50" s="425"/>
      <c r="CS50" s="426"/>
      <c r="CT50" s="426"/>
      <c r="CU50" s="425"/>
      <c r="CV50" s="424"/>
      <c r="CW50" s="424"/>
      <c r="CX50" s="425"/>
      <c r="CY50" s="426"/>
      <c r="CZ50" s="426"/>
      <c r="DA50" s="425"/>
      <c r="DB50" s="424"/>
      <c r="DC50" s="424"/>
      <c r="DD50" s="425"/>
      <c r="DE50" s="426"/>
      <c r="DF50" s="426"/>
      <c r="DG50" s="425"/>
      <c r="DH50" s="424"/>
      <c r="DI50" s="424"/>
      <c r="DJ50" s="425"/>
      <c r="DK50" s="426"/>
      <c r="DL50" s="426"/>
      <c r="DM50" s="425"/>
      <c r="DN50" s="424"/>
      <c r="DO50" s="424"/>
      <c r="DP50" s="425"/>
      <c r="DQ50" s="426"/>
      <c r="DR50" s="426"/>
      <c r="DS50" s="425"/>
      <c r="DT50" s="424"/>
      <c r="DU50" s="424"/>
      <c r="DV50" s="425"/>
      <c r="DW50" s="426"/>
      <c r="DX50" s="426"/>
      <c r="DY50" s="425"/>
      <c r="DZ50" s="424"/>
      <c r="EA50" s="424"/>
    </row>
    <row r="51" spans="2:131">
      <c r="B51" s="438" t="s">
        <v>977</v>
      </c>
      <c r="D51" s="446"/>
      <c r="E51" s="460" t="s">
        <v>968</v>
      </c>
      <c r="F51" s="432">
        <f ca="1">'MF Unit Material'!Y132</f>
        <v>365</v>
      </c>
      <c r="G51" s="431">
        <f>'MF Unit Material'!Z132</f>
        <v>14</v>
      </c>
      <c r="H51" s="158">
        <f ca="1">'MF Unit Material'!AA132</f>
        <v>5110</v>
      </c>
      <c r="I51" s="430">
        <f ca="1">F51-J51</f>
        <v>365</v>
      </c>
      <c r="J51" s="429">
        <f t="shared" si="1"/>
        <v>0</v>
      </c>
      <c r="K51" s="428">
        <f t="shared" si="2"/>
        <v>0</v>
      </c>
      <c r="L51" s="427"/>
      <c r="M51" s="426"/>
      <c r="N51" s="426"/>
      <c r="O51" s="425"/>
      <c r="P51" s="424"/>
      <c r="Q51" s="424"/>
      <c r="R51" s="425"/>
      <c r="S51" s="426"/>
      <c r="T51" s="426"/>
      <c r="U51" s="425"/>
      <c r="V51" s="424"/>
      <c r="W51" s="424"/>
      <c r="X51" s="425"/>
      <c r="Y51" s="426"/>
      <c r="Z51" s="426"/>
      <c r="AA51" s="425"/>
      <c r="AB51" s="424"/>
      <c r="AC51" s="424"/>
      <c r="AD51" s="425"/>
      <c r="AE51" s="426"/>
      <c r="AF51" s="426"/>
      <c r="AG51" s="425"/>
      <c r="AH51" s="424"/>
      <c r="AI51" s="424"/>
      <c r="AJ51" s="425"/>
      <c r="AK51" s="426"/>
      <c r="AL51" s="426"/>
      <c r="AM51" s="425"/>
      <c r="AN51" s="424"/>
      <c r="AO51" s="424"/>
      <c r="AP51" s="425"/>
      <c r="AQ51" s="426"/>
      <c r="AR51" s="426"/>
      <c r="AS51" s="425"/>
      <c r="AT51" s="424"/>
      <c r="AU51" s="424"/>
      <c r="AV51" s="425"/>
      <c r="AW51" s="426"/>
      <c r="AX51" s="426"/>
      <c r="AY51" s="425"/>
      <c r="AZ51" s="424"/>
      <c r="BA51" s="424"/>
      <c r="BB51" s="425"/>
      <c r="BC51" s="426"/>
      <c r="BD51" s="426"/>
      <c r="BE51" s="425"/>
      <c r="BF51" s="424"/>
      <c r="BG51" s="424"/>
      <c r="BH51" s="425"/>
      <c r="BI51" s="426"/>
      <c r="BJ51" s="426"/>
      <c r="BK51" s="425"/>
      <c r="BL51" s="424"/>
      <c r="BM51" s="424"/>
      <c r="BN51" s="425"/>
      <c r="BO51" s="426"/>
      <c r="BP51" s="426"/>
      <c r="BQ51" s="425"/>
      <c r="BR51" s="424"/>
      <c r="BS51" s="424"/>
      <c r="BT51" s="425"/>
      <c r="BU51" s="426"/>
      <c r="BV51" s="426"/>
      <c r="BW51" s="425"/>
      <c r="BX51" s="424"/>
      <c r="BY51" s="424"/>
      <c r="BZ51" s="425"/>
      <c r="CA51" s="426"/>
      <c r="CB51" s="426"/>
      <c r="CC51" s="425"/>
      <c r="CD51" s="424"/>
      <c r="CE51" s="424"/>
      <c r="CF51" s="425"/>
      <c r="CG51" s="426"/>
      <c r="CH51" s="426"/>
      <c r="CI51" s="425"/>
      <c r="CJ51" s="424"/>
      <c r="CK51" s="424"/>
      <c r="CL51" s="425"/>
      <c r="CM51" s="426"/>
      <c r="CN51" s="426"/>
      <c r="CO51" s="425"/>
      <c r="CP51" s="424"/>
      <c r="CQ51" s="424"/>
      <c r="CR51" s="425"/>
      <c r="CS51" s="426"/>
      <c r="CT51" s="426"/>
      <c r="CU51" s="425"/>
      <c r="CV51" s="424"/>
      <c r="CW51" s="424"/>
      <c r="CX51" s="425"/>
      <c r="CY51" s="426"/>
      <c r="CZ51" s="426"/>
      <c r="DA51" s="425"/>
      <c r="DB51" s="424"/>
      <c r="DC51" s="424"/>
      <c r="DD51" s="425"/>
      <c r="DE51" s="426"/>
      <c r="DF51" s="426"/>
      <c r="DG51" s="425"/>
      <c r="DH51" s="424"/>
      <c r="DI51" s="424"/>
      <c r="DJ51" s="425"/>
      <c r="DK51" s="426"/>
      <c r="DL51" s="426"/>
      <c r="DM51" s="425"/>
      <c r="DN51" s="424"/>
      <c r="DO51" s="424"/>
      <c r="DP51" s="425"/>
      <c r="DQ51" s="426"/>
      <c r="DR51" s="426"/>
      <c r="DS51" s="425"/>
      <c r="DT51" s="424"/>
      <c r="DU51" s="424"/>
      <c r="DV51" s="425"/>
      <c r="DW51" s="426"/>
      <c r="DX51" s="426"/>
      <c r="DY51" s="425"/>
      <c r="DZ51" s="424"/>
      <c r="EA51" s="424"/>
    </row>
    <row r="52" spans="2:131">
      <c r="C52" s="423"/>
      <c r="D52" s="1"/>
      <c r="E52" s="16" t="s">
        <v>961</v>
      </c>
      <c r="F52" s="422">
        <f ca="1">'MF Unit Material'!Y134</f>
        <v>365</v>
      </c>
      <c r="G52" s="421">
        <f>'MF Unit Material'!Z134</f>
        <v>0</v>
      </c>
      <c r="H52" s="420">
        <f ca="1">'MF Unit Material'!AA134</f>
        <v>5110</v>
      </c>
      <c r="I52" s="429"/>
      <c r="J52" s="429">
        <f t="shared" si="1"/>
        <v>0</v>
      </c>
      <c r="K52" s="428">
        <f t="shared" si="2"/>
        <v>0</v>
      </c>
      <c r="L52" s="427"/>
      <c r="M52" s="426"/>
      <c r="N52" s="426"/>
      <c r="O52" s="425"/>
      <c r="P52" s="424"/>
      <c r="Q52" s="424"/>
      <c r="R52" s="425"/>
      <c r="S52" s="426"/>
      <c r="T52" s="426"/>
      <c r="U52" s="425"/>
      <c r="V52" s="424"/>
      <c r="W52" s="424"/>
      <c r="X52" s="425"/>
      <c r="Y52" s="426"/>
      <c r="Z52" s="426"/>
      <c r="AA52" s="425"/>
      <c r="AB52" s="424"/>
      <c r="AC52" s="424"/>
      <c r="AD52" s="425"/>
      <c r="AE52" s="426"/>
      <c r="AF52" s="426"/>
      <c r="AG52" s="425"/>
      <c r="AH52" s="424"/>
      <c r="AI52" s="424"/>
      <c r="AJ52" s="425"/>
      <c r="AK52" s="426"/>
      <c r="AL52" s="426"/>
      <c r="AM52" s="425"/>
      <c r="AN52" s="424"/>
      <c r="AO52" s="424"/>
      <c r="AP52" s="425"/>
      <c r="AQ52" s="426"/>
      <c r="AR52" s="426"/>
      <c r="AS52" s="425"/>
      <c r="AT52" s="424"/>
      <c r="AU52" s="424"/>
      <c r="AV52" s="425"/>
      <c r="AW52" s="426"/>
      <c r="AX52" s="426"/>
      <c r="AY52" s="425"/>
      <c r="AZ52" s="424"/>
      <c r="BA52" s="424"/>
      <c r="BB52" s="425"/>
      <c r="BC52" s="426"/>
      <c r="BD52" s="426"/>
      <c r="BE52" s="425"/>
      <c r="BF52" s="424"/>
      <c r="BG52" s="424"/>
      <c r="BH52" s="425"/>
      <c r="BI52" s="426"/>
      <c r="BJ52" s="426"/>
      <c r="BK52" s="425"/>
      <c r="BL52" s="424"/>
      <c r="BM52" s="424"/>
      <c r="BN52" s="425"/>
      <c r="BO52" s="426"/>
      <c r="BP52" s="426"/>
      <c r="BQ52" s="425"/>
      <c r="BR52" s="424"/>
      <c r="BS52" s="424"/>
      <c r="BT52" s="425"/>
      <c r="BU52" s="426"/>
      <c r="BV52" s="426"/>
      <c r="BW52" s="425"/>
      <c r="BX52" s="424"/>
      <c r="BY52" s="424"/>
      <c r="BZ52" s="425"/>
      <c r="CA52" s="426"/>
      <c r="CB52" s="426"/>
      <c r="CC52" s="425"/>
      <c r="CD52" s="424"/>
      <c r="CE52" s="424"/>
      <c r="CF52" s="425"/>
      <c r="CG52" s="426"/>
      <c r="CH52" s="426"/>
      <c r="CI52" s="425"/>
      <c r="CJ52" s="424"/>
      <c r="CK52" s="424"/>
      <c r="CL52" s="425"/>
      <c r="CM52" s="426"/>
      <c r="CN52" s="426"/>
      <c r="CO52" s="425"/>
      <c r="CP52" s="424"/>
      <c r="CQ52" s="424"/>
      <c r="CR52" s="425"/>
      <c r="CS52" s="426"/>
      <c r="CT52" s="426"/>
      <c r="CU52" s="425"/>
      <c r="CV52" s="424"/>
      <c r="CW52" s="424"/>
      <c r="CX52" s="425"/>
      <c r="CY52" s="426"/>
      <c r="CZ52" s="426"/>
      <c r="DA52" s="425"/>
      <c r="DB52" s="424"/>
      <c r="DC52" s="424"/>
      <c r="DD52" s="425"/>
      <c r="DE52" s="426"/>
      <c r="DF52" s="426"/>
      <c r="DG52" s="425"/>
      <c r="DH52" s="424"/>
      <c r="DI52" s="424"/>
      <c r="DJ52" s="425"/>
      <c r="DK52" s="426"/>
      <c r="DL52" s="426"/>
      <c r="DM52" s="425"/>
      <c r="DN52" s="424"/>
      <c r="DO52" s="424"/>
      <c r="DP52" s="425"/>
      <c r="DQ52" s="426"/>
      <c r="DR52" s="426"/>
      <c r="DS52" s="425"/>
      <c r="DT52" s="424"/>
      <c r="DU52" s="424"/>
      <c r="DV52" s="425"/>
      <c r="DW52" s="426"/>
      <c r="DX52" s="426"/>
      <c r="DY52" s="425"/>
      <c r="DZ52" s="424"/>
      <c r="EA52" s="424"/>
    </row>
    <row r="53" spans="2:131">
      <c r="C53" s="461" t="s">
        <v>976</v>
      </c>
      <c r="D53" s="65"/>
      <c r="E53" s="65"/>
      <c r="F53" s="437" t="s">
        <v>948</v>
      </c>
      <c r="G53" s="436" t="s">
        <v>949</v>
      </c>
      <c r="H53" s="412" t="s">
        <v>950</v>
      </c>
      <c r="I53" s="429"/>
      <c r="J53" s="429">
        <f t="shared" si="1"/>
        <v>0</v>
      </c>
      <c r="K53" s="428">
        <f t="shared" si="2"/>
        <v>0</v>
      </c>
      <c r="L53" s="427"/>
      <c r="M53" s="426"/>
      <c r="N53" s="426"/>
      <c r="O53" s="425"/>
      <c r="P53" s="424"/>
      <c r="Q53" s="424"/>
      <c r="R53" s="425"/>
      <c r="S53" s="426"/>
      <c r="T53" s="426"/>
      <c r="U53" s="425"/>
      <c r="V53" s="424"/>
      <c r="W53" s="424"/>
      <c r="X53" s="425"/>
      <c r="Y53" s="426"/>
      <c r="Z53" s="426"/>
      <c r="AA53" s="425"/>
      <c r="AB53" s="424"/>
      <c r="AC53" s="424"/>
      <c r="AD53" s="425"/>
      <c r="AE53" s="426"/>
      <c r="AF53" s="426"/>
      <c r="AG53" s="425"/>
      <c r="AH53" s="424"/>
      <c r="AI53" s="424"/>
      <c r="AJ53" s="425"/>
      <c r="AK53" s="426"/>
      <c r="AL53" s="426"/>
      <c r="AM53" s="425"/>
      <c r="AN53" s="424"/>
      <c r="AO53" s="424"/>
      <c r="AP53" s="425"/>
      <c r="AQ53" s="426"/>
      <c r="AR53" s="426"/>
      <c r="AS53" s="425"/>
      <c r="AT53" s="424"/>
      <c r="AU53" s="424"/>
      <c r="AV53" s="425"/>
      <c r="AW53" s="426"/>
      <c r="AX53" s="426"/>
      <c r="AY53" s="425"/>
      <c r="AZ53" s="424"/>
      <c r="BA53" s="424"/>
      <c r="BB53" s="425"/>
      <c r="BC53" s="426"/>
      <c r="BD53" s="426"/>
      <c r="BE53" s="425"/>
      <c r="BF53" s="424"/>
      <c r="BG53" s="424"/>
      <c r="BH53" s="425"/>
      <c r="BI53" s="426"/>
      <c r="BJ53" s="426"/>
      <c r="BK53" s="425"/>
      <c r="BL53" s="424"/>
      <c r="BM53" s="424"/>
      <c r="BN53" s="425"/>
      <c r="BO53" s="426"/>
      <c r="BP53" s="426"/>
      <c r="BQ53" s="425"/>
      <c r="BR53" s="424"/>
      <c r="BS53" s="424"/>
      <c r="BT53" s="425"/>
      <c r="BU53" s="426"/>
      <c r="BV53" s="426"/>
      <c r="BW53" s="425"/>
      <c r="BX53" s="424"/>
      <c r="BY53" s="424"/>
      <c r="BZ53" s="425"/>
      <c r="CA53" s="426"/>
      <c r="CB53" s="426"/>
      <c r="CC53" s="425"/>
      <c r="CD53" s="424"/>
      <c r="CE53" s="424"/>
      <c r="CF53" s="425"/>
      <c r="CG53" s="426"/>
      <c r="CH53" s="426"/>
      <c r="CI53" s="425"/>
      <c r="CJ53" s="424"/>
      <c r="CK53" s="424"/>
      <c r="CL53" s="425"/>
      <c r="CM53" s="426"/>
      <c r="CN53" s="426"/>
      <c r="CO53" s="425"/>
      <c r="CP53" s="424"/>
      <c r="CQ53" s="424"/>
      <c r="CR53" s="425"/>
      <c r="CS53" s="426"/>
      <c r="CT53" s="426"/>
      <c r="CU53" s="425"/>
      <c r="CV53" s="424"/>
      <c r="CW53" s="424"/>
      <c r="CX53" s="425"/>
      <c r="CY53" s="426"/>
      <c r="CZ53" s="426"/>
      <c r="DA53" s="425"/>
      <c r="DB53" s="424"/>
      <c r="DC53" s="424"/>
      <c r="DD53" s="425"/>
      <c r="DE53" s="426"/>
      <c r="DF53" s="426"/>
      <c r="DG53" s="425"/>
      <c r="DH53" s="424"/>
      <c r="DI53" s="424"/>
      <c r="DJ53" s="425"/>
      <c r="DK53" s="426"/>
      <c r="DL53" s="426"/>
      <c r="DM53" s="425"/>
      <c r="DN53" s="424"/>
      <c r="DO53" s="424"/>
      <c r="DP53" s="425"/>
      <c r="DQ53" s="426"/>
      <c r="DR53" s="426"/>
      <c r="DS53" s="425"/>
      <c r="DT53" s="424"/>
      <c r="DU53" s="424"/>
      <c r="DV53" s="425"/>
      <c r="DW53" s="426"/>
      <c r="DX53" s="426"/>
      <c r="DY53" s="425"/>
      <c r="DZ53" s="424"/>
      <c r="EA53" s="424"/>
    </row>
    <row r="54" spans="2:131">
      <c r="D54" s="446" t="s">
        <v>529</v>
      </c>
      <c r="E54" s="460" t="s">
        <v>686</v>
      </c>
      <c r="F54" s="432">
        <f ca="1">'MF Unit Material'!Y136</f>
        <v>2555</v>
      </c>
      <c r="G54" s="431">
        <f>'MF Unit Material'!Z136</f>
        <v>6.5</v>
      </c>
      <c r="H54" s="158">
        <f ca="1">'MF Unit Material'!AA136</f>
        <v>1660.75</v>
      </c>
      <c r="I54" s="430">
        <f ca="1">F54-J54</f>
        <v>2555</v>
      </c>
      <c r="J54" s="429">
        <f t="shared" si="1"/>
        <v>0</v>
      </c>
      <c r="K54" s="428">
        <f t="shared" si="2"/>
        <v>0</v>
      </c>
      <c r="L54" s="427"/>
      <c r="M54" s="426"/>
      <c r="N54" s="426"/>
      <c r="O54" s="425"/>
      <c r="P54" s="424"/>
      <c r="Q54" s="424"/>
      <c r="R54" s="425"/>
      <c r="S54" s="426"/>
      <c r="T54" s="426"/>
      <c r="U54" s="425"/>
      <c r="V54" s="424"/>
      <c r="W54" s="424"/>
      <c r="X54" s="425"/>
      <c r="Y54" s="426"/>
      <c r="Z54" s="426"/>
      <c r="AA54" s="425"/>
      <c r="AB54" s="424"/>
      <c r="AC54" s="424"/>
      <c r="AD54" s="425"/>
      <c r="AE54" s="426"/>
      <c r="AF54" s="426"/>
      <c r="AG54" s="425"/>
      <c r="AH54" s="424"/>
      <c r="AI54" s="424"/>
      <c r="AJ54" s="425"/>
      <c r="AK54" s="426"/>
      <c r="AL54" s="426"/>
      <c r="AM54" s="425"/>
      <c r="AN54" s="424"/>
      <c r="AO54" s="424"/>
      <c r="AP54" s="425"/>
      <c r="AQ54" s="426"/>
      <c r="AR54" s="426"/>
      <c r="AS54" s="425"/>
      <c r="AT54" s="424"/>
      <c r="AU54" s="424"/>
      <c r="AV54" s="425"/>
      <c r="AW54" s="426"/>
      <c r="AX54" s="426"/>
      <c r="AY54" s="425"/>
      <c r="AZ54" s="424"/>
      <c r="BA54" s="424"/>
      <c r="BB54" s="425"/>
      <c r="BC54" s="426"/>
      <c r="BD54" s="426"/>
      <c r="BE54" s="425"/>
      <c r="BF54" s="424"/>
      <c r="BG54" s="424"/>
      <c r="BH54" s="425"/>
      <c r="BI54" s="426"/>
      <c r="BJ54" s="426"/>
      <c r="BK54" s="425"/>
      <c r="BL54" s="424"/>
      <c r="BM54" s="424"/>
      <c r="BN54" s="425"/>
      <c r="BO54" s="426"/>
      <c r="BP54" s="426"/>
      <c r="BQ54" s="425"/>
      <c r="BR54" s="424"/>
      <c r="BS54" s="424"/>
      <c r="BT54" s="425"/>
      <c r="BU54" s="426"/>
      <c r="BV54" s="426"/>
      <c r="BW54" s="425"/>
      <c r="BX54" s="424"/>
      <c r="BY54" s="424"/>
      <c r="BZ54" s="425"/>
      <c r="CA54" s="426"/>
      <c r="CB54" s="426"/>
      <c r="CC54" s="425"/>
      <c r="CD54" s="424"/>
      <c r="CE54" s="424"/>
      <c r="CF54" s="425"/>
      <c r="CG54" s="426"/>
      <c r="CH54" s="426"/>
      <c r="CI54" s="425"/>
      <c r="CJ54" s="424"/>
      <c r="CK54" s="424"/>
      <c r="CL54" s="425"/>
      <c r="CM54" s="426"/>
      <c r="CN54" s="426"/>
      <c r="CO54" s="425"/>
      <c r="CP54" s="424"/>
      <c r="CQ54" s="424"/>
      <c r="CR54" s="425"/>
      <c r="CS54" s="426"/>
      <c r="CT54" s="426"/>
      <c r="CU54" s="425"/>
      <c r="CV54" s="424"/>
      <c r="CW54" s="424"/>
      <c r="CX54" s="425"/>
      <c r="CY54" s="426"/>
      <c r="CZ54" s="426"/>
      <c r="DA54" s="425"/>
      <c r="DB54" s="424"/>
      <c r="DC54" s="424"/>
      <c r="DD54" s="425"/>
      <c r="DE54" s="426"/>
      <c r="DF54" s="426"/>
      <c r="DG54" s="425"/>
      <c r="DH54" s="424"/>
      <c r="DI54" s="424"/>
      <c r="DJ54" s="425"/>
      <c r="DK54" s="426"/>
      <c r="DL54" s="426"/>
      <c r="DM54" s="425"/>
      <c r="DN54" s="424"/>
      <c r="DO54" s="424"/>
      <c r="DP54" s="425"/>
      <c r="DQ54" s="426"/>
      <c r="DR54" s="426"/>
      <c r="DS54" s="425"/>
      <c r="DT54" s="424"/>
      <c r="DU54" s="424"/>
      <c r="DV54" s="425"/>
      <c r="DW54" s="426"/>
      <c r="DX54" s="426"/>
      <c r="DY54" s="425"/>
      <c r="DZ54" s="424"/>
      <c r="EA54" s="424"/>
    </row>
    <row r="55" spans="2:131">
      <c r="C55" s="423"/>
      <c r="D55" s="1"/>
      <c r="E55" s="16" t="s">
        <v>961</v>
      </c>
      <c r="F55" s="422">
        <f ca="1">'MF Unit Material'!Y138</f>
        <v>2555</v>
      </c>
      <c r="G55" s="421">
        <f>'MF Unit Material'!Z138</f>
        <v>0</v>
      </c>
      <c r="H55" s="420">
        <f ca="1">'MF Unit Material'!AA138</f>
        <v>1660.7499999999998</v>
      </c>
      <c r="I55" s="429"/>
      <c r="J55" s="429">
        <f t="shared" si="1"/>
        <v>0</v>
      </c>
      <c r="K55" s="428">
        <f t="shared" si="2"/>
        <v>0</v>
      </c>
      <c r="L55" s="427"/>
      <c r="M55" s="426"/>
      <c r="N55" s="426"/>
      <c r="O55" s="425"/>
      <c r="P55" s="424"/>
      <c r="Q55" s="424"/>
      <c r="R55" s="425"/>
      <c r="S55" s="426"/>
      <c r="T55" s="426"/>
      <c r="U55" s="425"/>
      <c r="V55" s="424"/>
      <c r="W55" s="424"/>
      <c r="X55" s="425"/>
      <c r="Y55" s="426"/>
      <c r="Z55" s="426"/>
      <c r="AA55" s="425"/>
      <c r="AB55" s="424"/>
      <c r="AC55" s="424"/>
      <c r="AD55" s="425"/>
      <c r="AE55" s="426"/>
      <c r="AF55" s="426"/>
      <c r="AG55" s="425"/>
      <c r="AH55" s="424"/>
      <c r="AI55" s="424"/>
      <c r="AJ55" s="425"/>
      <c r="AK55" s="426"/>
      <c r="AL55" s="426"/>
      <c r="AM55" s="425"/>
      <c r="AN55" s="424"/>
      <c r="AO55" s="424"/>
      <c r="AP55" s="425"/>
      <c r="AQ55" s="426"/>
      <c r="AR55" s="426"/>
      <c r="AS55" s="425"/>
      <c r="AT55" s="424"/>
      <c r="AU55" s="424"/>
      <c r="AV55" s="425"/>
      <c r="AW55" s="426"/>
      <c r="AX55" s="426"/>
      <c r="AY55" s="425"/>
      <c r="AZ55" s="424"/>
      <c r="BA55" s="424"/>
      <c r="BB55" s="425"/>
      <c r="BC55" s="426"/>
      <c r="BD55" s="426"/>
      <c r="BE55" s="425"/>
      <c r="BF55" s="424"/>
      <c r="BG55" s="424"/>
      <c r="BH55" s="425"/>
      <c r="BI55" s="426"/>
      <c r="BJ55" s="426"/>
      <c r="BK55" s="425"/>
      <c r="BL55" s="424"/>
      <c r="BM55" s="424"/>
      <c r="BN55" s="425"/>
      <c r="BO55" s="426"/>
      <c r="BP55" s="426"/>
      <c r="BQ55" s="425"/>
      <c r="BR55" s="424"/>
      <c r="BS55" s="424"/>
      <c r="BT55" s="425"/>
      <c r="BU55" s="426"/>
      <c r="BV55" s="426"/>
      <c r="BW55" s="425"/>
      <c r="BX55" s="424"/>
      <c r="BY55" s="424"/>
      <c r="BZ55" s="425"/>
      <c r="CA55" s="426"/>
      <c r="CB55" s="426"/>
      <c r="CC55" s="425"/>
      <c r="CD55" s="424"/>
      <c r="CE55" s="424"/>
      <c r="CF55" s="425"/>
      <c r="CG55" s="426"/>
      <c r="CH55" s="426"/>
      <c r="CI55" s="425"/>
      <c r="CJ55" s="424"/>
      <c r="CK55" s="424"/>
      <c r="CL55" s="425"/>
      <c r="CM55" s="426"/>
      <c r="CN55" s="426"/>
      <c r="CO55" s="425"/>
      <c r="CP55" s="424"/>
      <c r="CQ55" s="424"/>
      <c r="CR55" s="425"/>
      <c r="CS55" s="426"/>
      <c r="CT55" s="426"/>
      <c r="CU55" s="425"/>
      <c r="CV55" s="424"/>
      <c r="CW55" s="424"/>
      <c r="CX55" s="425"/>
      <c r="CY55" s="426"/>
      <c r="CZ55" s="426"/>
      <c r="DA55" s="425"/>
      <c r="DB55" s="424"/>
      <c r="DC55" s="424"/>
      <c r="DD55" s="425"/>
      <c r="DE55" s="426"/>
      <c r="DF55" s="426"/>
      <c r="DG55" s="425"/>
      <c r="DH55" s="424"/>
      <c r="DI55" s="424"/>
      <c r="DJ55" s="425"/>
      <c r="DK55" s="426"/>
      <c r="DL55" s="426"/>
      <c r="DM55" s="425"/>
      <c r="DN55" s="424"/>
      <c r="DO55" s="424"/>
      <c r="DP55" s="425"/>
      <c r="DQ55" s="426"/>
      <c r="DR55" s="426"/>
      <c r="DS55" s="425"/>
      <c r="DT55" s="424"/>
      <c r="DU55" s="424"/>
      <c r="DV55" s="425"/>
      <c r="DW55" s="426"/>
      <c r="DX55" s="426"/>
      <c r="DY55" s="425"/>
      <c r="DZ55" s="424"/>
      <c r="EA55" s="424"/>
    </row>
    <row r="56" spans="2:131">
      <c r="C56" s="461" t="s">
        <v>978</v>
      </c>
      <c r="D56" s="65"/>
      <c r="E56" s="65"/>
      <c r="F56" s="437" t="s">
        <v>948</v>
      </c>
      <c r="G56" s="436" t="s">
        <v>949</v>
      </c>
      <c r="H56" s="412" t="s">
        <v>950</v>
      </c>
      <c r="I56" s="429"/>
      <c r="J56" s="429">
        <f t="shared" si="1"/>
        <v>0</v>
      </c>
      <c r="K56" s="428">
        <f t="shared" si="2"/>
        <v>0</v>
      </c>
      <c r="L56" s="427"/>
      <c r="M56" s="426"/>
      <c r="N56" s="426"/>
      <c r="O56" s="425"/>
      <c r="P56" s="424"/>
      <c r="Q56" s="424"/>
      <c r="R56" s="425"/>
      <c r="S56" s="426"/>
      <c r="T56" s="426"/>
      <c r="U56" s="425"/>
      <c r="V56" s="424"/>
      <c r="W56" s="424"/>
      <c r="X56" s="425"/>
      <c r="Y56" s="426"/>
      <c r="Z56" s="426"/>
      <c r="AA56" s="425"/>
      <c r="AB56" s="424"/>
      <c r="AC56" s="424"/>
      <c r="AD56" s="425"/>
      <c r="AE56" s="426"/>
      <c r="AF56" s="426"/>
      <c r="AG56" s="425"/>
      <c r="AH56" s="424"/>
      <c r="AI56" s="424"/>
      <c r="AJ56" s="425"/>
      <c r="AK56" s="426"/>
      <c r="AL56" s="426"/>
      <c r="AM56" s="425"/>
      <c r="AN56" s="424"/>
      <c r="AO56" s="424"/>
      <c r="AP56" s="425"/>
      <c r="AQ56" s="426"/>
      <c r="AR56" s="426"/>
      <c r="AS56" s="425"/>
      <c r="AT56" s="424"/>
      <c r="AU56" s="424"/>
      <c r="AV56" s="425"/>
      <c r="AW56" s="426"/>
      <c r="AX56" s="426"/>
      <c r="AY56" s="425"/>
      <c r="AZ56" s="424"/>
      <c r="BA56" s="424"/>
      <c r="BB56" s="425"/>
      <c r="BC56" s="426"/>
      <c r="BD56" s="426"/>
      <c r="BE56" s="425"/>
      <c r="BF56" s="424"/>
      <c r="BG56" s="424"/>
      <c r="BH56" s="425"/>
      <c r="BI56" s="426"/>
      <c r="BJ56" s="426"/>
      <c r="BK56" s="425"/>
      <c r="BL56" s="424"/>
      <c r="BM56" s="424"/>
      <c r="BN56" s="425"/>
      <c r="BO56" s="426"/>
      <c r="BP56" s="426"/>
      <c r="BQ56" s="425"/>
      <c r="BR56" s="424"/>
      <c r="BS56" s="424"/>
      <c r="BT56" s="425"/>
      <c r="BU56" s="426"/>
      <c r="BV56" s="426"/>
      <c r="BW56" s="425"/>
      <c r="BX56" s="424"/>
      <c r="BY56" s="424"/>
      <c r="BZ56" s="425"/>
      <c r="CA56" s="426"/>
      <c r="CB56" s="426"/>
      <c r="CC56" s="425"/>
      <c r="CD56" s="424"/>
      <c r="CE56" s="424"/>
      <c r="CF56" s="425"/>
      <c r="CG56" s="426"/>
      <c r="CH56" s="426"/>
      <c r="CI56" s="425"/>
      <c r="CJ56" s="424"/>
      <c r="CK56" s="424"/>
      <c r="CL56" s="425"/>
      <c r="CM56" s="426"/>
      <c r="CN56" s="426"/>
      <c r="CO56" s="425"/>
      <c r="CP56" s="424"/>
      <c r="CQ56" s="424"/>
      <c r="CR56" s="425"/>
      <c r="CS56" s="426"/>
      <c r="CT56" s="426"/>
      <c r="CU56" s="425"/>
      <c r="CV56" s="424"/>
      <c r="CW56" s="424"/>
      <c r="CX56" s="425"/>
      <c r="CY56" s="426"/>
      <c r="CZ56" s="426"/>
      <c r="DA56" s="425"/>
      <c r="DB56" s="424"/>
      <c r="DC56" s="424"/>
      <c r="DD56" s="425"/>
      <c r="DE56" s="426"/>
      <c r="DF56" s="426"/>
      <c r="DG56" s="425"/>
      <c r="DH56" s="424"/>
      <c r="DI56" s="424"/>
      <c r="DJ56" s="425"/>
      <c r="DK56" s="426"/>
      <c r="DL56" s="426"/>
      <c r="DM56" s="425"/>
      <c r="DN56" s="424"/>
      <c r="DO56" s="424"/>
      <c r="DP56" s="425"/>
      <c r="DQ56" s="426"/>
      <c r="DR56" s="426"/>
      <c r="DS56" s="425"/>
      <c r="DT56" s="424"/>
      <c r="DU56" s="424"/>
      <c r="DV56" s="425"/>
      <c r="DW56" s="426"/>
      <c r="DX56" s="426"/>
      <c r="DY56" s="425"/>
      <c r="DZ56" s="424"/>
      <c r="EA56" s="424"/>
    </row>
    <row r="57" spans="2:131">
      <c r="D57" s="446" t="s">
        <v>529</v>
      </c>
      <c r="E57" s="460" t="s">
        <v>968</v>
      </c>
      <c r="F57" s="432">
        <f ca="1">'MF Unit Material'!Y140</f>
        <v>1825</v>
      </c>
      <c r="G57" s="431">
        <f>'MF Unit Material'!Z140</f>
        <v>0.25</v>
      </c>
      <c r="H57" s="158">
        <f ca="1">'MF Unit Material'!AA140</f>
        <v>456.25</v>
      </c>
      <c r="I57" s="430">
        <f ca="1">F57-J57</f>
        <v>1825</v>
      </c>
      <c r="J57" s="429">
        <f t="shared" si="1"/>
        <v>0</v>
      </c>
      <c r="K57" s="428">
        <f t="shared" si="2"/>
        <v>0</v>
      </c>
      <c r="L57" s="427"/>
      <c r="M57" s="426"/>
      <c r="N57" s="426"/>
      <c r="O57" s="425"/>
      <c r="P57" s="424"/>
      <c r="Q57" s="424"/>
      <c r="R57" s="425"/>
      <c r="S57" s="426"/>
      <c r="T57" s="426"/>
      <c r="U57" s="425"/>
      <c r="V57" s="424"/>
      <c r="W57" s="424"/>
      <c r="X57" s="425"/>
      <c r="Y57" s="426"/>
      <c r="Z57" s="426"/>
      <c r="AA57" s="425"/>
      <c r="AB57" s="424"/>
      <c r="AC57" s="424"/>
      <c r="AD57" s="425"/>
      <c r="AE57" s="426"/>
      <c r="AF57" s="426"/>
      <c r="AG57" s="425"/>
      <c r="AH57" s="424"/>
      <c r="AI57" s="424"/>
      <c r="AJ57" s="425"/>
      <c r="AK57" s="426"/>
      <c r="AL57" s="426"/>
      <c r="AM57" s="425"/>
      <c r="AN57" s="424"/>
      <c r="AO57" s="424"/>
      <c r="AP57" s="425"/>
      <c r="AQ57" s="426"/>
      <c r="AR57" s="426"/>
      <c r="AS57" s="425"/>
      <c r="AT57" s="424"/>
      <c r="AU57" s="424"/>
      <c r="AV57" s="425"/>
      <c r="AW57" s="426"/>
      <c r="AX57" s="426"/>
      <c r="AY57" s="425"/>
      <c r="AZ57" s="424"/>
      <c r="BA57" s="424"/>
      <c r="BB57" s="425"/>
      <c r="BC57" s="426"/>
      <c r="BD57" s="426"/>
      <c r="BE57" s="425"/>
      <c r="BF57" s="424"/>
      <c r="BG57" s="424"/>
      <c r="BH57" s="425"/>
      <c r="BI57" s="426"/>
      <c r="BJ57" s="426"/>
      <c r="BK57" s="425"/>
      <c r="BL57" s="424"/>
      <c r="BM57" s="424"/>
      <c r="BN57" s="425"/>
      <c r="BO57" s="426"/>
      <c r="BP57" s="426"/>
      <c r="BQ57" s="425"/>
      <c r="BR57" s="424"/>
      <c r="BS57" s="424"/>
      <c r="BT57" s="425"/>
      <c r="BU57" s="426"/>
      <c r="BV57" s="426"/>
      <c r="BW57" s="425"/>
      <c r="BX57" s="424"/>
      <c r="BY57" s="424"/>
      <c r="BZ57" s="425"/>
      <c r="CA57" s="426"/>
      <c r="CB57" s="426"/>
      <c r="CC57" s="425"/>
      <c r="CD57" s="424"/>
      <c r="CE57" s="424"/>
      <c r="CF57" s="425"/>
      <c r="CG57" s="426"/>
      <c r="CH57" s="426"/>
      <c r="CI57" s="425"/>
      <c r="CJ57" s="424"/>
      <c r="CK57" s="424"/>
      <c r="CL57" s="425"/>
      <c r="CM57" s="426"/>
      <c r="CN57" s="426"/>
      <c r="CO57" s="425"/>
      <c r="CP57" s="424"/>
      <c r="CQ57" s="424"/>
      <c r="CR57" s="425"/>
      <c r="CS57" s="426"/>
      <c r="CT57" s="426"/>
      <c r="CU57" s="425"/>
      <c r="CV57" s="424"/>
      <c r="CW57" s="424"/>
      <c r="CX57" s="425"/>
      <c r="CY57" s="426"/>
      <c r="CZ57" s="426"/>
      <c r="DA57" s="425"/>
      <c r="DB57" s="424"/>
      <c r="DC57" s="424"/>
      <c r="DD57" s="425"/>
      <c r="DE57" s="426"/>
      <c r="DF57" s="426"/>
      <c r="DG57" s="425"/>
      <c r="DH57" s="424"/>
      <c r="DI57" s="424"/>
      <c r="DJ57" s="425"/>
      <c r="DK57" s="426"/>
      <c r="DL57" s="426"/>
      <c r="DM57" s="425"/>
      <c r="DN57" s="424"/>
      <c r="DO57" s="424"/>
      <c r="DP57" s="425"/>
      <c r="DQ57" s="426"/>
      <c r="DR57" s="426"/>
      <c r="DS57" s="425"/>
      <c r="DT57" s="424"/>
      <c r="DU57" s="424"/>
      <c r="DV57" s="425"/>
      <c r="DW57" s="426"/>
      <c r="DX57" s="426"/>
      <c r="DY57" s="425"/>
      <c r="DZ57" s="424"/>
      <c r="EA57" s="424"/>
    </row>
    <row r="58" spans="2:131">
      <c r="C58" s="423"/>
      <c r="D58" s="1"/>
      <c r="E58" s="16" t="s">
        <v>961</v>
      </c>
      <c r="F58" s="422">
        <f ca="1">'MF Unit Material'!Y142</f>
        <v>1825</v>
      </c>
      <c r="G58" s="421">
        <f>'MF Unit Material'!Z142</f>
        <v>0</v>
      </c>
      <c r="H58" s="420">
        <f ca="1">'MF Unit Material'!AA142</f>
        <v>456.25</v>
      </c>
      <c r="I58" s="429"/>
      <c r="J58" s="429">
        <f t="shared" si="1"/>
        <v>0</v>
      </c>
      <c r="K58" s="428">
        <f t="shared" si="2"/>
        <v>0</v>
      </c>
      <c r="L58" s="427"/>
      <c r="M58" s="426"/>
      <c r="N58" s="426"/>
      <c r="O58" s="425"/>
      <c r="P58" s="424"/>
      <c r="Q58" s="424"/>
      <c r="R58" s="425"/>
      <c r="S58" s="426"/>
      <c r="T58" s="426"/>
      <c r="U58" s="425"/>
      <c r="V58" s="424"/>
      <c r="W58" s="424"/>
      <c r="X58" s="425"/>
      <c r="Y58" s="426"/>
      <c r="Z58" s="426"/>
      <c r="AA58" s="425"/>
      <c r="AB58" s="424"/>
      <c r="AC58" s="424"/>
      <c r="AD58" s="425"/>
      <c r="AE58" s="426"/>
      <c r="AF58" s="426"/>
      <c r="AG58" s="425"/>
      <c r="AH58" s="424"/>
      <c r="AI58" s="424"/>
      <c r="AJ58" s="425"/>
      <c r="AK58" s="426"/>
      <c r="AL58" s="426"/>
      <c r="AM58" s="425"/>
      <c r="AN58" s="424"/>
      <c r="AO58" s="424"/>
      <c r="AP58" s="425"/>
      <c r="AQ58" s="426"/>
      <c r="AR58" s="426"/>
      <c r="AS58" s="425"/>
      <c r="AT58" s="424"/>
      <c r="AU58" s="424"/>
      <c r="AV58" s="425"/>
      <c r="AW58" s="426"/>
      <c r="AX58" s="426"/>
      <c r="AY58" s="425"/>
      <c r="AZ58" s="424"/>
      <c r="BA58" s="424"/>
      <c r="BB58" s="425"/>
      <c r="BC58" s="426"/>
      <c r="BD58" s="426"/>
      <c r="BE58" s="425"/>
      <c r="BF58" s="424"/>
      <c r="BG58" s="424"/>
      <c r="BH58" s="425"/>
      <c r="BI58" s="426"/>
      <c r="BJ58" s="426"/>
      <c r="BK58" s="425"/>
      <c r="BL58" s="424"/>
      <c r="BM58" s="424"/>
      <c r="BN58" s="425"/>
      <c r="BO58" s="426"/>
      <c r="BP58" s="426"/>
      <c r="BQ58" s="425"/>
      <c r="BR58" s="424"/>
      <c r="BS58" s="424"/>
      <c r="BT58" s="425"/>
      <c r="BU58" s="426"/>
      <c r="BV58" s="426"/>
      <c r="BW58" s="425"/>
      <c r="BX58" s="424"/>
      <c r="BY58" s="424"/>
      <c r="BZ58" s="425"/>
      <c r="CA58" s="426"/>
      <c r="CB58" s="426"/>
      <c r="CC58" s="425"/>
      <c r="CD58" s="424"/>
      <c r="CE58" s="424"/>
      <c r="CF58" s="425"/>
      <c r="CG58" s="426"/>
      <c r="CH58" s="426"/>
      <c r="CI58" s="425"/>
      <c r="CJ58" s="424"/>
      <c r="CK58" s="424"/>
      <c r="CL58" s="425"/>
      <c r="CM58" s="426"/>
      <c r="CN58" s="426"/>
      <c r="CO58" s="425"/>
      <c r="CP58" s="424"/>
      <c r="CQ58" s="424"/>
      <c r="CR58" s="425"/>
      <c r="CS58" s="426"/>
      <c r="CT58" s="426"/>
      <c r="CU58" s="425"/>
      <c r="CV58" s="424"/>
      <c r="CW58" s="424"/>
      <c r="CX58" s="425"/>
      <c r="CY58" s="426"/>
      <c r="CZ58" s="426"/>
      <c r="DA58" s="425"/>
      <c r="DB58" s="424"/>
      <c r="DC58" s="424"/>
      <c r="DD58" s="425"/>
      <c r="DE58" s="426"/>
      <c r="DF58" s="426"/>
      <c r="DG58" s="425"/>
      <c r="DH58" s="424"/>
      <c r="DI58" s="424"/>
      <c r="DJ58" s="425"/>
      <c r="DK58" s="426"/>
      <c r="DL58" s="426"/>
      <c r="DM58" s="425"/>
      <c r="DN58" s="424"/>
      <c r="DO58" s="424"/>
      <c r="DP58" s="425"/>
      <c r="DQ58" s="426"/>
      <c r="DR58" s="426"/>
      <c r="DS58" s="425"/>
      <c r="DT58" s="424"/>
      <c r="DU58" s="424"/>
      <c r="DV58" s="425"/>
      <c r="DW58" s="426"/>
      <c r="DX58" s="426"/>
      <c r="DY58" s="425"/>
      <c r="DZ58" s="424"/>
      <c r="EA58" s="424"/>
    </row>
    <row r="59" spans="2:131">
      <c r="C59" s="461" t="s">
        <v>979</v>
      </c>
      <c r="D59" s="65"/>
      <c r="E59" s="65"/>
      <c r="F59" s="437" t="s">
        <v>948</v>
      </c>
      <c r="G59" s="436" t="s">
        <v>949</v>
      </c>
      <c r="H59" s="412" t="s">
        <v>950</v>
      </c>
      <c r="I59" s="429"/>
      <c r="J59" s="429">
        <f t="shared" si="1"/>
        <v>0</v>
      </c>
      <c r="K59" s="428">
        <f t="shared" si="2"/>
        <v>0</v>
      </c>
      <c r="L59" s="427"/>
      <c r="M59" s="426"/>
      <c r="N59" s="426"/>
      <c r="O59" s="425"/>
      <c r="P59" s="424"/>
      <c r="Q59" s="424"/>
      <c r="R59" s="425"/>
      <c r="S59" s="426"/>
      <c r="T59" s="426"/>
      <c r="U59" s="425"/>
      <c r="V59" s="424"/>
      <c r="W59" s="424"/>
      <c r="X59" s="425"/>
      <c r="Y59" s="426"/>
      <c r="Z59" s="426"/>
      <c r="AA59" s="425"/>
      <c r="AB59" s="424"/>
      <c r="AC59" s="424"/>
      <c r="AD59" s="425"/>
      <c r="AE59" s="426"/>
      <c r="AF59" s="426"/>
      <c r="AG59" s="425"/>
      <c r="AH59" s="424"/>
      <c r="AI59" s="424"/>
      <c r="AJ59" s="425"/>
      <c r="AK59" s="426"/>
      <c r="AL59" s="426"/>
      <c r="AM59" s="425"/>
      <c r="AN59" s="424"/>
      <c r="AO59" s="424"/>
      <c r="AP59" s="425"/>
      <c r="AQ59" s="426"/>
      <c r="AR59" s="426"/>
      <c r="AS59" s="425"/>
      <c r="AT59" s="424"/>
      <c r="AU59" s="424"/>
      <c r="AV59" s="425"/>
      <c r="AW59" s="426"/>
      <c r="AX59" s="426"/>
      <c r="AY59" s="425"/>
      <c r="AZ59" s="424"/>
      <c r="BA59" s="424"/>
      <c r="BB59" s="425"/>
      <c r="BC59" s="426"/>
      <c r="BD59" s="426"/>
      <c r="BE59" s="425"/>
      <c r="BF59" s="424"/>
      <c r="BG59" s="424"/>
      <c r="BH59" s="425"/>
      <c r="BI59" s="426"/>
      <c r="BJ59" s="426"/>
      <c r="BK59" s="425"/>
      <c r="BL59" s="424"/>
      <c r="BM59" s="424"/>
      <c r="BN59" s="425"/>
      <c r="BO59" s="426"/>
      <c r="BP59" s="426"/>
      <c r="BQ59" s="425"/>
      <c r="BR59" s="424"/>
      <c r="BS59" s="424"/>
      <c r="BT59" s="425"/>
      <c r="BU59" s="426"/>
      <c r="BV59" s="426"/>
      <c r="BW59" s="425"/>
      <c r="BX59" s="424"/>
      <c r="BY59" s="424"/>
      <c r="BZ59" s="425"/>
      <c r="CA59" s="426"/>
      <c r="CB59" s="426"/>
      <c r="CC59" s="425"/>
      <c r="CD59" s="424"/>
      <c r="CE59" s="424"/>
      <c r="CF59" s="425"/>
      <c r="CG59" s="426"/>
      <c r="CH59" s="426"/>
      <c r="CI59" s="425"/>
      <c r="CJ59" s="424"/>
      <c r="CK59" s="424"/>
      <c r="CL59" s="425"/>
      <c r="CM59" s="426"/>
      <c r="CN59" s="426"/>
      <c r="CO59" s="425"/>
      <c r="CP59" s="424"/>
      <c r="CQ59" s="424"/>
      <c r="CR59" s="425"/>
      <c r="CS59" s="426"/>
      <c r="CT59" s="426"/>
      <c r="CU59" s="425"/>
      <c r="CV59" s="424"/>
      <c r="CW59" s="424"/>
      <c r="CX59" s="425"/>
      <c r="CY59" s="426"/>
      <c r="CZ59" s="426"/>
      <c r="DA59" s="425"/>
      <c r="DB59" s="424"/>
      <c r="DC59" s="424"/>
      <c r="DD59" s="425"/>
      <c r="DE59" s="426"/>
      <c r="DF59" s="426"/>
      <c r="DG59" s="425"/>
      <c r="DH59" s="424"/>
      <c r="DI59" s="424"/>
      <c r="DJ59" s="425"/>
      <c r="DK59" s="426"/>
      <c r="DL59" s="426"/>
      <c r="DM59" s="425"/>
      <c r="DN59" s="424"/>
      <c r="DO59" s="424"/>
      <c r="DP59" s="425"/>
      <c r="DQ59" s="426"/>
      <c r="DR59" s="426"/>
      <c r="DS59" s="425"/>
      <c r="DT59" s="424"/>
      <c r="DU59" s="424"/>
      <c r="DV59" s="425"/>
      <c r="DW59" s="426"/>
      <c r="DX59" s="426"/>
      <c r="DY59" s="425"/>
      <c r="DZ59" s="424"/>
      <c r="EA59" s="424"/>
    </row>
    <row r="60" spans="2:131">
      <c r="D60" s="446" t="s">
        <v>529</v>
      </c>
      <c r="E60" s="460" t="s">
        <v>968</v>
      </c>
      <c r="F60" s="432">
        <f ca="1">'MF Unit Material'!Y144</f>
        <v>2555</v>
      </c>
      <c r="G60" s="431">
        <f>'MF Unit Material'!Z144</f>
        <v>6.25</v>
      </c>
      <c r="H60" s="158">
        <f ca="1">'MF Unit Material'!AA144</f>
        <v>2661.4583333333335</v>
      </c>
      <c r="I60" s="430">
        <f ca="1">F60-J60</f>
        <v>2555</v>
      </c>
      <c r="J60" s="429">
        <f t="shared" si="1"/>
        <v>0</v>
      </c>
      <c r="K60" s="428">
        <f t="shared" si="2"/>
        <v>0</v>
      </c>
      <c r="L60" s="427"/>
      <c r="M60" s="426"/>
      <c r="N60" s="426"/>
      <c r="O60" s="425"/>
      <c r="P60" s="424"/>
      <c r="Q60" s="424"/>
      <c r="R60" s="425"/>
      <c r="S60" s="426"/>
      <c r="T60" s="426"/>
      <c r="U60" s="425"/>
      <c r="V60" s="424"/>
      <c r="W60" s="424"/>
      <c r="X60" s="425"/>
      <c r="Y60" s="426"/>
      <c r="Z60" s="426"/>
      <c r="AA60" s="425"/>
      <c r="AB60" s="424"/>
      <c r="AC60" s="424"/>
      <c r="AD60" s="425"/>
      <c r="AE60" s="426"/>
      <c r="AF60" s="426"/>
      <c r="AG60" s="425"/>
      <c r="AH60" s="424"/>
      <c r="AI60" s="424"/>
      <c r="AJ60" s="425"/>
      <c r="AK60" s="426"/>
      <c r="AL60" s="426"/>
      <c r="AM60" s="425"/>
      <c r="AN60" s="424"/>
      <c r="AO60" s="424"/>
      <c r="AP60" s="425"/>
      <c r="AQ60" s="426"/>
      <c r="AR60" s="426"/>
      <c r="AS60" s="425"/>
      <c r="AT60" s="424"/>
      <c r="AU60" s="424"/>
      <c r="AV60" s="425"/>
      <c r="AW60" s="426"/>
      <c r="AX60" s="426"/>
      <c r="AY60" s="425"/>
      <c r="AZ60" s="424"/>
      <c r="BA60" s="424"/>
      <c r="BB60" s="425"/>
      <c r="BC60" s="426"/>
      <c r="BD60" s="426"/>
      <c r="BE60" s="425"/>
      <c r="BF60" s="424"/>
      <c r="BG60" s="424"/>
      <c r="BH60" s="425"/>
      <c r="BI60" s="426"/>
      <c r="BJ60" s="426"/>
      <c r="BK60" s="425"/>
      <c r="BL60" s="424"/>
      <c r="BM60" s="424"/>
      <c r="BN60" s="425"/>
      <c r="BO60" s="426"/>
      <c r="BP60" s="426"/>
      <c r="BQ60" s="425"/>
      <c r="BR60" s="424"/>
      <c r="BS60" s="424"/>
      <c r="BT60" s="425"/>
      <c r="BU60" s="426"/>
      <c r="BV60" s="426"/>
      <c r="BW60" s="425"/>
      <c r="BX60" s="424"/>
      <c r="BY60" s="424"/>
      <c r="BZ60" s="425"/>
      <c r="CA60" s="426"/>
      <c r="CB60" s="426"/>
      <c r="CC60" s="425"/>
      <c r="CD60" s="424"/>
      <c r="CE60" s="424"/>
      <c r="CF60" s="425"/>
      <c r="CG60" s="426"/>
      <c r="CH60" s="426"/>
      <c r="CI60" s="425"/>
      <c r="CJ60" s="424"/>
      <c r="CK60" s="424"/>
      <c r="CL60" s="425"/>
      <c r="CM60" s="426"/>
      <c r="CN60" s="426"/>
      <c r="CO60" s="425"/>
      <c r="CP60" s="424"/>
      <c r="CQ60" s="424"/>
      <c r="CR60" s="425"/>
      <c r="CS60" s="426"/>
      <c r="CT60" s="426"/>
      <c r="CU60" s="425"/>
      <c r="CV60" s="424"/>
      <c r="CW60" s="424"/>
      <c r="CX60" s="425"/>
      <c r="CY60" s="426"/>
      <c r="CZ60" s="426"/>
      <c r="DA60" s="425"/>
      <c r="DB60" s="424"/>
      <c r="DC60" s="424"/>
      <c r="DD60" s="425"/>
      <c r="DE60" s="426"/>
      <c r="DF60" s="426"/>
      <c r="DG60" s="425"/>
      <c r="DH60" s="424"/>
      <c r="DI60" s="424"/>
      <c r="DJ60" s="425"/>
      <c r="DK60" s="426"/>
      <c r="DL60" s="426"/>
      <c r="DM60" s="425"/>
      <c r="DN60" s="424"/>
      <c r="DO60" s="424"/>
      <c r="DP60" s="425"/>
      <c r="DQ60" s="426"/>
      <c r="DR60" s="426"/>
      <c r="DS60" s="425"/>
      <c r="DT60" s="424"/>
      <c r="DU60" s="424"/>
      <c r="DV60" s="425"/>
      <c r="DW60" s="426"/>
      <c r="DX60" s="426"/>
      <c r="DY60" s="425"/>
      <c r="DZ60" s="424"/>
      <c r="EA60" s="424"/>
    </row>
    <row r="61" spans="2:131">
      <c r="C61" s="423"/>
      <c r="D61" s="1"/>
      <c r="E61" s="16" t="s">
        <v>961</v>
      </c>
      <c r="F61" s="422">
        <f ca="1">'MF Unit Material'!Y146</f>
        <v>2555</v>
      </c>
      <c r="G61" s="421">
        <f>'MF Unit Material'!Z146</f>
        <v>0</v>
      </c>
      <c r="H61" s="420">
        <f ca="1">'MF Unit Material'!AA146</f>
        <v>2661.458333333333</v>
      </c>
      <c r="I61" s="429"/>
      <c r="J61" s="429">
        <f t="shared" si="1"/>
        <v>0</v>
      </c>
      <c r="K61" s="428">
        <f t="shared" si="2"/>
        <v>0</v>
      </c>
      <c r="L61" s="427"/>
      <c r="M61" s="426"/>
      <c r="N61" s="426"/>
      <c r="O61" s="425"/>
      <c r="P61" s="424"/>
      <c r="Q61" s="424"/>
      <c r="R61" s="425"/>
      <c r="S61" s="426"/>
      <c r="T61" s="426"/>
      <c r="U61" s="425"/>
      <c r="V61" s="424"/>
      <c r="W61" s="424"/>
      <c r="X61" s="425"/>
      <c r="Y61" s="426"/>
      <c r="Z61" s="426"/>
      <c r="AA61" s="425"/>
      <c r="AB61" s="424"/>
      <c r="AC61" s="424"/>
      <c r="AD61" s="425"/>
      <c r="AE61" s="426"/>
      <c r="AF61" s="426"/>
      <c r="AG61" s="425"/>
      <c r="AH61" s="424"/>
      <c r="AI61" s="424"/>
      <c r="AJ61" s="425"/>
      <c r="AK61" s="426"/>
      <c r="AL61" s="426"/>
      <c r="AM61" s="425"/>
      <c r="AN61" s="424"/>
      <c r="AO61" s="424"/>
      <c r="AP61" s="425"/>
      <c r="AQ61" s="426"/>
      <c r="AR61" s="426"/>
      <c r="AS61" s="425"/>
      <c r="AT61" s="424"/>
      <c r="AU61" s="424"/>
      <c r="AV61" s="425"/>
      <c r="AW61" s="426"/>
      <c r="AX61" s="426"/>
      <c r="AY61" s="425"/>
      <c r="AZ61" s="424"/>
      <c r="BA61" s="424"/>
      <c r="BB61" s="425"/>
      <c r="BC61" s="426"/>
      <c r="BD61" s="426"/>
      <c r="BE61" s="425"/>
      <c r="BF61" s="424"/>
      <c r="BG61" s="424"/>
      <c r="BH61" s="425"/>
      <c r="BI61" s="426"/>
      <c r="BJ61" s="426"/>
      <c r="BK61" s="425"/>
      <c r="BL61" s="424"/>
      <c r="BM61" s="424"/>
      <c r="BN61" s="425"/>
      <c r="BO61" s="426"/>
      <c r="BP61" s="426"/>
      <c r="BQ61" s="425"/>
      <c r="BR61" s="424"/>
      <c r="BS61" s="424"/>
      <c r="BT61" s="425"/>
      <c r="BU61" s="426"/>
      <c r="BV61" s="426"/>
      <c r="BW61" s="425"/>
      <c r="BX61" s="424"/>
      <c r="BY61" s="424"/>
      <c r="BZ61" s="425"/>
      <c r="CA61" s="426"/>
      <c r="CB61" s="426"/>
      <c r="CC61" s="425"/>
      <c r="CD61" s="424"/>
      <c r="CE61" s="424"/>
      <c r="CF61" s="425"/>
      <c r="CG61" s="426"/>
      <c r="CH61" s="426"/>
      <c r="CI61" s="425"/>
      <c r="CJ61" s="424"/>
      <c r="CK61" s="424"/>
      <c r="CL61" s="425"/>
      <c r="CM61" s="426"/>
      <c r="CN61" s="426"/>
      <c r="CO61" s="425"/>
      <c r="CP61" s="424"/>
      <c r="CQ61" s="424"/>
      <c r="CR61" s="425"/>
      <c r="CS61" s="426"/>
      <c r="CT61" s="426"/>
      <c r="CU61" s="425"/>
      <c r="CV61" s="424"/>
      <c r="CW61" s="424"/>
      <c r="CX61" s="425"/>
      <c r="CY61" s="426"/>
      <c r="CZ61" s="426"/>
      <c r="DA61" s="425"/>
      <c r="DB61" s="424"/>
      <c r="DC61" s="424"/>
      <c r="DD61" s="425"/>
      <c r="DE61" s="426"/>
      <c r="DF61" s="426"/>
      <c r="DG61" s="425"/>
      <c r="DH61" s="424"/>
      <c r="DI61" s="424"/>
      <c r="DJ61" s="425"/>
      <c r="DK61" s="426"/>
      <c r="DL61" s="426"/>
      <c r="DM61" s="425"/>
      <c r="DN61" s="424"/>
      <c r="DO61" s="424"/>
      <c r="DP61" s="425"/>
      <c r="DQ61" s="426"/>
      <c r="DR61" s="426"/>
      <c r="DS61" s="425"/>
      <c r="DT61" s="424"/>
      <c r="DU61" s="424"/>
      <c r="DV61" s="425"/>
      <c r="DW61" s="426"/>
      <c r="DX61" s="426"/>
      <c r="DY61" s="425"/>
      <c r="DZ61" s="424"/>
      <c r="EA61" s="424"/>
    </row>
    <row r="62" spans="2:131">
      <c r="B62" s="438" t="s">
        <v>753</v>
      </c>
      <c r="C62" s="96" t="s">
        <v>980</v>
      </c>
      <c r="D62" s="65"/>
      <c r="E62" s="65"/>
      <c r="F62" s="437" t="s">
        <v>948</v>
      </c>
      <c r="G62" s="436" t="s">
        <v>949</v>
      </c>
      <c r="H62" s="412" t="s">
        <v>950</v>
      </c>
      <c r="I62" s="429"/>
      <c r="J62" s="429">
        <f t="shared" si="1"/>
        <v>0</v>
      </c>
      <c r="K62" s="428">
        <f t="shared" si="2"/>
        <v>0</v>
      </c>
      <c r="L62" s="427"/>
      <c r="M62" s="426"/>
      <c r="N62" s="426"/>
      <c r="O62" s="425"/>
      <c r="P62" s="424"/>
      <c r="Q62" s="424"/>
      <c r="R62" s="425"/>
      <c r="S62" s="426"/>
      <c r="T62" s="426"/>
      <c r="U62" s="425"/>
      <c r="V62" s="424"/>
      <c r="W62" s="424"/>
      <c r="X62" s="425"/>
      <c r="Y62" s="426"/>
      <c r="Z62" s="426"/>
      <c r="AA62" s="425"/>
      <c r="AB62" s="424"/>
      <c r="AC62" s="424"/>
      <c r="AD62" s="425"/>
      <c r="AE62" s="426"/>
      <c r="AF62" s="426"/>
      <c r="AG62" s="425"/>
      <c r="AH62" s="424"/>
      <c r="AI62" s="424"/>
      <c r="AJ62" s="425"/>
      <c r="AK62" s="426"/>
      <c r="AL62" s="426"/>
      <c r="AM62" s="425"/>
      <c r="AN62" s="424"/>
      <c r="AO62" s="424"/>
      <c r="AP62" s="425"/>
      <c r="AQ62" s="426"/>
      <c r="AR62" s="426"/>
      <c r="AS62" s="425"/>
      <c r="AT62" s="424"/>
      <c r="AU62" s="424"/>
      <c r="AV62" s="425"/>
      <c r="AW62" s="426"/>
      <c r="AX62" s="426"/>
      <c r="AY62" s="425"/>
      <c r="AZ62" s="424"/>
      <c r="BA62" s="424"/>
      <c r="BB62" s="425"/>
      <c r="BC62" s="426"/>
      <c r="BD62" s="426"/>
      <c r="BE62" s="425"/>
      <c r="BF62" s="424"/>
      <c r="BG62" s="424"/>
      <c r="BH62" s="425"/>
      <c r="BI62" s="426"/>
      <c r="BJ62" s="426"/>
      <c r="BK62" s="425"/>
      <c r="BL62" s="424"/>
      <c r="BM62" s="424"/>
      <c r="BN62" s="425"/>
      <c r="BO62" s="426"/>
      <c r="BP62" s="426"/>
      <c r="BQ62" s="425"/>
      <c r="BR62" s="424"/>
      <c r="BS62" s="424"/>
      <c r="BT62" s="425"/>
      <c r="BU62" s="426"/>
      <c r="BV62" s="426"/>
      <c r="BW62" s="425"/>
      <c r="BX62" s="424"/>
      <c r="BY62" s="424"/>
      <c r="BZ62" s="425"/>
      <c r="CA62" s="426"/>
      <c r="CB62" s="426"/>
      <c r="CC62" s="425"/>
      <c r="CD62" s="424"/>
      <c r="CE62" s="424"/>
      <c r="CF62" s="425"/>
      <c r="CG62" s="426"/>
      <c r="CH62" s="426"/>
      <c r="CI62" s="425"/>
      <c r="CJ62" s="424"/>
      <c r="CK62" s="424"/>
      <c r="CL62" s="425"/>
      <c r="CM62" s="426"/>
      <c r="CN62" s="426"/>
      <c r="CO62" s="425"/>
      <c r="CP62" s="424"/>
      <c r="CQ62" s="424"/>
      <c r="CR62" s="425"/>
      <c r="CS62" s="426"/>
      <c r="CT62" s="426"/>
      <c r="CU62" s="425"/>
      <c r="CV62" s="424"/>
      <c r="CW62" s="424"/>
      <c r="CX62" s="425"/>
      <c r="CY62" s="426"/>
      <c r="CZ62" s="426"/>
      <c r="DA62" s="425"/>
      <c r="DB62" s="424"/>
      <c r="DC62" s="424"/>
      <c r="DD62" s="425"/>
      <c r="DE62" s="426"/>
      <c r="DF62" s="426"/>
      <c r="DG62" s="425"/>
      <c r="DH62" s="424"/>
      <c r="DI62" s="424"/>
      <c r="DJ62" s="425"/>
      <c r="DK62" s="426"/>
      <c r="DL62" s="426"/>
      <c r="DM62" s="425"/>
      <c r="DN62" s="424"/>
      <c r="DO62" s="424"/>
      <c r="DP62" s="425"/>
      <c r="DQ62" s="426"/>
      <c r="DR62" s="426"/>
      <c r="DS62" s="425"/>
      <c r="DT62" s="424"/>
      <c r="DU62" s="424"/>
      <c r="DV62" s="425"/>
      <c r="DW62" s="426"/>
      <c r="DX62" s="426"/>
      <c r="DY62" s="425"/>
      <c r="DZ62" s="424"/>
      <c r="EA62" s="424"/>
    </row>
    <row r="63" spans="2:131">
      <c r="D63" s="446"/>
      <c r="E63" s="460" t="s">
        <v>968</v>
      </c>
      <c r="F63" s="432">
        <f>'MF Unit Material'!Y148</f>
        <v>346</v>
      </c>
      <c r="G63" s="431">
        <f>'MF Unit Material'!Z148</f>
        <v>49</v>
      </c>
      <c r="H63" s="158">
        <f>'MF Unit Material'!AA148</f>
        <v>16954</v>
      </c>
      <c r="I63" s="430">
        <f>F63-J63</f>
        <v>346</v>
      </c>
      <c r="J63" s="429">
        <f t="shared" si="1"/>
        <v>0</v>
      </c>
      <c r="K63" s="428">
        <f t="shared" si="2"/>
        <v>0</v>
      </c>
      <c r="L63" s="427"/>
      <c r="M63" s="426"/>
      <c r="N63" s="426"/>
      <c r="O63" s="425"/>
      <c r="P63" s="424"/>
      <c r="Q63" s="424"/>
      <c r="R63" s="425"/>
      <c r="S63" s="426"/>
      <c r="T63" s="426"/>
      <c r="U63" s="425"/>
      <c r="V63" s="424"/>
      <c r="W63" s="424"/>
      <c r="X63" s="425"/>
      <c r="Y63" s="426"/>
      <c r="Z63" s="426"/>
      <c r="AA63" s="425"/>
      <c r="AB63" s="424"/>
      <c r="AC63" s="424"/>
      <c r="AD63" s="425"/>
      <c r="AE63" s="426"/>
      <c r="AF63" s="426"/>
      <c r="AG63" s="425"/>
      <c r="AH63" s="424"/>
      <c r="AI63" s="424"/>
      <c r="AJ63" s="425"/>
      <c r="AK63" s="426"/>
      <c r="AL63" s="426"/>
      <c r="AM63" s="425"/>
      <c r="AN63" s="424"/>
      <c r="AO63" s="424"/>
      <c r="AP63" s="425"/>
      <c r="AQ63" s="426"/>
      <c r="AR63" s="426"/>
      <c r="AS63" s="425"/>
      <c r="AT63" s="424"/>
      <c r="AU63" s="424"/>
      <c r="AV63" s="425"/>
      <c r="AW63" s="426"/>
      <c r="AX63" s="426"/>
      <c r="AY63" s="425"/>
      <c r="AZ63" s="424"/>
      <c r="BA63" s="424"/>
      <c r="BB63" s="425"/>
      <c r="BC63" s="426"/>
      <c r="BD63" s="426"/>
      <c r="BE63" s="425"/>
      <c r="BF63" s="424"/>
      <c r="BG63" s="424"/>
      <c r="BH63" s="425"/>
      <c r="BI63" s="426"/>
      <c r="BJ63" s="426"/>
      <c r="BK63" s="425"/>
      <c r="BL63" s="424"/>
      <c r="BM63" s="424"/>
      <c r="BN63" s="425"/>
      <c r="BO63" s="426"/>
      <c r="BP63" s="426"/>
      <c r="BQ63" s="425"/>
      <c r="BR63" s="424"/>
      <c r="BS63" s="424"/>
      <c r="BT63" s="425"/>
      <c r="BU63" s="426"/>
      <c r="BV63" s="426"/>
      <c r="BW63" s="425"/>
      <c r="BX63" s="424"/>
      <c r="BY63" s="424"/>
      <c r="BZ63" s="425"/>
      <c r="CA63" s="426"/>
      <c r="CB63" s="426"/>
      <c r="CC63" s="425"/>
      <c r="CD63" s="424"/>
      <c r="CE63" s="424"/>
      <c r="CF63" s="425"/>
      <c r="CG63" s="426"/>
      <c r="CH63" s="426"/>
      <c r="CI63" s="425"/>
      <c r="CJ63" s="424"/>
      <c r="CK63" s="424"/>
      <c r="CL63" s="425"/>
      <c r="CM63" s="426"/>
      <c r="CN63" s="426"/>
      <c r="CO63" s="425"/>
      <c r="CP63" s="424"/>
      <c r="CQ63" s="424"/>
      <c r="CR63" s="425"/>
      <c r="CS63" s="426"/>
      <c r="CT63" s="426"/>
      <c r="CU63" s="425"/>
      <c r="CV63" s="424"/>
      <c r="CW63" s="424"/>
      <c r="CX63" s="425"/>
      <c r="CY63" s="426"/>
      <c r="CZ63" s="426"/>
      <c r="DA63" s="425"/>
      <c r="DB63" s="424"/>
      <c r="DC63" s="424"/>
      <c r="DD63" s="425"/>
      <c r="DE63" s="426"/>
      <c r="DF63" s="426"/>
      <c r="DG63" s="425"/>
      <c r="DH63" s="424"/>
      <c r="DI63" s="424"/>
      <c r="DJ63" s="425"/>
      <c r="DK63" s="426"/>
      <c r="DL63" s="426"/>
      <c r="DM63" s="425"/>
      <c r="DN63" s="424"/>
      <c r="DO63" s="424"/>
      <c r="DP63" s="425"/>
      <c r="DQ63" s="426"/>
      <c r="DR63" s="426"/>
      <c r="DS63" s="425"/>
      <c r="DT63" s="424"/>
      <c r="DU63" s="424"/>
      <c r="DV63" s="425"/>
      <c r="DW63" s="426"/>
      <c r="DX63" s="426"/>
      <c r="DY63" s="425"/>
      <c r="DZ63" s="424"/>
      <c r="EA63" s="424"/>
    </row>
    <row r="64" spans="2:131">
      <c r="C64" s="423"/>
      <c r="D64" s="1"/>
      <c r="E64" s="16" t="s">
        <v>961</v>
      </c>
      <c r="F64" s="422">
        <f>'MF Unit Material'!Y150</f>
        <v>346</v>
      </c>
      <c r="G64" s="421">
        <f>'MF Unit Material'!Z150</f>
        <v>0</v>
      </c>
      <c r="H64" s="420">
        <f>'MF Unit Material'!AA150</f>
        <v>16954</v>
      </c>
      <c r="I64" s="429"/>
      <c r="J64" s="429">
        <f t="shared" si="1"/>
        <v>0</v>
      </c>
      <c r="K64" s="428">
        <f t="shared" si="2"/>
        <v>0</v>
      </c>
      <c r="L64" s="427"/>
      <c r="M64" s="426"/>
      <c r="N64" s="426"/>
      <c r="O64" s="425"/>
      <c r="P64" s="424"/>
      <c r="Q64" s="424"/>
      <c r="R64" s="425"/>
      <c r="S64" s="426"/>
      <c r="T64" s="426"/>
      <c r="U64" s="425"/>
      <c r="V64" s="424"/>
      <c r="W64" s="424"/>
      <c r="X64" s="425"/>
      <c r="Y64" s="426"/>
      <c r="Z64" s="426"/>
      <c r="AA64" s="425"/>
      <c r="AB64" s="424"/>
      <c r="AC64" s="424"/>
      <c r="AD64" s="425"/>
      <c r="AE64" s="426"/>
      <c r="AF64" s="426"/>
      <c r="AG64" s="425"/>
      <c r="AH64" s="424"/>
      <c r="AI64" s="424"/>
      <c r="AJ64" s="425"/>
      <c r="AK64" s="426"/>
      <c r="AL64" s="426"/>
      <c r="AM64" s="425"/>
      <c r="AN64" s="424"/>
      <c r="AO64" s="424"/>
      <c r="AP64" s="425"/>
      <c r="AQ64" s="426"/>
      <c r="AR64" s="426"/>
      <c r="AS64" s="425"/>
      <c r="AT64" s="424"/>
      <c r="AU64" s="424"/>
      <c r="AV64" s="425"/>
      <c r="AW64" s="426"/>
      <c r="AX64" s="426"/>
      <c r="AY64" s="425"/>
      <c r="AZ64" s="424"/>
      <c r="BA64" s="424"/>
      <c r="BB64" s="425"/>
      <c r="BC64" s="426"/>
      <c r="BD64" s="426"/>
      <c r="BE64" s="425"/>
      <c r="BF64" s="424"/>
      <c r="BG64" s="424"/>
      <c r="BH64" s="425"/>
      <c r="BI64" s="426"/>
      <c r="BJ64" s="426"/>
      <c r="BK64" s="425"/>
      <c r="BL64" s="424"/>
      <c r="BM64" s="424"/>
      <c r="BN64" s="425"/>
      <c r="BO64" s="426"/>
      <c r="BP64" s="426"/>
      <c r="BQ64" s="425"/>
      <c r="BR64" s="424"/>
      <c r="BS64" s="424"/>
      <c r="BT64" s="425"/>
      <c r="BU64" s="426"/>
      <c r="BV64" s="426"/>
      <c r="BW64" s="425"/>
      <c r="BX64" s="424"/>
      <c r="BY64" s="424"/>
      <c r="BZ64" s="425"/>
      <c r="CA64" s="426"/>
      <c r="CB64" s="426"/>
      <c r="CC64" s="425"/>
      <c r="CD64" s="424"/>
      <c r="CE64" s="424"/>
      <c r="CF64" s="425"/>
      <c r="CG64" s="426"/>
      <c r="CH64" s="426"/>
      <c r="CI64" s="425"/>
      <c r="CJ64" s="424"/>
      <c r="CK64" s="424"/>
      <c r="CL64" s="425"/>
      <c r="CM64" s="426"/>
      <c r="CN64" s="426"/>
      <c r="CO64" s="425"/>
      <c r="CP64" s="424"/>
      <c r="CQ64" s="424"/>
      <c r="CR64" s="425"/>
      <c r="CS64" s="426"/>
      <c r="CT64" s="426"/>
      <c r="CU64" s="425"/>
      <c r="CV64" s="424"/>
      <c r="CW64" s="424"/>
      <c r="CX64" s="425"/>
      <c r="CY64" s="426"/>
      <c r="CZ64" s="426"/>
      <c r="DA64" s="425"/>
      <c r="DB64" s="424"/>
      <c r="DC64" s="424"/>
      <c r="DD64" s="425"/>
      <c r="DE64" s="426"/>
      <c r="DF64" s="426"/>
      <c r="DG64" s="425"/>
      <c r="DH64" s="424"/>
      <c r="DI64" s="424"/>
      <c r="DJ64" s="425"/>
      <c r="DK64" s="426"/>
      <c r="DL64" s="426"/>
      <c r="DM64" s="425"/>
      <c r="DN64" s="424"/>
      <c r="DO64" s="424"/>
      <c r="DP64" s="425"/>
      <c r="DQ64" s="426"/>
      <c r="DR64" s="426"/>
      <c r="DS64" s="425"/>
      <c r="DT64" s="424"/>
      <c r="DU64" s="424"/>
      <c r="DV64" s="425"/>
      <c r="DW64" s="426"/>
      <c r="DX64" s="426"/>
      <c r="DY64" s="425"/>
      <c r="DZ64" s="424"/>
      <c r="EA64" s="424"/>
    </row>
    <row r="65" spans="3:131">
      <c r="C65" s="96" t="s">
        <v>981</v>
      </c>
      <c r="D65" s="65"/>
      <c r="E65" s="65"/>
      <c r="F65" s="437" t="s">
        <v>948</v>
      </c>
      <c r="G65" s="436" t="s">
        <v>949</v>
      </c>
      <c r="H65" s="412" t="s">
        <v>950</v>
      </c>
      <c r="I65" s="429"/>
      <c r="J65" s="429">
        <f t="shared" si="1"/>
        <v>0</v>
      </c>
      <c r="K65" s="428">
        <f t="shared" si="2"/>
        <v>0</v>
      </c>
      <c r="L65" s="427"/>
      <c r="M65" s="426"/>
      <c r="N65" s="426"/>
      <c r="O65" s="425"/>
      <c r="P65" s="424"/>
      <c r="Q65" s="424"/>
      <c r="R65" s="425"/>
      <c r="S65" s="426"/>
      <c r="T65" s="426"/>
      <c r="U65" s="425"/>
      <c r="V65" s="424"/>
      <c r="W65" s="424"/>
      <c r="X65" s="425"/>
      <c r="Y65" s="426"/>
      <c r="Z65" s="426"/>
      <c r="AA65" s="425"/>
      <c r="AB65" s="424"/>
      <c r="AC65" s="424"/>
      <c r="AD65" s="425"/>
      <c r="AE65" s="426"/>
      <c r="AF65" s="426"/>
      <c r="AG65" s="425"/>
      <c r="AH65" s="424"/>
      <c r="AI65" s="424"/>
      <c r="AJ65" s="425"/>
      <c r="AK65" s="426"/>
      <c r="AL65" s="426"/>
      <c r="AM65" s="425"/>
      <c r="AN65" s="424"/>
      <c r="AO65" s="424"/>
      <c r="AP65" s="425"/>
      <c r="AQ65" s="426"/>
      <c r="AR65" s="426"/>
      <c r="AS65" s="425"/>
      <c r="AT65" s="424"/>
      <c r="AU65" s="424"/>
      <c r="AV65" s="425"/>
      <c r="AW65" s="426"/>
      <c r="AX65" s="426"/>
      <c r="AY65" s="425"/>
      <c r="AZ65" s="424"/>
      <c r="BA65" s="424"/>
      <c r="BB65" s="425"/>
      <c r="BC65" s="426"/>
      <c r="BD65" s="426"/>
      <c r="BE65" s="425"/>
      <c r="BF65" s="424"/>
      <c r="BG65" s="424"/>
      <c r="BH65" s="425"/>
      <c r="BI65" s="426"/>
      <c r="BJ65" s="426"/>
      <c r="BK65" s="425"/>
      <c r="BL65" s="424"/>
      <c r="BM65" s="424"/>
      <c r="BN65" s="425"/>
      <c r="BO65" s="426"/>
      <c r="BP65" s="426"/>
      <c r="BQ65" s="425"/>
      <c r="BR65" s="424"/>
      <c r="BS65" s="424"/>
      <c r="BT65" s="425"/>
      <c r="BU65" s="426"/>
      <c r="BV65" s="426"/>
      <c r="BW65" s="425"/>
      <c r="BX65" s="424"/>
      <c r="BY65" s="424"/>
      <c r="BZ65" s="425"/>
      <c r="CA65" s="426"/>
      <c r="CB65" s="426"/>
      <c r="CC65" s="425"/>
      <c r="CD65" s="424"/>
      <c r="CE65" s="424"/>
      <c r="CF65" s="425"/>
      <c r="CG65" s="426"/>
      <c r="CH65" s="426"/>
      <c r="CI65" s="425"/>
      <c r="CJ65" s="424"/>
      <c r="CK65" s="424"/>
      <c r="CL65" s="425"/>
      <c r="CM65" s="426"/>
      <c r="CN65" s="426"/>
      <c r="CO65" s="425"/>
      <c r="CP65" s="424"/>
      <c r="CQ65" s="424"/>
      <c r="CR65" s="425"/>
      <c r="CS65" s="426"/>
      <c r="CT65" s="426"/>
      <c r="CU65" s="425"/>
      <c r="CV65" s="424"/>
      <c r="CW65" s="424"/>
      <c r="CX65" s="425"/>
      <c r="CY65" s="426"/>
      <c r="CZ65" s="426"/>
      <c r="DA65" s="425"/>
      <c r="DB65" s="424"/>
      <c r="DC65" s="424"/>
      <c r="DD65" s="425"/>
      <c r="DE65" s="426"/>
      <c r="DF65" s="426"/>
      <c r="DG65" s="425"/>
      <c r="DH65" s="424"/>
      <c r="DI65" s="424"/>
      <c r="DJ65" s="425"/>
      <c r="DK65" s="426"/>
      <c r="DL65" s="426"/>
      <c r="DM65" s="425"/>
      <c r="DN65" s="424"/>
      <c r="DO65" s="424"/>
      <c r="DP65" s="425"/>
      <c r="DQ65" s="426"/>
      <c r="DR65" s="426"/>
      <c r="DS65" s="425"/>
      <c r="DT65" s="424"/>
      <c r="DU65" s="424"/>
      <c r="DV65" s="425"/>
      <c r="DW65" s="426"/>
      <c r="DX65" s="426"/>
      <c r="DY65" s="425"/>
      <c r="DZ65" s="424"/>
      <c r="EA65" s="424"/>
    </row>
    <row r="66" spans="3:131">
      <c r="D66" s="446"/>
      <c r="E66" s="1" t="s">
        <v>968</v>
      </c>
      <c r="F66" s="432">
        <f>'MF Unit Material'!Y152</f>
        <v>346</v>
      </c>
      <c r="G66" s="431">
        <f>'MF Unit Material'!Z152</f>
        <v>60</v>
      </c>
      <c r="H66" s="158">
        <f>'MF Unit Material'!AA152</f>
        <v>20760</v>
      </c>
      <c r="I66" s="430">
        <f>F66-J66</f>
        <v>346</v>
      </c>
      <c r="J66" s="429">
        <f t="shared" si="1"/>
        <v>0</v>
      </c>
      <c r="K66" s="428">
        <f t="shared" si="2"/>
        <v>0</v>
      </c>
      <c r="L66" s="427"/>
      <c r="M66" s="426"/>
      <c r="N66" s="426"/>
      <c r="O66" s="425"/>
      <c r="P66" s="424"/>
      <c r="Q66" s="424"/>
      <c r="R66" s="425"/>
      <c r="S66" s="426"/>
      <c r="T66" s="426"/>
      <c r="U66" s="425"/>
      <c r="V66" s="424"/>
      <c r="W66" s="424"/>
      <c r="X66" s="425"/>
      <c r="Y66" s="426"/>
      <c r="Z66" s="426"/>
      <c r="AA66" s="425"/>
      <c r="AB66" s="424"/>
      <c r="AC66" s="424"/>
      <c r="AD66" s="425"/>
      <c r="AE66" s="426"/>
      <c r="AF66" s="426"/>
      <c r="AG66" s="425"/>
      <c r="AH66" s="424"/>
      <c r="AI66" s="424"/>
      <c r="AJ66" s="425"/>
      <c r="AK66" s="426"/>
      <c r="AL66" s="426"/>
      <c r="AM66" s="425"/>
      <c r="AN66" s="424"/>
      <c r="AO66" s="424"/>
      <c r="AP66" s="425"/>
      <c r="AQ66" s="426"/>
      <c r="AR66" s="426"/>
      <c r="AS66" s="425"/>
      <c r="AT66" s="424"/>
      <c r="AU66" s="424"/>
      <c r="AV66" s="425"/>
      <c r="AW66" s="426"/>
      <c r="AX66" s="426"/>
      <c r="AY66" s="425"/>
      <c r="AZ66" s="424"/>
      <c r="BA66" s="424"/>
      <c r="BB66" s="425"/>
      <c r="BC66" s="426"/>
      <c r="BD66" s="426"/>
      <c r="BE66" s="425"/>
      <c r="BF66" s="424"/>
      <c r="BG66" s="424"/>
      <c r="BH66" s="425"/>
      <c r="BI66" s="426"/>
      <c r="BJ66" s="426"/>
      <c r="BK66" s="425"/>
      <c r="BL66" s="424"/>
      <c r="BM66" s="424"/>
      <c r="BN66" s="425"/>
      <c r="BO66" s="426"/>
      <c r="BP66" s="426"/>
      <c r="BQ66" s="425"/>
      <c r="BR66" s="424"/>
      <c r="BS66" s="424"/>
      <c r="BT66" s="425"/>
      <c r="BU66" s="426"/>
      <c r="BV66" s="426"/>
      <c r="BW66" s="425"/>
      <c r="BX66" s="424"/>
      <c r="BY66" s="424"/>
      <c r="BZ66" s="425"/>
      <c r="CA66" s="426"/>
      <c r="CB66" s="426"/>
      <c r="CC66" s="425"/>
      <c r="CD66" s="424"/>
      <c r="CE66" s="424"/>
      <c r="CF66" s="425"/>
      <c r="CG66" s="426"/>
      <c r="CH66" s="426"/>
      <c r="CI66" s="425"/>
      <c r="CJ66" s="424"/>
      <c r="CK66" s="424"/>
      <c r="CL66" s="425"/>
      <c r="CM66" s="426"/>
      <c r="CN66" s="426"/>
      <c r="CO66" s="425"/>
      <c r="CP66" s="424"/>
      <c r="CQ66" s="424"/>
      <c r="CR66" s="425"/>
      <c r="CS66" s="426"/>
      <c r="CT66" s="426"/>
      <c r="CU66" s="425"/>
      <c r="CV66" s="424"/>
      <c r="CW66" s="424"/>
      <c r="CX66" s="425"/>
      <c r="CY66" s="426"/>
      <c r="CZ66" s="426"/>
      <c r="DA66" s="425"/>
      <c r="DB66" s="424"/>
      <c r="DC66" s="424"/>
      <c r="DD66" s="425"/>
      <c r="DE66" s="426"/>
      <c r="DF66" s="426"/>
      <c r="DG66" s="425"/>
      <c r="DH66" s="424"/>
      <c r="DI66" s="424"/>
      <c r="DJ66" s="425"/>
      <c r="DK66" s="426"/>
      <c r="DL66" s="426"/>
      <c r="DM66" s="425"/>
      <c r="DN66" s="424"/>
      <c r="DO66" s="424"/>
      <c r="DP66" s="425"/>
      <c r="DQ66" s="426"/>
      <c r="DR66" s="426"/>
      <c r="DS66" s="425"/>
      <c r="DT66" s="424"/>
      <c r="DU66" s="424"/>
      <c r="DV66" s="425"/>
      <c r="DW66" s="426"/>
      <c r="DX66" s="426"/>
      <c r="DY66" s="425"/>
      <c r="DZ66" s="424"/>
      <c r="EA66" s="424"/>
    </row>
    <row r="67" spans="3:131">
      <c r="C67" s="423"/>
      <c r="D67" s="1"/>
      <c r="E67" s="16" t="s">
        <v>961</v>
      </c>
      <c r="F67" s="422">
        <f>'MF Unit Material'!Y154</f>
        <v>346</v>
      </c>
      <c r="G67" s="421">
        <f>'MF Unit Material'!Z154</f>
        <v>0</v>
      </c>
      <c r="H67" s="420">
        <f>'MF Unit Material'!AA154</f>
        <v>20760</v>
      </c>
      <c r="I67" s="429"/>
      <c r="J67" s="429">
        <f t="shared" si="1"/>
        <v>0</v>
      </c>
      <c r="K67" s="428">
        <f t="shared" si="2"/>
        <v>0</v>
      </c>
      <c r="L67" s="427"/>
      <c r="M67" s="426"/>
      <c r="N67" s="426"/>
      <c r="O67" s="425"/>
      <c r="P67" s="424"/>
      <c r="Q67" s="424"/>
      <c r="R67" s="425"/>
      <c r="S67" s="426"/>
      <c r="T67" s="426"/>
      <c r="U67" s="425"/>
      <c r="V67" s="424"/>
      <c r="W67" s="424"/>
      <c r="X67" s="425"/>
      <c r="Y67" s="426"/>
      <c r="Z67" s="426"/>
      <c r="AA67" s="425"/>
      <c r="AB67" s="424"/>
      <c r="AC67" s="424"/>
      <c r="AD67" s="425"/>
      <c r="AE67" s="426"/>
      <c r="AF67" s="426"/>
      <c r="AG67" s="425"/>
      <c r="AH67" s="424"/>
      <c r="AI67" s="424"/>
      <c r="AJ67" s="425"/>
      <c r="AK67" s="426"/>
      <c r="AL67" s="426"/>
      <c r="AM67" s="425"/>
      <c r="AN67" s="424"/>
      <c r="AO67" s="424"/>
      <c r="AP67" s="425"/>
      <c r="AQ67" s="426"/>
      <c r="AR67" s="426"/>
      <c r="AS67" s="425"/>
      <c r="AT67" s="424"/>
      <c r="AU67" s="424"/>
      <c r="AV67" s="425"/>
      <c r="AW67" s="426"/>
      <c r="AX67" s="426"/>
      <c r="AY67" s="425"/>
      <c r="AZ67" s="424"/>
      <c r="BA67" s="424"/>
      <c r="BB67" s="425"/>
      <c r="BC67" s="426"/>
      <c r="BD67" s="426"/>
      <c r="BE67" s="425"/>
      <c r="BF67" s="424"/>
      <c r="BG67" s="424"/>
      <c r="BH67" s="425"/>
      <c r="BI67" s="426"/>
      <c r="BJ67" s="426"/>
      <c r="BK67" s="425"/>
      <c r="BL67" s="424"/>
      <c r="BM67" s="424"/>
      <c r="BN67" s="425"/>
      <c r="BO67" s="426"/>
      <c r="BP67" s="426"/>
      <c r="BQ67" s="425"/>
      <c r="BR67" s="424"/>
      <c r="BS67" s="424"/>
      <c r="BT67" s="425"/>
      <c r="BU67" s="426"/>
      <c r="BV67" s="426"/>
      <c r="BW67" s="425"/>
      <c r="BX67" s="424"/>
      <c r="BY67" s="424"/>
      <c r="BZ67" s="425"/>
      <c r="CA67" s="426"/>
      <c r="CB67" s="426"/>
      <c r="CC67" s="425"/>
      <c r="CD67" s="424"/>
      <c r="CE67" s="424"/>
      <c r="CF67" s="425"/>
      <c r="CG67" s="426"/>
      <c r="CH67" s="426"/>
      <c r="CI67" s="425"/>
      <c r="CJ67" s="424"/>
      <c r="CK67" s="424"/>
      <c r="CL67" s="425"/>
      <c r="CM67" s="426"/>
      <c r="CN67" s="426"/>
      <c r="CO67" s="425"/>
      <c r="CP67" s="424"/>
      <c r="CQ67" s="424"/>
      <c r="CR67" s="425"/>
      <c r="CS67" s="426"/>
      <c r="CT67" s="426"/>
      <c r="CU67" s="425"/>
      <c r="CV67" s="424"/>
      <c r="CW67" s="424"/>
      <c r="CX67" s="425"/>
      <c r="CY67" s="426"/>
      <c r="CZ67" s="426"/>
      <c r="DA67" s="425"/>
      <c r="DB67" s="424"/>
      <c r="DC67" s="424"/>
      <c r="DD67" s="425"/>
      <c r="DE67" s="426"/>
      <c r="DF67" s="426"/>
      <c r="DG67" s="425"/>
      <c r="DH67" s="424"/>
      <c r="DI67" s="424"/>
      <c r="DJ67" s="425"/>
      <c r="DK67" s="426"/>
      <c r="DL67" s="426"/>
      <c r="DM67" s="425"/>
      <c r="DN67" s="424"/>
      <c r="DO67" s="424"/>
      <c r="DP67" s="425"/>
      <c r="DQ67" s="426"/>
      <c r="DR67" s="426"/>
      <c r="DS67" s="425"/>
      <c r="DT67" s="424"/>
      <c r="DU67" s="424"/>
      <c r="DV67" s="425"/>
      <c r="DW67" s="426"/>
      <c r="DX67" s="426"/>
      <c r="DY67" s="425"/>
      <c r="DZ67" s="424"/>
      <c r="EA67" s="424"/>
    </row>
    <row r="68" spans="3:131">
      <c r="C68" s="96" t="s">
        <v>982</v>
      </c>
      <c r="D68" s="65"/>
      <c r="E68" s="65"/>
      <c r="F68" s="437" t="s">
        <v>948</v>
      </c>
      <c r="G68" s="436" t="s">
        <v>949</v>
      </c>
      <c r="H68" s="412" t="s">
        <v>950</v>
      </c>
      <c r="I68" s="429"/>
      <c r="J68" s="429">
        <f t="shared" si="1"/>
        <v>0</v>
      </c>
      <c r="K68" s="428">
        <f t="shared" si="2"/>
        <v>0</v>
      </c>
      <c r="L68" s="427"/>
      <c r="M68" s="426"/>
      <c r="N68" s="426"/>
      <c r="O68" s="425"/>
      <c r="P68" s="424"/>
      <c r="Q68" s="424"/>
      <c r="R68" s="425"/>
      <c r="S68" s="426"/>
      <c r="T68" s="426"/>
      <c r="U68" s="425"/>
      <c r="V68" s="424"/>
      <c r="W68" s="424"/>
      <c r="X68" s="425"/>
      <c r="Y68" s="426"/>
      <c r="Z68" s="426"/>
      <c r="AA68" s="425"/>
      <c r="AB68" s="424"/>
      <c r="AC68" s="424"/>
      <c r="AD68" s="425"/>
      <c r="AE68" s="426"/>
      <c r="AF68" s="426"/>
      <c r="AG68" s="425"/>
      <c r="AH68" s="424"/>
      <c r="AI68" s="424"/>
      <c r="AJ68" s="425"/>
      <c r="AK68" s="426"/>
      <c r="AL68" s="426"/>
      <c r="AM68" s="425"/>
      <c r="AN68" s="424"/>
      <c r="AO68" s="424"/>
      <c r="AP68" s="425"/>
      <c r="AQ68" s="426"/>
      <c r="AR68" s="426"/>
      <c r="AS68" s="425"/>
      <c r="AT68" s="424"/>
      <c r="AU68" s="424"/>
      <c r="AV68" s="425"/>
      <c r="AW68" s="426"/>
      <c r="AX68" s="426"/>
      <c r="AY68" s="425"/>
      <c r="AZ68" s="424"/>
      <c r="BA68" s="424"/>
      <c r="BB68" s="425"/>
      <c r="BC68" s="426"/>
      <c r="BD68" s="426"/>
      <c r="BE68" s="425"/>
      <c r="BF68" s="424"/>
      <c r="BG68" s="424"/>
      <c r="BH68" s="425"/>
      <c r="BI68" s="426"/>
      <c r="BJ68" s="426"/>
      <c r="BK68" s="425"/>
      <c r="BL68" s="424"/>
      <c r="BM68" s="424"/>
      <c r="BN68" s="425"/>
      <c r="BO68" s="426"/>
      <c r="BP68" s="426"/>
      <c r="BQ68" s="425"/>
      <c r="BR68" s="424"/>
      <c r="BS68" s="424"/>
      <c r="BT68" s="425"/>
      <c r="BU68" s="426"/>
      <c r="BV68" s="426"/>
      <c r="BW68" s="425"/>
      <c r="BX68" s="424"/>
      <c r="BY68" s="424"/>
      <c r="BZ68" s="425"/>
      <c r="CA68" s="426"/>
      <c r="CB68" s="426"/>
      <c r="CC68" s="425"/>
      <c r="CD68" s="424"/>
      <c r="CE68" s="424"/>
      <c r="CF68" s="425"/>
      <c r="CG68" s="426"/>
      <c r="CH68" s="426"/>
      <c r="CI68" s="425"/>
      <c r="CJ68" s="424"/>
      <c r="CK68" s="424"/>
      <c r="CL68" s="425"/>
      <c r="CM68" s="426"/>
      <c r="CN68" s="426"/>
      <c r="CO68" s="425"/>
      <c r="CP68" s="424"/>
      <c r="CQ68" s="424"/>
      <c r="CR68" s="425"/>
      <c r="CS68" s="426"/>
      <c r="CT68" s="426"/>
      <c r="CU68" s="425"/>
      <c r="CV68" s="424"/>
      <c r="CW68" s="424"/>
      <c r="CX68" s="425"/>
      <c r="CY68" s="426"/>
      <c r="CZ68" s="426"/>
      <c r="DA68" s="425"/>
      <c r="DB68" s="424"/>
      <c r="DC68" s="424"/>
      <c r="DD68" s="425"/>
      <c r="DE68" s="426"/>
      <c r="DF68" s="426"/>
      <c r="DG68" s="425"/>
      <c r="DH68" s="424"/>
      <c r="DI68" s="424"/>
      <c r="DJ68" s="425"/>
      <c r="DK68" s="426"/>
      <c r="DL68" s="426"/>
      <c r="DM68" s="425"/>
      <c r="DN68" s="424"/>
      <c r="DO68" s="424"/>
      <c r="DP68" s="425"/>
      <c r="DQ68" s="426"/>
      <c r="DR68" s="426"/>
      <c r="DS68" s="425"/>
      <c r="DT68" s="424"/>
      <c r="DU68" s="424"/>
      <c r="DV68" s="425"/>
      <c r="DW68" s="426"/>
      <c r="DX68" s="426"/>
      <c r="DY68" s="425"/>
      <c r="DZ68" s="424"/>
      <c r="EA68" s="424"/>
    </row>
    <row r="69" spans="3:131">
      <c r="D69" s="446"/>
      <c r="E69" s="460" t="s">
        <v>968</v>
      </c>
      <c r="F69" s="432">
        <f>'MF Unit Material'!Y156</f>
        <v>550</v>
      </c>
      <c r="G69" s="431">
        <f>'MF Unit Material'!Z156</f>
        <v>25</v>
      </c>
      <c r="H69" s="158">
        <f>'MF Unit Material'!AA156</f>
        <v>13750</v>
      </c>
      <c r="I69" s="430">
        <f>F69-J69</f>
        <v>550</v>
      </c>
      <c r="J69" s="429">
        <f t="shared" ref="J69:J132" si="3">SUMIFS($L69:$EA69,$L$4:$EA$4,"=" &amp; "Qty")</f>
        <v>0</v>
      </c>
      <c r="K69" s="428">
        <f t="shared" ref="K69:K132" si="4">SUMIFS($L69:$EA69,$L$4:$EA$4,"=" &amp; "Total ($)")</f>
        <v>0</v>
      </c>
      <c r="L69" s="427"/>
      <c r="M69" s="426"/>
      <c r="N69" s="426"/>
      <c r="O69" s="425"/>
      <c r="P69" s="424"/>
      <c r="Q69" s="424"/>
      <c r="R69" s="425"/>
      <c r="S69" s="426"/>
      <c r="T69" s="426"/>
      <c r="U69" s="425"/>
      <c r="V69" s="424"/>
      <c r="W69" s="424"/>
      <c r="X69" s="425"/>
      <c r="Y69" s="426"/>
      <c r="Z69" s="426"/>
      <c r="AA69" s="425"/>
      <c r="AB69" s="424"/>
      <c r="AC69" s="424"/>
      <c r="AD69" s="425"/>
      <c r="AE69" s="426"/>
      <c r="AF69" s="426"/>
      <c r="AG69" s="425"/>
      <c r="AH69" s="424"/>
      <c r="AI69" s="424"/>
      <c r="AJ69" s="425"/>
      <c r="AK69" s="426"/>
      <c r="AL69" s="426"/>
      <c r="AM69" s="425"/>
      <c r="AN69" s="424"/>
      <c r="AO69" s="424"/>
      <c r="AP69" s="425"/>
      <c r="AQ69" s="426"/>
      <c r="AR69" s="426"/>
      <c r="AS69" s="425"/>
      <c r="AT69" s="424"/>
      <c r="AU69" s="424"/>
      <c r="AV69" s="425"/>
      <c r="AW69" s="426"/>
      <c r="AX69" s="426"/>
      <c r="AY69" s="425"/>
      <c r="AZ69" s="424"/>
      <c r="BA69" s="424"/>
      <c r="BB69" s="425"/>
      <c r="BC69" s="426"/>
      <c r="BD69" s="426"/>
      <c r="BE69" s="425"/>
      <c r="BF69" s="424"/>
      <c r="BG69" s="424"/>
      <c r="BH69" s="425"/>
      <c r="BI69" s="426"/>
      <c r="BJ69" s="426"/>
      <c r="BK69" s="425"/>
      <c r="BL69" s="424"/>
      <c r="BM69" s="424"/>
      <c r="BN69" s="425"/>
      <c r="BO69" s="426"/>
      <c r="BP69" s="426"/>
      <c r="BQ69" s="425"/>
      <c r="BR69" s="424"/>
      <c r="BS69" s="424"/>
      <c r="BT69" s="425"/>
      <c r="BU69" s="426"/>
      <c r="BV69" s="426"/>
      <c r="BW69" s="425"/>
      <c r="BX69" s="424"/>
      <c r="BY69" s="424"/>
      <c r="BZ69" s="425"/>
      <c r="CA69" s="426"/>
      <c r="CB69" s="426"/>
      <c r="CC69" s="425"/>
      <c r="CD69" s="424"/>
      <c r="CE69" s="424"/>
      <c r="CF69" s="425"/>
      <c r="CG69" s="426"/>
      <c r="CH69" s="426"/>
      <c r="CI69" s="425"/>
      <c r="CJ69" s="424"/>
      <c r="CK69" s="424"/>
      <c r="CL69" s="425"/>
      <c r="CM69" s="426"/>
      <c r="CN69" s="426"/>
      <c r="CO69" s="425"/>
      <c r="CP69" s="424"/>
      <c r="CQ69" s="424"/>
      <c r="CR69" s="425"/>
      <c r="CS69" s="426"/>
      <c r="CT69" s="426"/>
      <c r="CU69" s="425"/>
      <c r="CV69" s="424"/>
      <c r="CW69" s="424"/>
      <c r="CX69" s="425"/>
      <c r="CY69" s="426"/>
      <c r="CZ69" s="426"/>
      <c r="DA69" s="425"/>
      <c r="DB69" s="424"/>
      <c r="DC69" s="424"/>
      <c r="DD69" s="425"/>
      <c r="DE69" s="426"/>
      <c r="DF69" s="426"/>
      <c r="DG69" s="425"/>
      <c r="DH69" s="424"/>
      <c r="DI69" s="424"/>
      <c r="DJ69" s="425"/>
      <c r="DK69" s="426"/>
      <c r="DL69" s="426"/>
      <c r="DM69" s="425"/>
      <c r="DN69" s="424"/>
      <c r="DO69" s="424"/>
      <c r="DP69" s="425"/>
      <c r="DQ69" s="426"/>
      <c r="DR69" s="426"/>
      <c r="DS69" s="425"/>
      <c r="DT69" s="424"/>
      <c r="DU69" s="424"/>
      <c r="DV69" s="425"/>
      <c r="DW69" s="426"/>
      <c r="DX69" s="426"/>
      <c r="DY69" s="425"/>
      <c r="DZ69" s="424"/>
      <c r="EA69" s="424"/>
    </row>
    <row r="70" spans="3:131">
      <c r="C70" s="423"/>
      <c r="D70" s="1"/>
      <c r="E70" s="16" t="s">
        <v>961</v>
      </c>
      <c r="F70" s="422">
        <f>'MF Unit Material'!Y158</f>
        <v>550</v>
      </c>
      <c r="G70" s="421">
        <f>'MF Unit Material'!Z158</f>
        <v>0</v>
      </c>
      <c r="H70" s="420">
        <f>'MF Unit Material'!AA158</f>
        <v>13750</v>
      </c>
      <c r="I70" s="429"/>
      <c r="J70" s="429">
        <f t="shared" si="3"/>
        <v>0</v>
      </c>
      <c r="K70" s="428">
        <f t="shared" si="4"/>
        <v>0</v>
      </c>
      <c r="L70" s="427"/>
      <c r="M70" s="426"/>
      <c r="N70" s="426"/>
      <c r="O70" s="425"/>
      <c r="P70" s="424"/>
      <c r="Q70" s="424"/>
      <c r="R70" s="425"/>
      <c r="S70" s="426"/>
      <c r="T70" s="426"/>
      <c r="U70" s="425"/>
      <c r="V70" s="424"/>
      <c r="W70" s="424"/>
      <c r="X70" s="425"/>
      <c r="Y70" s="426"/>
      <c r="Z70" s="426"/>
      <c r="AA70" s="425"/>
      <c r="AB70" s="424"/>
      <c r="AC70" s="424"/>
      <c r="AD70" s="425"/>
      <c r="AE70" s="426"/>
      <c r="AF70" s="426"/>
      <c r="AG70" s="425"/>
      <c r="AH70" s="424"/>
      <c r="AI70" s="424"/>
      <c r="AJ70" s="425"/>
      <c r="AK70" s="426"/>
      <c r="AL70" s="426"/>
      <c r="AM70" s="425"/>
      <c r="AN70" s="424"/>
      <c r="AO70" s="424"/>
      <c r="AP70" s="425"/>
      <c r="AQ70" s="426"/>
      <c r="AR70" s="426"/>
      <c r="AS70" s="425"/>
      <c r="AT70" s="424"/>
      <c r="AU70" s="424"/>
      <c r="AV70" s="425"/>
      <c r="AW70" s="426"/>
      <c r="AX70" s="426"/>
      <c r="AY70" s="425"/>
      <c r="AZ70" s="424"/>
      <c r="BA70" s="424"/>
      <c r="BB70" s="425"/>
      <c r="BC70" s="426"/>
      <c r="BD70" s="426"/>
      <c r="BE70" s="425"/>
      <c r="BF70" s="424"/>
      <c r="BG70" s="424"/>
      <c r="BH70" s="425"/>
      <c r="BI70" s="426"/>
      <c r="BJ70" s="426"/>
      <c r="BK70" s="425"/>
      <c r="BL70" s="424"/>
      <c r="BM70" s="424"/>
      <c r="BN70" s="425"/>
      <c r="BO70" s="426"/>
      <c r="BP70" s="426"/>
      <c r="BQ70" s="425"/>
      <c r="BR70" s="424"/>
      <c r="BS70" s="424"/>
      <c r="BT70" s="425"/>
      <c r="BU70" s="426"/>
      <c r="BV70" s="426"/>
      <c r="BW70" s="425"/>
      <c r="BX70" s="424"/>
      <c r="BY70" s="424"/>
      <c r="BZ70" s="425"/>
      <c r="CA70" s="426"/>
      <c r="CB70" s="426"/>
      <c r="CC70" s="425"/>
      <c r="CD70" s="424"/>
      <c r="CE70" s="424"/>
      <c r="CF70" s="425"/>
      <c r="CG70" s="426"/>
      <c r="CH70" s="426"/>
      <c r="CI70" s="425"/>
      <c r="CJ70" s="424"/>
      <c r="CK70" s="424"/>
      <c r="CL70" s="425"/>
      <c r="CM70" s="426"/>
      <c r="CN70" s="426"/>
      <c r="CO70" s="425"/>
      <c r="CP70" s="424"/>
      <c r="CQ70" s="424"/>
      <c r="CR70" s="425"/>
      <c r="CS70" s="426"/>
      <c r="CT70" s="426"/>
      <c r="CU70" s="425"/>
      <c r="CV70" s="424"/>
      <c r="CW70" s="424"/>
      <c r="CX70" s="425"/>
      <c r="CY70" s="426"/>
      <c r="CZ70" s="426"/>
      <c r="DA70" s="425"/>
      <c r="DB70" s="424"/>
      <c r="DC70" s="424"/>
      <c r="DD70" s="425"/>
      <c r="DE70" s="426"/>
      <c r="DF70" s="426"/>
      <c r="DG70" s="425"/>
      <c r="DH70" s="424"/>
      <c r="DI70" s="424"/>
      <c r="DJ70" s="425"/>
      <c r="DK70" s="426"/>
      <c r="DL70" s="426"/>
      <c r="DM70" s="425"/>
      <c r="DN70" s="424"/>
      <c r="DO70" s="424"/>
      <c r="DP70" s="425"/>
      <c r="DQ70" s="426"/>
      <c r="DR70" s="426"/>
      <c r="DS70" s="425"/>
      <c r="DT70" s="424"/>
      <c r="DU70" s="424"/>
      <c r="DV70" s="425"/>
      <c r="DW70" s="426"/>
      <c r="DX70" s="426"/>
      <c r="DY70" s="425"/>
      <c r="DZ70" s="424"/>
      <c r="EA70" s="424"/>
    </row>
    <row r="71" spans="3:131">
      <c r="C71" s="96" t="s">
        <v>983</v>
      </c>
      <c r="D71" s="65"/>
      <c r="E71" s="65"/>
      <c r="F71" s="437" t="s">
        <v>948</v>
      </c>
      <c r="G71" s="436" t="s">
        <v>949</v>
      </c>
      <c r="H71" s="412" t="s">
        <v>950</v>
      </c>
      <c r="I71" s="429"/>
      <c r="J71" s="429">
        <f t="shared" si="3"/>
        <v>0</v>
      </c>
      <c r="K71" s="428">
        <f t="shared" si="4"/>
        <v>0</v>
      </c>
      <c r="L71" s="427"/>
      <c r="M71" s="426"/>
      <c r="N71" s="426"/>
      <c r="O71" s="425"/>
      <c r="P71" s="424"/>
      <c r="Q71" s="424"/>
      <c r="R71" s="425"/>
      <c r="S71" s="426"/>
      <c r="T71" s="426"/>
      <c r="U71" s="425"/>
      <c r="V71" s="424"/>
      <c r="W71" s="424"/>
      <c r="X71" s="425"/>
      <c r="Y71" s="426"/>
      <c r="Z71" s="426"/>
      <c r="AA71" s="425"/>
      <c r="AB71" s="424"/>
      <c r="AC71" s="424"/>
      <c r="AD71" s="425"/>
      <c r="AE71" s="426"/>
      <c r="AF71" s="426"/>
      <c r="AG71" s="425"/>
      <c r="AH71" s="424"/>
      <c r="AI71" s="424"/>
      <c r="AJ71" s="425"/>
      <c r="AK71" s="426"/>
      <c r="AL71" s="426"/>
      <c r="AM71" s="425"/>
      <c r="AN71" s="424"/>
      <c r="AO71" s="424"/>
      <c r="AP71" s="425"/>
      <c r="AQ71" s="426"/>
      <c r="AR71" s="426"/>
      <c r="AS71" s="425"/>
      <c r="AT71" s="424"/>
      <c r="AU71" s="424"/>
      <c r="AV71" s="425"/>
      <c r="AW71" s="426"/>
      <c r="AX71" s="426"/>
      <c r="AY71" s="425"/>
      <c r="AZ71" s="424"/>
      <c r="BA71" s="424"/>
      <c r="BB71" s="425"/>
      <c r="BC71" s="426"/>
      <c r="BD71" s="426"/>
      <c r="BE71" s="425"/>
      <c r="BF71" s="424"/>
      <c r="BG71" s="424"/>
      <c r="BH71" s="425"/>
      <c r="BI71" s="426"/>
      <c r="BJ71" s="426"/>
      <c r="BK71" s="425"/>
      <c r="BL71" s="424"/>
      <c r="BM71" s="424"/>
      <c r="BN71" s="425"/>
      <c r="BO71" s="426"/>
      <c r="BP71" s="426"/>
      <c r="BQ71" s="425"/>
      <c r="BR71" s="424"/>
      <c r="BS71" s="424"/>
      <c r="BT71" s="425"/>
      <c r="BU71" s="426"/>
      <c r="BV71" s="426"/>
      <c r="BW71" s="425"/>
      <c r="BX71" s="424"/>
      <c r="BY71" s="424"/>
      <c r="BZ71" s="425"/>
      <c r="CA71" s="426"/>
      <c r="CB71" s="426"/>
      <c r="CC71" s="425"/>
      <c r="CD71" s="424"/>
      <c r="CE71" s="424"/>
      <c r="CF71" s="425"/>
      <c r="CG71" s="426"/>
      <c r="CH71" s="426"/>
      <c r="CI71" s="425"/>
      <c r="CJ71" s="424"/>
      <c r="CK71" s="424"/>
      <c r="CL71" s="425"/>
      <c r="CM71" s="426"/>
      <c r="CN71" s="426"/>
      <c r="CO71" s="425"/>
      <c r="CP71" s="424"/>
      <c r="CQ71" s="424"/>
      <c r="CR71" s="425"/>
      <c r="CS71" s="426"/>
      <c r="CT71" s="426"/>
      <c r="CU71" s="425"/>
      <c r="CV71" s="424"/>
      <c r="CW71" s="424"/>
      <c r="CX71" s="425"/>
      <c r="CY71" s="426"/>
      <c r="CZ71" s="426"/>
      <c r="DA71" s="425"/>
      <c r="DB71" s="424"/>
      <c r="DC71" s="424"/>
      <c r="DD71" s="425"/>
      <c r="DE71" s="426"/>
      <c r="DF71" s="426"/>
      <c r="DG71" s="425"/>
      <c r="DH71" s="424"/>
      <c r="DI71" s="424"/>
      <c r="DJ71" s="425"/>
      <c r="DK71" s="426"/>
      <c r="DL71" s="426"/>
      <c r="DM71" s="425"/>
      <c r="DN71" s="424"/>
      <c r="DO71" s="424"/>
      <c r="DP71" s="425"/>
      <c r="DQ71" s="426"/>
      <c r="DR71" s="426"/>
      <c r="DS71" s="425"/>
      <c r="DT71" s="424"/>
      <c r="DU71" s="424"/>
      <c r="DV71" s="425"/>
      <c r="DW71" s="426"/>
      <c r="DX71" s="426"/>
      <c r="DY71" s="425"/>
      <c r="DZ71" s="424"/>
      <c r="EA71" s="424"/>
    </row>
    <row r="72" spans="3:131">
      <c r="D72" s="446"/>
      <c r="E72" s="1" t="s">
        <v>968</v>
      </c>
      <c r="F72" s="432">
        <f>'MF Unit Material'!Y160</f>
        <v>550</v>
      </c>
      <c r="G72" s="431">
        <f>'MF Unit Material'!Z160</f>
        <v>39</v>
      </c>
      <c r="H72" s="158">
        <f>'MF Unit Material'!AA160</f>
        <v>21450</v>
      </c>
      <c r="I72" s="430">
        <f>F72-J72</f>
        <v>550</v>
      </c>
      <c r="J72" s="429">
        <f t="shared" si="3"/>
        <v>0</v>
      </c>
      <c r="K72" s="428">
        <f t="shared" si="4"/>
        <v>0</v>
      </c>
      <c r="L72" s="427"/>
      <c r="M72" s="426"/>
      <c r="N72" s="426"/>
      <c r="O72" s="425"/>
      <c r="P72" s="424"/>
      <c r="Q72" s="424"/>
      <c r="R72" s="425"/>
      <c r="S72" s="426"/>
      <c r="T72" s="426"/>
      <c r="U72" s="425"/>
      <c r="V72" s="424"/>
      <c r="W72" s="424"/>
      <c r="X72" s="425"/>
      <c r="Y72" s="426"/>
      <c r="Z72" s="426"/>
      <c r="AA72" s="425"/>
      <c r="AB72" s="424"/>
      <c r="AC72" s="424"/>
      <c r="AD72" s="425"/>
      <c r="AE72" s="426"/>
      <c r="AF72" s="426"/>
      <c r="AG72" s="425"/>
      <c r="AH72" s="424"/>
      <c r="AI72" s="424"/>
      <c r="AJ72" s="425"/>
      <c r="AK72" s="426"/>
      <c r="AL72" s="426"/>
      <c r="AM72" s="425"/>
      <c r="AN72" s="424"/>
      <c r="AO72" s="424"/>
      <c r="AP72" s="425"/>
      <c r="AQ72" s="426"/>
      <c r="AR72" s="426"/>
      <c r="AS72" s="425"/>
      <c r="AT72" s="424"/>
      <c r="AU72" s="424"/>
      <c r="AV72" s="425"/>
      <c r="AW72" s="426"/>
      <c r="AX72" s="426"/>
      <c r="AY72" s="425"/>
      <c r="AZ72" s="424"/>
      <c r="BA72" s="424"/>
      <c r="BB72" s="425"/>
      <c r="BC72" s="426"/>
      <c r="BD72" s="426"/>
      <c r="BE72" s="425"/>
      <c r="BF72" s="424"/>
      <c r="BG72" s="424"/>
      <c r="BH72" s="425"/>
      <c r="BI72" s="426"/>
      <c r="BJ72" s="426"/>
      <c r="BK72" s="425"/>
      <c r="BL72" s="424"/>
      <c r="BM72" s="424"/>
      <c r="BN72" s="425"/>
      <c r="BO72" s="426"/>
      <c r="BP72" s="426"/>
      <c r="BQ72" s="425"/>
      <c r="BR72" s="424"/>
      <c r="BS72" s="424"/>
      <c r="BT72" s="425"/>
      <c r="BU72" s="426"/>
      <c r="BV72" s="426"/>
      <c r="BW72" s="425"/>
      <c r="BX72" s="424"/>
      <c r="BY72" s="424"/>
      <c r="BZ72" s="425"/>
      <c r="CA72" s="426"/>
      <c r="CB72" s="426"/>
      <c r="CC72" s="425"/>
      <c r="CD72" s="424"/>
      <c r="CE72" s="424"/>
      <c r="CF72" s="425"/>
      <c r="CG72" s="426"/>
      <c r="CH72" s="426"/>
      <c r="CI72" s="425"/>
      <c r="CJ72" s="424"/>
      <c r="CK72" s="424"/>
      <c r="CL72" s="425"/>
      <c r="CM72" s="426"/>
      <c r="CN72" s="426"/>
      <c r="CO72" s="425"/>
      <c r="CP72" s="424"/>
      <c r="CQ72" s="424"/>
      <c r="CR72" s="425"/>
      <c r="CS72" s="426"/>
      <c r="CT72" s="426"/>
      <c r="CU72" s="425"/>
      <c r="CV72" s="424"/>
      <c r="CW72" s="424"/>
      <c r="CX72" s="425"/>
      <c r="CY72" s="426"/>
      <c r="CZ72" s="426"/>
      <c r="DA72" s="425"/>
      <c r="DB72" s="424"/>
      <c r="DC72" s="424"/>
      <c r="DD72" s="425"/>
      <c r="DE72" s="426"/>
      <c r="DF72" s="426"/>
      <c r="DG72" s="425"/>
      <c r="DH72" s="424"/>
      <c r="DI72" s="424"/>
      <c r="DJ72" s="425"/>
      <c r="DK72" s="426"/>
      <c r="DL72" s="426"/>
      <c r="DM72" s="425"/>
      <c r="DN72" s="424"/>
      <c r="DO72" s="424"/>
      <c r="DP72" s="425"/>
      <c r="DQ72" s="426"/>
      <c r="DR72" s="426"/>
      <c r="DS72" s="425"/>
      <c r="DT72" s="424"/>
      <c r="DU72" s="424"/>
      <c r="DV72" s="425"/>
      <c r="DW72" s="426"/>
      <c r="DX72" s="426"/>
      <c r="DY72" s="425"/>
      <c r="DZ72" s="424"/>
      <c r="EA72" s="424"/>
    </row>
    <row r="73" spans="3:131">
      <c r="C73" s="423"/>
      <c r="D73" s="1"/>
      <c r="E73" s="16" t="s">
        <v>961</v>
      </c>
      <c r="F73" s="422">
        <f>'MF Unit Material'!Y162</f>
        <v>550</v>
      </c>
      <c r="G73" s="421">
        <f>'MF Unit Material'!Z162</f>
        <v>0</v>
      </c>
      <c r="H73" s="420">
        <f>'MF Unit Material'!AA162</f>
        <v>21450</v>
      </c>
      <c r="I73" s="429"/>
      <c r="J73" s="429">
        <f t="shared" si="3"/>
        <v>0</v>
      </c>
      <c r="K73" s="428">
        <f t="shared" si="4"/>
        <v>0</v>
      </c>
      <c r="L73" s="427"/>
      <c r="M73" s="426"/>
      <c r="N73" s="426"/>
      <c r="O73" s="425"/>
      <c r="P73" s="424"/>
      <c r="Q73" s="424"/>
      <c r="R73" s="425"/>
      <c r="S73" s="426"/>
      <c r="T73" s="426"/>
      <c r="U73" s="425"/>
      <c r="V73" s="424"/>
      <c r="W73" s="424"/>
      <c r="X73" s="425"/>
      <c r="Y73" s="426"/>
      <c r="Z73" s="426"/>
      <c r="AA73" s="425"/>
      <c r="AB73" s="424"/>
      <c r="AC73" s="424"/>
      <c r="AD73" s="425"/>
      <c r="AE73" s="426"/>
      <c r="AF73" s="426"/>
      <c r="AG73" s="425"/>
      <c r="AH73" s="424"/>
      <c r="AI73" s="424"/>
      <c r="AJ73" s="425"/>
      <c r="AK73" s="426"/>
      <c r="AL73" s="426"/>
      <c r="AM73" s="425"/>
      <c r="AN73" s="424"/>
      <c r="AO73" s="424"/>
      <c r="AP73" s="425"/>
      <c r="AQ73" s="426"/>
      <c r="AR73" s="426"/>
      <c r="AS73" s="425"/>
      <c r="AT73" s="424"/>
      <c r="AU73" s="424"/>
      <c r="AV73" s="425"/>
      <c r="AW73" s="426"/>
      <c r="AX73" s="426"/>
      <c r="AY73" s="425"/>
      <c r="AZ73" s="424"/>
      <c r="BA73" s="424"/>
      <c r="BB73" s="425"/>
      <c r="BC73" s="426"/>
      <c r="BD73" s="426"/>
      <c r="BE73" s="425"/>
      <c r="BF73" s="424"/>
      <c r="BG73" s="424"/>
      <c r="BH73" s="425"/>
      <c r="BI73" s="426"/>
      <c r="BJ73" s="426"/>
      <c r="BK73" s="425"/>
      <c r="BL73" s="424"/>
      <c r="BM73" s="424"/>
      <c r="BN73" s="425"/>
      <c r="BO73" s="426"/>
      <c r="BP73" s="426"/>
      <c r="BQ73" s="425"/>
      <c r="BR73" s="424"/>
      <c r="BS73" s="424"/>
      <c r="BT73" s="425"/>
      <c r="BU73" s="426"/>
      <c r="BV73" s="426"/>
      <c r="BW73" s="425"/>
      <c r="BX73" s="424"/>
      <c r="BY73" s="424"/>
      <c r="BZ73" s="425"/>
      <c r="CA73" s="426"/>
      <c r="CB73" s="426"/>
      <c r="CC73" s="425"/>
      <c r="CD73" s="424"/>
      <c r="CE73" s="424"/>
      <c r="CF73" s="425"/>
      <c r="CG73" s="426"/>
      <c r="CH73" s="426"/>
      <c r="CI73" s="425"/>
      <c r="CJ73" s="424"/>
      <c r="CK73" s="424"/>
      <c r="CL73" s="425"/>
      <c r="CM73" s="426"/>
      <c r="CN73" s="426"/>
      <c r="CO73" s="425"/>
      <c r="CP73" s="424"/>
      <c r="CQ73" s="424"/>
      <c r="CR73" s="425"/>
      <c r="CS73" s="426"/>
      <c r="CT73" s="426"/>
      <c r="CU73" s="425"/>
      <c r="CV73" s="424"/>
      <c r="CW73" s="424"/>
      <c r="CX73" s="425"/>
      <c r="CY73" s="426"/>
      <c r="CZ73" s="426"/>
      <c r="DA73" s="425"/>
      <c r="DB73" s="424"/>
      <c r="DC73" s="424"/>
      <c r="DD73" s="425"/>
      <c r="DE73" s="426"/>
      <c r="DF73" s="426"/>
      <c r="DG73" s="425"/>
      <c r="DH73" s="424"/>
      <c r="DI73" s="424"/>
      <c r="DJ73" s="425"/>
      <c r="DK73" s="426"/>
      <c r="DL73" s="426"/>
      <c r="DM73" s="425"/>
      <c r="DN73" s="424"/>
      <c r="DO73" s="424"/>
      <c r="DP73" s="425"/>
      <c r="DQ73" s="426"/>
      <c r="DR73" s="426"/>
      <c r="DS73" s="425"/>
      <c r="DT73" s="424"/>
      <c r="DU73" s="424"/>
      <c r="DV73" s="425"/>
      <c r="DW73" s="426"/>
      <c r="DX73" s="426"/>
      <c r="DY73" s="425"/>
      <c r="DZ73" s="424"/>
      <c r="EA73" s="424"/>
    </row>
    <row r="74" spans="3:131">
      <c r="C74" s="96" t="s">
        <v>984</v>
      </c>
      <c r="D74" s="65"/>
      <c r="E74" s="65"/>
      <c r="F74" s="437" t="s">
        <v>948</v>
      </c>
      <c r="G74" s="436" t="s">
        <v>949</v>
      </c>
      <c r="H74" s="412" t="s">
        <v>950</v>
      </c>
      <c r="I74" s="429"/>
      <c r="J74" s="429">
        <f t="shared" si="3"/>
        <v>0</v>
      </c>
      <c r="K74" s="428">
        <f t="shared" si="4"/>
        <v>0</v>
      </c>
      <c r="L74" s="427"/>
      <c r="M74" s="426"/>
      <c r="N74" s="426"/>
      <c r="O74" s="425"/>
      <c r="P74" s="424"/>
      <c r="Q74" s="424"/>
      <c r="R74" s="425"/>
      <c r="S74" s="426"/>
      <c r="T74" s="426"/>
      <c r="U74" s="425"/>
      <c r="V74" s="424"/>
      <c r="W74" s="424"/>
      <c r="X74" s="425"/>
      <c r="Y74" s="426"/>
      <c r="Z74" s="426"/>
      <c r="AA74" s="425"/>
      <c r="AB74" s="424"/>
      <c r="AC74" s="424"/>
      <c r="AD74" s="425"/>
      <c r="AE74" s="426"/>
      <c r="AF74" s="426"/>
      <c r="AG74" s="425"/>
      <c r="AH74" s="424"/>
      <c r="AI74" s="424"/>
      <c r="AJ74" s="425"/>
      <c r="AK74" s="426"/>
      <c r="AL74" s="426"/>
      <c r="AM74" s="425"/>
      <c r="AN74" s="424"/>
      <c r="AO74" s="424"/>
      <c r="AP74" s="425"/>
      <c r="AQ74" s="426"/>
      <c r="AR74" s="426"/>
      <c r="AS74" s="425"/>
      <c r="AT74" s="424"/>
      <c r="AU74" s="424"/>
      <c r="AV74" s="425"/>
      <c r="AW74" s="426"/>
      <c r="AX74" s="426"/>
      <c r="AY74" s="425"/>
      <c r="AZ74" s="424"/>
      <c r="BA74" s="424"/>
      <c r="BB74" s="425"/>
      <c r="BC74" s="426"/>
      <c r="BD74" s="426"/>
      <c r="BE74" s="425"/>
      <c r="BF74" s="424"/>
      <c r="BG74" s="424"/>
      <c r="BH74" s="425"/>
      <c r="BI74" s="426"/>
      <c r="BJ74" s="426"/>
      <c r="BK74" s="425"/>
      <c r="BL74" s="424"/>
      <c r="BM74" s="424"/>
      <c r="BN74" s="425"/>
      <c r="BO74" s="426"/>
      <c r="BP74" s="426"/>
      <c r="BQ74" s="425"/>
      <c r="BR74" s="424"/>
      <c r="BS74" s="424"/>
      <c r="BT74" s="425"/>
      <c r="BU74" s="426"/>
      <c r="BV74" s="426"/>
      <c r="BW74" s="425"/>
      <c r="BX74" s="424"/>
      <c r="BY74" s="424"/>
      <c r="BZ74" s="425"/>
      <c r="CA74" s="426"/>
      <c r="CB74" s="426"/>
      <c r="CC74" s="425"/>
      <c r="CD74" s="424"/>
      <c r="CE74" s="424"/>
      <c r="CF74" s="425"/>
      <c r="CG74" s="426"/>
      <c r="CH74" s="426"/>
      <c r="CI74" s="425"/>
      <c r="CJ74" s="424"/>
      <c r="CK74" s="424"/>
      <c r="CL74" s="425"/>
      <c r="CM74" s="426"/>
      <c r="CN74" s="426"/>
      <c r="CO74" s="425"/>
      <c r="CP74" s="424"/>
      <c r="CQ74" s="424"/>
      <c r="CR74" s="425"/>
      <c r="CS74" s="426"/>
      <c r="CT74" s="426"/>
      <c r="CU74" s="425"/>
      <c r="CV74" s="424"/>
      <c r="CW74" s="424"/>
      <c r="CX74" s="425"/>
      <c r="CY74" s="426"/>
      <c r="CZ74" s="426"/>
      <c r="DA74" s="425"/>
      <c r="DB74" s="424"/>
      <c r="DC74" s="424"/>
      <c r="DD74" s="425"/>
      <c r="DE74" s="426"/>
      <c r="DF74" s="426"/>
      <c r="DG74" s="425"/>
      <c r="DH74" s="424"/>
      <c r="DI74" s="424"/>
      <c r="DJ74" s="425"/>
      <c r="DK74" s="426"/>
      <c r="DL74" s="426"/>
      <c r="DM74" s="425"/>
      <c r="DN74" s="424"/>
      <c r="DO74" s="424"/>
      <c r="DP74" s="425"/>
      <c r="DQ74" s="426"/>
      <c r="DR74" s="426"/>
      <c r="DS74" s="425"/>
      <c r="DT74" s="424"/>
      <c r="DU74" s="424"/>
      <c r="DV74" s="425"/>
      <c r="DW74" s="426"/>
      <c r="DX74" s="426"/>
      <c r="DY74" s="425"/>
      <c r="DZ74" s="424"/>
      <c r="EA74" s="424"/>
    </row>
    <row r="75" spans="3:131">
      <c r="D75" s="446"/>
      <c r="E75" s="460" t="s">
        <v>968</v>
      </c>
      <c r="F75" s="432">
        <f>'MF Unit Material'!Y164</f>
        <v>346</v>
      </c>
      <c r="G75" s="431">
        <f>'MF Unit Material'!Z164</f>
        <v>35</v>
      </c>
      <c r="H75" s="158">
        <f>'MF Unit Material'!AA164</f>
        <v>12110</v>
      </c>
      <c r="I75" s="430">
        <f>F75-J75</f>
        <v>346</v>
      </c>
      <c r="J75" s="429">
        <f t="shared" si="3"/>
        <v>0</v>
      </c>
      <c r="K75" s="428">
        <f t="shared" si="4"/>
        <v>0</v>
      </c>
      <c r="L75" s="427"/>
      <c r="M75" s="426"/>
      <c r="N75" s="426"/>
      <c r="O75" s="425"/>
      <c r="P75" s="424"/>
      <c r="Q75" s="424"/>
      <c r="R75" s="425"/>
      <c r="S75" s="426"/>
      <c r="T75" s="426"/>
      <c r="U75" s="425"/>
      <c r="V75" s="424"/>
      <c r="W75" s="424"/>
      <c r="X75" s="425"/>
      <c r="Y75" s="426"/>
      <c r="Z75" s="426"/>
      <c r="AA75" s="425"/>
      <c r="AB75" s="424"/>
      <c r="AC75" s="424"/>
      <c r="AD75" s="425"/>
      <c r="AE75" s="426"/>
      <c r="AF75" s="426"/>
      <c r="AG75" s="425"/>
      <c r="AH75" s="424"/>
      <c r="AI75" s="424"/>
      <c r="AJ75" s="425"/>
      <c r="AK75" s="426"/>
      <c r="AL75" s="426"/>
      <c r="AM75" s="425"/>
      <c r="AN75" s="424"/>
      <c r="AO75" s="424"/>
      <c r="AP75" s="425"/>
      <c r="AQ75" s="426"/>
      <c r="AR75" s="426"/>
      <c r="AS75" s="425"/>
      <c r="AT75" s="424"/>
      <c r="AU75" s="424"/>
      <c r="AV75" s="425"/>
      <c r="AW75" s="426"/>
      <c r="AX75" s="426"/>
      <c r="AY75" s="425"/>
      <c r="AZ75" s="424"/>
      <c r="BA75" s="424"/>
      <c r="BB75" s="425"/>
      <c r="BC75" s="426"/>
      <c r="BD75" s="426"/>
      <c r="BE75" s="425"/>
      <c r="BF75" s="424"/>
      <c r="BG75" s="424"/>
      <c r="BH75" s="425"/>
      <c r="BI75" s="426"/>
      <c r="BJ75" s="426"/>
      <c r="BK75" s="425"/>
      <c r="BL75" s="424"/>
      <c r="BM75" s="424"/>
      <c r="BN75" s="425"/>
      <c r="BO75" s="426"/>
      <c r="BP75" s="426"/>
      <c r="BQ75" s="425"/>
      <c r="BR75" s="424"/>
      <c r="BS75" s="424"/>
      <c r="BT75" s="425"/>
      <c r="BU75" s="426"/>
      <c r="BV75" s="426"/>
      <c r="BW75" s="425"/>
      <c r="BX75" s="424"/>
      <c r="BY75" s="424"/>
      <c r="BZ75" s="425"/>
      <c r="CA75" s="426"/>
      <c r="CB75" s="426"/>
      <c r="CC75" s="425"/>
      <c r="CD75" s="424"/>
      <c r="CE75" s="424"/>
      <c r="CF75" s="425"/>
      <c r="CG75" s="426"/>
      <c r="CH75" s="426"/>
      <c r="CI75" s="425"/>
      <c r="CJ75" s="424"/>
      <c r="CK75" s="424"/>
      <c r="CL75" s="425"/>
      <c r="CM75" s="426"/>
      <c r="CN75" s="426"/>
      <c r="CO75" s="425"/>
      <c r="CP75" s="424"/>
      <c r="CQ75" s="424"/>
      <c r="CR75" s="425"/>
      <c r="CS75" s="426"/>
      <c r="CT75" s="426"/>
      <c r="CU75" s="425"/>
      <c r="CV75" s="424"/>
      <c r="CW75" s="424"/>
      <c r="CX75" s="425"/>
      <c r="CY75" s="426"/>
      <c r="CZ75" s="426"/>
      <c r="DA75" s="425"/>
      <c r="DB75" s="424"/>
      <c r="DC75" s="424"/>
      <c r="DD75" s="425"/>
      <c r="DE75" s="426"/>
      <c r="DF75" s="426"/>
      <c r="DG75" s="425"/>
      <c r="DH75" s="424"/>
      <c r="DI75" s="424"/>
      <c r="DJ75" s="425"/>
      <c r="DK75" s="426"/>
      <c r="DL75" s="426"/>
      <c r="DM75" s="425"/>
      <c r="DN75" s="424"/>
      <c r="DO75" s="424"/>
      <c r="DP75" s="425"/>
      <c r="DQ75" s="426"/>
      <c r="DR75" s="426"/>
      <c r="DS75" s="425"/>
      <c r="DT75" s="424"/>
      <c r="DU75" s="424"/>
      <c r="DV75" s="425"/>
      <c r="DW75" s="426"/>
      <c r="DX75" s="426"/>
      <c r="DY75" s="425"/>
      <c r="DZ75" s="424"/>
      <c r="EA75" s="424"/>
    </row>
    <row r="76" spans="3:131">
      <c r="C76" s="423"/>
      <c r="D76" s="1"/>
      <c r="E76" s="16" t="s">
        <v>961</v>
      </c>
      <c r="F76" s="422">
        <f>'MF Unit Material'!Y166</f>
        <v>346</v>
      </c>
      <c r="G76" s="421">
        <f>'MF Unit Material'!Z166</f>
        <v>0</v>
      </c>
      <c r="H76" s="420">
        <f>'MF Unit Material'!AA166</f>
        <v>12110</v>
      </c>
      <c r="I76" s="429"/>
      <c r="J76" s="429">
        <f t="shared" si="3"/>
        <v>0</v>
      </c>
      <c r="K76" s="428">
        <f t="shared" si="4"/>
        <v>0</v>
      </c>
      <c r="L76" s="427"/>
      <c r="M76" s="426"/>
      <c r="N76" s="426"/>
      <c r="O76" s="425"/>
      <c r="P76" s="424"/>
      <c r="Q76" s="424"/>
      <c r="R76" s="425"/>
      <c r="S76" s="426"/>
      <c r="T76" s="426"/>
      <c r="U76" s="425"/>
      <c r="V76" s="424"/>
      <c r="W76" s="424"/>
      <c r="X76" s="425"/>
      <c r="Y76" s="426"/>
      <c r="Z76" s="426"/>
      <c r="AA76" s="425"/>
      <c r="AB76" s="424"/>
      <c r="AC76" s="424"/>
      <c r="AD76" s="425"/>
      <c r="AE76" s="426"/>
      <c r="AF76" s="426"/>
      <c r="AG76" s="425"/>
      <c r="AH76" s="424"/>
      <c r="AI76" s="424"/>
      <c r="AJ76" s="425"/>
      <c r="AK76" s="426"/>
      <c r="AL76" s="426"/>
      <c r="AM76" s="425"/>
      <c r="AN76" s="424"/>
      <c r="AO76" s="424"/>
      <c r="AP76" s="425"/>
      <c r="AQ76" s="426"/>
      <c r="AR76" s="426"/>
      <c r="AS76" s="425"/>
      <c r="AT76" s="424"/>
      <c r="AU76" s="424"/>
      <c r="AV76" s="425"/>
      <c r="AW76" s="426"/>
      <c r="AX76" s="426"/>
      <c r="AY76" s="425"/>
      <c r="AZ76" s="424"/>
      <c r="BA76" s="424"/>
      <c r="BB76" s="425"/>
      <c r="BC76" s="426"/>
      <c r="BD76" s="426"/>
      <c r="BE76" s="425"/>
      <c r="BF76" s="424"/>
      <c r="BG76" s="424"/>
      <c r="BH76" s="425"/>
      <c r="BI76" s="426"/>
      <c r="BJ76" s="426"/>
      <c r="BK76" s="425"/>
      <c r="BL76" s="424"/>
      <c r="BM76" s="424"/>
      <c r="BN76" s="425"/>
      <c r="BO76" s="426"/>
      <c r="BP76" s="426"/>
      <c r="BQ76" s="425"/>
      <c r="BR76" s="424"/>
      <c r="BS76" s="424"/>
      <c r="BT76" s="425"/>
      <c r="BU76" s="426"/>
      <c r="BV76" s="426"/>
      <c r="BW76" s="425"/>
      <c r="BX76" s="424"/>
      <c r="BY76" s="424"/>
      <c r="BZ76" s="425"/>
      <c r="CA76" s="426"/>
      <c r="CB76" s="426"/>
      <c r="CC76" s="425"/>
      <c r="CD76" s="424"/>
      <c r="CE76" s="424"/>
      <c r="CF76" s="425"/>
      <c r="CG76" s="426"/>
      <c r="CH76" s="426"/>
      <c r="CI76" s="425"/>
      <c r="CJ76" s="424"/>
      <c r="CK76" s="424"/>
      <c r="CL76" s="425"/>
      <c r="CM76" s="426"/>
      <c r="CN76" s="426"/>
      <c r="CO76" s="425"/>
      <c r="CP76" s="424"/>
      <c r="CQ76" s="424"/>
      <c r="CR76" s="425"/>
      <c r="CS76" s="426"/>
      <c r="CT76" s="426"/>
      <c r="CU76" s="425"/>
      <c r="CV76" s="424"/>
      <c r="CW76" s="424"/>
      <c r="CX76" s="425"/>
      <c r="CY76" s="426"/>
      <c r="CZ76" s="426"/>
      <c r="DA76" s="425"/>
      <c r="DB76" s="424"/>
      <c r="DC76" s="424"/>
      <c r="DD76" s="425"/>
      <c r="DE76" s="426"/>
      <c r="DF76" s="426"/>
      <c r="DG76" s="425"/>
      <c r="DH76" s="424"/>
      <c r="DI76" s="424"/>
      <c r="DJ76" s="425"/>
      <c r="DK76" s="426"/>
      <c r="DL76" s="426"/>
      <c r="DM76" s="425"/>
      <c r="DN76" s="424"/>
      <c r="DO76" s="424"/>
      <c r="DP76" s="425"/>
      <c r="DQ76" s="426"/>
      <c r="DR76" s="426"/>
      <c r="DS76" s="425"/>
      <c r="DT76" s="424"/>
      <c r="DU76" s="424"/>
      <c r="DV76" s="425"/>
      <c r="DW76" s="426"/>
      <c r="DX76" s="426"/>
      <c r="DY76" s="425"/>
      <c r="DZ76" s="424"/>
      <c r="EA76" s="424"/>
    </row>
    <row r="77" spans="3:131">
      <c r="C77" s="96" t="s">
        <v>985</v>
      </c>
      <c r="D77" s="65"/>
      <c r="E77" s="65"/>
      <c r="F77" s="437" t="s">
        <v>948</v>
      </c>
      <c r="G77" s="436" t="s">
        <v>949</v>
      </c>
      <c r="H77" s="412" t="s">
        <v>950</v>
      </c>
      <c r="I77" s="429"/>
      <c r="J77" s="429">
        <f t="shared" si="3"/>
        <v>0</v>
      </c>
      <c r="K77" s="428">
        <f t="shared" si="4"/>
        <v>0</v>
      </c>
      <c r="L77" s="427"/>
      <c r="M77" s="426"/>
      <c r="N77" s="426"/>
      <c r="O77" s="425"/>
      <c r="P77" s="424"/>
      <c r="Q77" s="424"/>
      <c r="R77" s="425"/>
      <c r="S77" s="426"/>
      <c r="T77" s="426"/>
      <c r="U77" s="425"/>
      <c r="V77" s="424"/>
      <c r="W77" s="424"/>
      <c r="X77" s="425"/>
      <c r="Y77" s="426"/>
      <c r="Z77" s="426"/>
      <c r="AA77" s="425"/>
      <c r="AB77" s="424"/>
      <c r="AC77" s="424"/>
      <c r="AD77" s="425"/>
      <c r="AE77" s="426"/>
      <c r="AF77" s="426"/>
      <c r="AG77" s="425"/>
      <c r="AH77" s="424"/>
      <c r="AI77" s="424"/>
      <c r="AJ77" s="425"/>
      <c r="AK77" s="426"/>
      <c r="AL77" s="426"/>
      <c r="AM77" s="425"/>
      <c r="AN77" s="424"/>
      <c r="AO77" s="424"/>
      <c r="AP77" s="425"/>
      <c r="AQ77" s="426"/>
      <c r="AR77" s="426"/>
      <c r="AS77" s="425"/>
      <c r="AT77" s="424"/>
      <c r="AU77" s="424"/>
      <c r="AV77" s="425"/>
      <c r="AW77" s="426"/>
      <c r="AX77" s="426"/>
      <c r="AY77" s="425"/>
      <c r="AZ77" s="424"/>
      <c r="BA77" s="424"/>
      <c r="BB77" s="425"/>
      <c r="BC77" s="426"/>
      <c r="BD77" s="426"/>
      <c r="BE77" s="425"/>
      <c r="BF77" s="424"/>
      <c r="BG77" s="424"/>
      <c r="BH77" s="425"/>
      <c r="BI77" s="426"/>
      <c r="BJ77" s="426"/>
      <c r="BK77" s="425"/>
      <c r="BL77" s="424"/>
      <c r="BM77" s="424"/>
      <c r="BN77" s="425"/>
      <c r="BO77" s="426"/>
      <c r="BP77" s="426"/>
      <c r="BQ77" s="425"/>
      <c r="BR77" s="424"/>
      <c r="BS77" s="424"/>
      <c r="BT77" s="425"/>
      <c r="BU77" s="426"/>
      <c r="BV77" s="426"/>
      <c r="BW77" s="425"/>
      <c r="BX77" s="424"/>
      <c r="BY77" s="424"/>
      <c r="BZ77" s="425"/>
      <c r="CA77" s="426"/>
      <c r="CB77" s="426"/>
      <c r="CC77" s="425"/>
      <c r="CD77" s="424"/>
      <c r="CE77" s="424"/>
      <c r="CF77" s="425"/>
      <c r="CG77" s="426"/>
      <c r="CH77" s="426"/>
      <c r="CI77" s="425"/>
      <c r="CJ77" s="424"/>
      <c r="CK77" s="424"/>
      <c r="CL77" s="425"/>
      <c r="CM77" s="426"/>
      <c r="CN77" s="426"/>
      <c r="CO77" s="425"/>
      <c r="CP77" s="424"/>
      <c r="CQ77" s="424"/>
      <c r="CR77" s="425"/>
      <c r="CS77" s="426"/>
      <c r="CT77" s="426"/>
      <c r="CU77" s="425"/>
      <c r="CV77" s="424"/>
      <c r="CW77" s="424"/>
      <c r="CX77" s="425"/>
      <c r="CY77" s="426"/>
      <c r="CZ77" s="426"/>
      <c r="DA77" s="425"/>
      <c r="DB77" s="424"/>
      <c r="DC77" s="424"/>
      <c r="DD77" s="425"/>
      <c r="DE77" s="426"/>
      <c r="DF77" s="426"/>
      <c r="DG77" s="425"/>
      <c r="DH77" s="424"/>
      <c r="DI77" s="424"/>
      <c r="DJ77" s="425"/>
      <c r="DK77" s="426"/>
      <c r="DL77" s="426"/>
      <c r="DM77" s="425"/>
      <c r="DN77" s="424"/>
      <c r="DO77" s="424"/>
      <c r="DP77" s="425"/>
      <c r="DQ77" s="426"/>
      <c r="DR77" s="426"/>
      <c r="DS77" s="425"/>
      <c r="DT77" s="424"/>
      <c r="DU77" s="424"/>
      <c r="DV77" s="425"/>
      <c r="DW77" s="426"/>
      <c r="DX77" s="426"/>
      <c r="DY77" s="425"/>
      <c r="DZ77" s="424"/>
      <c r="EA77" s="424"/>
    </row>
    <row r="78" spans="3:131">
      <c r="D78" s="446"/>
      <c r="E78" s="460" t="s">
        <v>968</v>
      </c>
      <c r="F78" s="432">
        <f>'MF Unit Material'!Y168</f>
        <v>0</v>
      </c>
      <c r="G78" s="431">
        <f>'MF Unit Material'!Z168</f>
        <v>29</v>
      </c>
      <c r="H78" s="158">
        <f>'MF Unit Material'!AA168</f>
        <v>0</v>
      </c>
      <c r="I78" s="430">
        <f>F78-J78</f>
        <v>0</v>
      </c>
      <c r="J78" s="429">
        <f t="shared" si="3"/>
        <v>0</v>
      </c>
      <c r="K78" s="428">
        <f t="shared" si="4"/>
        <v>0</v>
      </c>
      <c r="L78" s="427"/>
      <c r="M78" s="426"/>
      <c r="N78" s="426"/>
      <c r="O78" s="425"/>
      <c r="P78" s="424"/>
      <c r="Q78" s="424"/>
      <c r="R78" s="425"/>
      <c r="S78" s="426"/>
      <c r="T78" s="426"/>
      <c r="U78" s="425"/>
      <c r="V78" s="424"/>
      <c r="W78" s="424"/>
      <c r="X78" s="425"/>
      <c r="Y78" s="426"/>
      <c r="Z78" s="426"/>
      <c r="AA78" s="425"/>
      <c r="AB78" s="424"/>
      <c r="AC78" s="424"/>
      <c r="AD78" s="425"/>
      <c r="AE78" s="426"/>
      <c r="AF78" s="426"/>
      <c r="AG78" s="425"/>
      <c r="AH78" s="424"/>
      <c r="AI78" s="424"/>
      <c r="AJ78" s="425"/>
      <c r="AK78" s="426"/>
      <c r="AL78" s="426"/>
      <c r="AM78" s="425"/>
      <c r="AN78" s="424"/>
      <c r="AO78" s="424"/>
      <c r="AP78" s="425"/>
      <c r="AQ78" s="426"/>
      <c r="AR78" s="426"/>
      <c r="AS78" s="425"/>
      <c r="AT78" s="424"/>
      <c r="AU78" s="424"/>
      <c r="AV78" s="425"/>
      <c r="AW78" s="426"/>
      <c r="AX78" s="426"/>
      <c r="AY78" s="425"/>
      <c r="AZ78" s="424"/>
      <c r="BA78" s="424"/>
      <c r="BB78" s="425"/>
      <c r="BC78" s="426"/>
      <c r="BD78" s="426"/>
      <c r="BE78" s="425"/>
      <c r="BF78" s="424"/>
      <c r="BG78" s="424"/>
      <c r="BH78" s="425"/>
      <c r="BI78" s="426"/>
      <c r="BJ78" s="426"/>
      <c r="BK78" s="425"/>
      <c r="BL78" s="424"/>
      <c r="BM78" s="424"/>
      <c r="BN78" s="425"/>
      <c r="BO78" s="426"/>
      <c r="BP78" s="426"/>
      <c r="BQ78" s="425"/>
      <c r="BR78" s="424"/>
      <c r="BS78" s="424"/>
      <c r="BT78" s="425"/>
      <c r="BU78" s="426"/>
      <c r="BV78" s="426"/>
      <c r="BW78" s="425"/>
      <c r="BX78" s="424"/>
      <c r="BY78" s="424"/>
      <c r="BZ78" s="425"/>
      <c r="CA78" s="426"/>
      <c r="CB78" s="426"/>
      <c r="CC78" s="425"/>
      <c r="CD78" s="424"/>
      <c r="CE78" s="424"/>
      <c r="CF78" s="425"/>
      <c r="CG78" s="426"/>
      <c r="CH78" s="426"/>
      <c r="CI78" s="425"/>
      <c r="CJ78" s="424"/>
      <c r="CK78" s="424"/>
      <c r="CL78" s="425"/>
      <c r="CM78" s="426"/>
      <c r="CN78" s="426"/>
      <c r="CO78" s="425"/>
      <c r="CP78" s="424"/>
      <c r="CQ78" s="424"/>
      <c r="CR78" s="425"/>
      <c r="CS78" s="426"/>
      <c r="CT78" s="426"/>
      <c r="CU78" s="425"/>
      <c r="CV78" s="424"/>
      <c r="CW78" s="424"/>
      <c r="CX78" s="425"/>
      <c r="CY78" s="426"/>
      <c r="CZ78" s="426"/>
      <c r="DA78" s="425"/>
      <c r="DB78" s="424"/>
      <c r="DC78" s="424"/>
      <c r="DD78" s="425"/>
      <c r="DE78" s="426"/>
      <c r="DF78" s="426"/>
      <c r="DG78" s="425"/>
      <c r="DH78" s="424"/>
      <c r="DI78" s="424"/>
      <c r="DJ78" s="425"/>
      <c r="DK78" s="426"/>
      <c r="DL78" s="426"/>
      <c r="DM78" s="425"/>
      <c r="DN78" s="424"/>
      <c r="DO78" s="424"/>
      <c r="DP78" s="425"/>
      <c r="DQ78" s="426"/>
      <c r="DR78" s="426"/>
      <c r="DS78" s="425"/>
      <c r="DT78" s="424"/>
      <c r="DU78" s="424"/>
      <c r="DV78" s="425"/>
      <c r="DW78" s="426"/>
      <c r="DX78" s="426"/>
      <c r="DY78" s="425"/>
      <c r="DZ78" s="424"/>
      <c r="EA78" s="424"/>
    </row>
    <row r="79" spans="3:131">
      <c r="C79" s="423"/>
      <c r="D79" s="1"/>
      <c r="E79" s="16" t="s">
        <v>961</v>
      </c>
      <c r="F79" s="422">
        <f>'MF Unit Material'!Y170</f>
        <v>0</v>
      </c>
      <c r="G79" s="421">
        <f>'MF Unit Material'!Z170</f>
        <v>0</v>
      </c>
      <c r="H79" s="420">
        <f>'MF Unit Material'!AA170</f>
        <v>0</v>
      </c>
      <c r="I79" s="429"/>
      <c r="J79" s="429">
        <f t="shared" si="3"/>
        <v>0</v>
      </c>
      <c r="K79" s="428">
        <f t="shared" si="4"/>
        <v>0</v>
      </c>
      <c r="L79" s="427"/>
      <c r="M79" s="426"/>
      <c r="N79" s="426"/>
      <c r="O79" s="425"/>
      <c r="P79" s="424"/>
      <c r="Q79" s="424"/>
      <c r="R79" s="425"/>
      <c r="S79" s="426"/>
      <c r="T79" s="426"/>
      <c r="U79" s="425"/>
      <c r="V79" s="424"/>
      <c r="W79" s="424"/>
      <c r="X79" s="425"/>
      <c r="Y79" s="426"/>
      <c r="Z79" s="426"/>
      <c r="AA79" s="425"/>
      <c r="AB79" s="424"/>
      <c r="AC79" s="424"/>
      <c r="AD79" s="425"/>
      <c r="AE79" s="426"/>
      <c r="AF79" s="426"/>
      <c r="AG79" s="425"/>
      <c r="AH79" s="424"/>
      <c r="AI79" s="424"/>
      <c r="AJ79" s="425"/>
      <c r="AK79" s="426"/>
      <c r="AL79" s="426"/>
      <c r="AM79" s="425"/>
      <c r="AN79" s="424"/>
      <c r="AO79" s="424"/>
      <c r="AP79" s="425"/>
      <c r="AQ79" s="426"/>
      <c r="AR79" s="426"/>
      <c r="AS79" s="425"/>
      <c r="AT79" s="424"/>
      <c r="AU79" s="424"/>
      <c r="AV79" s="425"/>
      <c r="AW79" s="426"/>
      <c r="AX79" s="426"/>
      <c r="AY79" s="425"/>
      <c r="AZ79" s="424"/>
      <c r="BA79" s="424"/>
      <c r="BB79" s="425"/>
      <c r="BC79" s="426"/>
      <c r="BD79" s="426"/>
      <c r="BE79" s="425"/>
      <c r="BF79" s="424"/>
      <c r="BG79" s="424"/>
      <c r="BH79" s="425"/>
      <c r="BI79" s="426"/>
      <c r="BJ79" s="426"/>
      <c r="BK79" s="425"/>
      <c r="BL79" s="424"/>
      <c r="BM79" s="424"/>
      <c r="BN79" s="425"/>
      <c r="BO79" s="426"/>
      <c r="BP79" s="426"/>
      <c r="BQ79" s="425"/>
      <c r="BR79" s="424"/>
      <c r="BS79" s="424"/>
      <c r="BT79" s="425"/>
      <c r="BU79" s="426"/>
      <c r="BV79" s="426"/>
      <c r="BW79" s="425"/>
      <c r="BX79" s="424"/>
      <c r="BY79" s="424"/>
      <c r="BZ79" s="425"/>
      <c r="CA79" s="426"/>
      <c r="CB79" s="426"/>
      <c r="CC79" s="425"/>
      <c r="CD79" s="424"/>
      <c r="CE79" s="424"/>
      <c r="CF79" s="425"/>
      <c r="CG79" s="426"/>
      <c r="CH79" s="426"/>
      <c r="CI79" s="425"/>
      <c r="CJ79" s="424"/>
      <c r="CK79" s="424"/>
      <c r="CL79" s="425"/>
      <c r="CM79" s="426"/>
      <c r="CN79" s="426"/>
      <c r="CO79" s="425"/>
      <c r="CP79" s="424"/>
      <c r="CQ79" s="424"/>
      <c r="CR79" s="425"/>
      <c r="CS79" s="426"/>
      <c r="CT79" s="426"/>
      <c r="CU79" s="425"/>
      <c r="CV79" s="424"/>
      <c r="CW79" s="424"/>
      <c r="CX79" s="425"/>
      <c r="CY79" s="426"/>
      <c r="CZ79" s="426"/>
      <c r="DA79" s="425"/>
      <c r="DB79" s="424"/>
      <c r="DC79" s="424"/>
      <c r="DD79" s="425"/>
      <c r="DE79" s="426"/>
      <c r="DF79" s="426"/>
      <c r="DG79" s="425"/>
      <c r="DH79" s="424"/>
      <c r="DI79" s="424"/>
      <c r="DJ79" s="425"/>
      <c r="DK79" s="426"/>
      <c r="DL79" s="426"/>
      <c r="DM79" s="425"/>
      <c r="DN79" s="424"/>
      <c r="DO79" s="424"/>
      <c r="DP79" s="425"/>
      <c r="DQ79" s="426"/>
      <c r="DR79" s="426"/>
      <c r="DS79" s="425"/>
      <c r="DT79" s="424"/>
      <c r="DU79" s="424"/>
      <c r="DV79" s="425"/>
      <c r="DW79" s="426"/>
      <c r="DX79" s="426"/>
      <c r="DY79" s="425"/>
      <c r="DZ79" s="424"/>
      <c r="EA79" s="424"/>
    </row>
    <row r="80" spans="3:131">
      <c r="C80" s="96" t="s">
        <v>986</v>
      </c>
      <c r="D80" s="65"/>
      <c r="E80" s="65"/>
      <c r="F80" s="437" t="s">
        <v>948</v>
      </c>
      <c r="G80" s="436" t="s">
        <v>949</v>
      </c>
      <c r="H80" s="412" t="s">
        <v>950</v>
      </c>
      <c r="I80" s="429"/>
      <c r="J80" s="429">
        <f t="shared" si="3"/>
        <v>0</v>
      </c>
      <c r="K80" s="428">
        <f t="shared" si="4"/>
        <v>0</v>
      </c>
      <c r="L80" s="427"/>
      <c r="M80" s="426"/>
      <c r="N80" s="426"/>
      <c r="O80" s="425"/>
      <c r="P80" s="424"/>
      <c r="Q80" s="424"/>
      <c r="R80" s="425"/>
      <c r="S80" s="426"/>
      <c r="T80" s="426"/>
      <c r="U80" s="425"/>
      <c r="V80" s="424"/>
      <c r="W80" s="424"/>
      <c r="X80" s="425"/>
      <c r="Y80" s="426"/>
      <c r="Z80" s="426"/>
      <c r="AA80" s="425"/>
      <c r="AB80" s="424"/>
      <c r="AC80" s="424"/>
      <c r="AD80" s="425"/>
      <c r="AE80" s="426"/>
      <c r="AF80" s="426"/>
      <c r="AG80" s="425"/>
      <c r="AH80" s="424"/>
      <c r="AI80" s="424"/>
      <c r="AJ80" s="425"/>
      <c r="AK80" s="426"/>
      <c r="AL80" s="426"/>
      <c r="AM80" s="425"/>
      <c r="AN80" s="424"/>
      <c r="AO80" s="424"/>
      <c r="AP80" s="425"/>
      <c r="AQ80" s="426"/>
      <c r="AR80" s="426"/>
      <c r="AS80" s="425"/>
      <c r="AT80" s="424"/>
      <c r="AU80" s="424"/>
      <c r="AV80" s="425"/>
      <c r="AW80" s="426"/>
      <c r="AX80" s="426"/>
      <c r="AY80" s="425"/>
      <c r="AZ80" s="424"/>
      <c r="BA80" s="424"/>
      <c r="BB80" s="425"/>
      <c r="BC80" s="426"/>
      <c r="BD80" s="426"/>
      <c r="BE80" s="425"/>
      <c r="BF80" s="424"/>
      <c r="BG80" s="424"/>
      <c r="BH80" s="425"/>
      <c r="BI80" s="426"/>
      <c r="BJ80" s="426"/>
      <c r="BK80" s="425"/>
      <c r="BL80" s="424"/>
      <c r="BM80" s="424"/>
      <c r="BN80" s="425"/>
      <c r="BO80" s="426"/>
      <c r="BP80" s="426"/>
      <c r="BQ80" s="425"/>
      <c r="BR80" s="424"/>
      <c r="BS80" s="424"/>
      <c r="BT80" s="425"/>
      <c r="BU80" s="426"/>
      <c r="BV80" s="426"/>
      <c r="BW80" s="425"/>
      <c r="BX80" s="424"/>
      <c r="BY80" s="424"/>
      <c r="BZ80" s="425"/>
      <c r="CA80" s="426"/>
      <c r="CB80" s="426"/>
      <c r="CC80" s="425"/>
      <c r="CD80" s="424"/>
      <c r="CE80" s="424"/>
      <c r="CF80" s="425"/>
      <c r="CG80" s="426"/>
      <c r="CH80" s="426"/>
      <c r="CI80" s="425"/>
      <c r="CJ80" s="424"/>
      <c r="CK80" s="424"/>
      <c r="CL80" s="425"/>
      <c r="CM80" s="426"/>
      <c r="CN80" s="426"/>
      <c r="CO80" s="425"/>
      <c r="CP80" s="424"/>
      <c r="CQ80" s="424"/>
      <c r="CR80" s="425"/>
      <c r="CS80" s="426"/>
      <c r="CT80" s="426"/>
      <c r="CU80" s="425"/>
      <c r="CV80" s="424"/>
      <c r="CW80" s="424"/>
      <c r="CX80" s="425"/>
      <c r="CY80" s="426"/>
      <c r="CZ80" s="426"/>
      <c r="DA80" s="425"/>
      <c r="DB80" s="424"/>
      <c r="DC80" s="424"/>
      <c r="DD80" s="425"/>
      <c r="DE80" s="426"/>
      <c r="DF80" s="426"/>
      <c r="DG80" s="425"/>
      <c r="DH80" s="424"/>
      <c r="DI80" s="424"/>
      <c r="DJ80" s="425"/>
      <c r="DK80" s="426"/>
      <c r="DL80" s="426"/>
      <c r="DM80" s="425"/>
      <c r="DN80" s="424"/>
      <c r="DO80" s="424"/>
      <c r="DP80" s="425"/>
      <c r="DQ80" s="426"/>
      <c r="DR80" s="426"/>
      <c r="DS80" s="425"/>
      <c r="DT80" s="424"/>
      <c r="DU80" s="424"/>
      <c r="DV80" s="425"/>
      <c r="DW80" s="426"/>
      <c r="DX80" s="426"/>
      <c r="DY80" s="425"/>
      <c r="DZ80" s="424"/>
      <c r="EA80" s="424"/>
    </row>
    <row r="81" spans="3:131">
      <c r="D81" s="446"/>
      <c r="E81" s="1" t="s">
        <v>968</v>
      </c>
      <c r="F81" s="432">
        <f>'MF Unit Material'!Y172</f>
        <v>512</v>
      </c>
      <c r="G81" s="431">
        <f>'MF Unit Material'!Z172</f>
        <v>19</v>
      </c>
      <c r="H81" s="158">
        <f>'MF Unit Material'!AA172</f>
        <v>9728</v>
      </c>
      <c r="I81" s="430">
        <f>F81-J81</f>
        <v>512</v>
      </c>
      <c r="J81" s="429">
        <f t="shared" si="3"/>
        <v>0</v>
      </c>
      <c r="K81" s="428">
        <f t="shared" si="4"/>
        <v>0</v>
      </c>
      <c r="L81" s="427"/>
      <c r="M81" s="426"/>
      <c r="N81" s="426"/>
      <c r="O81" s="425"/>
      <c r="P81" s="424"/>
      <c r="Q81" s="424"/>
      <c r="R81" s="425"/>
      <c r="S81" s="426"/>
      <c r="T81" s="426"/>
      <c r="U81" s="425"/>
      <c r="V81" s="424"/>
      <c r="W81" s="424"/>
      <c r="X81" s="425"/>
      <c r="Y81" s="426"/>
      <c r="Z81" s="426"/>
      <c r="AA81" s="425"/>
      <c r="AB81" s="424"/>
      <c r="AC81" s="424"/>
      <c r="AD81" s="425"/>
      <c r="AE81" s="426"/>
      <c r="AF81" s="426"/>
      <c r="AG81" s="425"/>
      <c r="AH81" s="424"/>
      <c r="AI81" s="424"/>
      <c r="AJ81" s="425"/>
      <c r="AK81" s="426"/>
      <c r="AL81" s="426"/>
      <c r="AM81" s="425"/>
      <c r="AN81" s="424"/>
      <c r="AO81" s="424"/>
      <c r="AP81" s="425"/>
      <c r="AQ81" s="426"/>
      <c r="AR81" s="426"/>
      <c r="AS81" s="425"/>
      <c r="AT81" s="424"/>
      <c r="AU81" s="424"/>
      <c r="AV81" s="425"/>
      <c r="AW81" s="426"/>
      <c r="AX81" s="426"/>
      <c r="AY81" s="425"/>
      <c r="AZ81" s="424"/>
      <c r="BA81" s="424"/>
      <c r="BB81" s="425"/>
      <c r="BC81" s="426"/>
      <c r="BD81" s="426"/>
      <c r="BE81" s="425"/>
      <c r="BF81" s="424"/>
      <c r="BG81" s="424"/>
      <c r="BH81" s="425"/>
      <c r="BI81" s="426"/>
      <c r="BJ81" s="426"/>
      <c r="BK81" s="425"/>
      <c r="BL81" s="424"/>
      <c r="BM81" s="424"/>
      <c r="BN81" s="425"/>
      <c r="BO81" s="426"/>
      <c r="BP81" s="426"/>
      <c r="BQ81" s="425"/>
      <c r="BR81" s="424"/>
      <c r="BS81" s="424"/>
      <c r="BT81" s="425"/>
      <c r="BU81" s="426"/>
      <c r="BV81" s="426"/>
      <c r="BW81" s="425"/>
      <c r="BX81" s="424"/>
      <c r="BY81" s="424"/>
      <c r="BZ81" s="425"/>
      <c r="CA81" s="426"/>
      <c r="CB81" s="426"/>
      <c r="CC81" s="425"/>
      <c r="CD81" s="424"/>
      <c r="CE81" s="424"/>
      <c r="CF81" s="425"/>
      <c r="CG81" s="426"/>
      <c r="CH81" s="426"/>
      <c r="CI81" s="425"/>
      <c r="CJ81" s="424"/>
      <c r="CK81" s="424"/>
      <c r="CL81" s="425"/>
      <c r="CM81" s="426"/>
      <c r="CN81" s="426"/>
      <c r="CO81" s="425"/>
      <c r="CP81" s="424"/>
      <c r="CQ81" s="424"/>
      <c r="CR81" s="425"/>
      <c r="CS81" s="426"/>
      <c r="CT81" s="426"/>
      <c r="CU81" s="425"/>
      <c r="CV81" s="424"/>
      <c r="CW81" s="424"/>
      <c r="CX81" s="425"/>
      <c r="CY81" s="426"/>
      <c r="CZ81" s="426"/>
      <c r="DA81" s="425"/>
      <c r="DB81" s="424"/>
      <c r="DC81" s="424"/>
      <c r="DD81" s="425"/>
      <c r="DE81" s="426"/>
      <c r="DF81" s="426"/>
      <c r="DG81" s="425"/>
      <c r="DH81" s="424"/>
      <c r="DI81" s="424"/>
      <c r="DJ81" s="425"/>
      <c r="DK81" s="426"/>
      <c r="DL81" s="426"/>
      <c r="DM81" s="425"/>
      <c r="DN81" s="424"/>
      <c r="DO81" s="424"/>
      <c r="DP81" s="425"/>
      <c r="DQ81" s="426"/>
      <c r="DR81" s="426"/>
      <c r="DS81" s="425"/>
      <c r="DT81" s="424"/>
      <c r="DU81" s="424"/>
      <c r="DV81" s="425"/>
      <c r="DW81" s="426"/>
      <c r="DX81" s="426"/>
      <c r="DY81" s="425"/>
      <c r="DZ81" s="424"/>
      <c r="EA81" s="424"/>
    </row>
    <row r="82" spans="3:131">
      <c r="C82" s="423"/>
      <c r="D82" s="1"/>
      <c r="E82" s="16" t="s">
        <v>961</v>
      </c>
      <c r="F82" s="422">
        <f>'MF Unit Material'!Y174</f>
        <v>512</v>
      </c>
      <c r="G82" s="421">
        <f>'MF Unit Material'!Z174</f>
        <v>0</v>
      </c>
      <c r="H82" s="420">
        <f>'MF Unit Material'!AA174</f>
        <v>9728</v>
      </c>
      <c r="I82" s="429"/>
      <c r="J82" s="429">
        <f t="shared" si="3"/>
        <v>0</v>
      </c>
      <c r="K82" s="428">
        <f t="shared" si="4"/>
        <v>0</v>
      </c>
      <c r="L82" s="427"/>
      <c r="M82" s="426"/>
      <c r="N82" s="426"/>
      <c r="O82" s="425"/>
      <c r="P82" s="424"/>
      <c r="Q82" s="424"/>
      <c r="R82" s="425"/>
      <c r="S82" s="426"/>
      <c r="T82" s="426"/>
      <c r="U82" s="425"/>
      <c r="V82" s="424"/>
      <c r="W82" s="424"/>
      <c r="X82" s="425"/>
      <c r="Y82" s="426"/>
      <c r="Z82" s="426"/>
      <c r="AA82" s="425"/>
      <c r="AB82" s="424"/>
      <c r="AC82" s="424"/>
      <c r="AD82" s="425"/>
      <c r="AE82" s="426"/>
      <c r="AF82" s="426"/>
      <c r="AG82" s="425"/>
      <c r="AH82" s="424"/>
      <c r="AI82" s="424"/>
      <c r="AJ82" s="425"/>
      <c r="AK82" s="426"/>
      <c r="AL82" s="426"/>
      <c r="AM82" s="425"/>
      <c r="AN82" s="424"/>
      <c r="AO82" s="424"/>
      <c r="AP82" s="425"/>
      <c r="AQ82" s="426"/>
      <c r="AR82" s="426"/>
      <c r="AS82" s="425"/>
      <c r="AT82" s="424"/>
      <c r="AU82" s="424"/>
      <c r="AV82" s="425"/>
      <c r="AW82" s="426"/>
      <c r="AX82" s="426"/>
      <c r="AY82" s="425"/>
      <c r="AZ82" s="424"/>
      <c r="BA82" s="424"/>
      <c r="BB82" s="425"/>
      <c r="BC82" s="426"/>
      <c r="BD82" s="426"/>
      <c r="BE82" s="425"/>
      <c r="BF82" s="424"/>
      <c r="BG82" s="424"/>
      <c r="BH82" s="425"/>
      <c r="BI82" s="426"/>
      <c r="BJ82" s="426"/>
      <c r="BK82" s="425"/>
      <c r="BL82" s="424"/>
      <c r="BM82" s="424"/>
      <c r="BN82" s="425"/>
      <c r="BO82" s="426"/>
      <c r="BP82" s="426"/>
      <c r="BQ82" s="425"/>
      <c r="BR82" s="424"/>
      <c r="BS82" s="424"/>
      <c r="BT82" s="425"/>
      <c r="BU82" s="426"/>
      <c r="BV82" s="426"/>
      <c r="BW82" s="425"/>
      <c r="BX82" s="424"/>
      <c r="BY82" s="424"/>
      <c r="BZ82" s="425"/>
      <c r="CA82" s="426"/>
      <c r="CB82" s="426"/>
      <c r="CC82" s="425"/>
      <c r="CD82" s="424"/>
      <c r="CE82" s="424"/>
      <c r="CF82" s="425"/>
      <c r="CG82" s="426"/>
      <c r="CH82" s="426"/>
      <c r="CI82" s="425"/>
      <c r="CJ82" s="424"/>
      <c r="CK82" s="424"/>
      <c r="CL82" s="425"/>
      <c r="CM82" s="426"/>
      <c r="CN82" s="426"/>
      <c r="CO82" s="425"/>
      <c r="CP82" s="424"/>
      <c r="CQ82" s="424"/>
      <c r="CR82" s="425"/>
      <c r="CS82" s="426"/>
      <c r="CT82" s="426"/>
      <c r="CU82" s="425"/>
      <c r="CV82" s="424"/>
      <c r="CW82" s="424"/>
      <c r="CX82" s="425"/>
      <c r="CY82" s="426"/>
      <c r="CZ82" s="426"/>
      <c r="DA82" s="425"/>
      <c r="DB82" s="424"/>
      <c r="DC82" s="424"/>
      <c r="DD82" s="425"/>
      <c r="DE82" s="426"/>
      <c r="DF82" s="426"/>
      <c r="DG82" s="425"/>
      <c r="DH82" s="424"/>
      <c r="DI82" s="424"/>
      <c r="DJ82" s="425"/>
      <c r="DK82" s="426"/>
      <c r="DL82" s="426"/>
      <c r="DM82" s="425"/>
      <c r="DN82" s="424"/>
      <c r="DO82" s="424"/>
      <c r="DP82" s="425"/>
      <c r="DQ82" s="426"/>
      <c r="DR82" s="426"/>
      <c r="DS82" s="425"/>
      <c r="DT82" s="424"/>
      <c r="DU82" s="424"/>
      <c r="DV82" s="425"/>
      <c r="DW82" s="426"/>
      <c r="DX82" s="426"/>
      <c r="DY82" s="425"/>
      <c r="DZ82" s="424"/>
      <c r="EA82" s="424"/>
    </row>
    <row r="83" spans="3:131">
      <c r="C83" s="96" t="s">
        <v>987</v>
      </c>
      <c r="D83" s="65"/>
      <c r="E83" s="65"/>
      <c r="F83" s="437" t="s">
        <v>948</v>
      </c>
      <c r="G83" s="436" t="s">
        <v>949</v>
      </c>
      <c r="H83" s="412" t="s">
        <v>950</v>
      </c>
      <c r="I83" s="429"/>
      <c r="J83" s="429">
        <f t="shared" si="3"/>
        <v>0</v>
      </c>
      <c r="K83" s="428">
        <f t="shared" si="4"/>
        <v>0</v>
      </c>
      <c r="L83" s="427"/>
      <c r="M83" s="426"/>
      <c r="N83" s="426"/>
      <c r="O83" s="425"/>
      <c r="P83" s="424"/>
      <c r="Q83" s="424"/>
      <c r="R83" s="425"/>
      <c r="S83" s="426"/>
      <c r="T83" s="426"/>
      <c r="U83" s="425"/>
      <c r="V83" s="424"/>
      <c r="W83" s="424"/>
      <c r="X83" s="425"/>
      <c r="Y83" s="426"/>
      <c r="Z83" s="426"/>
      <c r="AA83" s="425"/>
      <c r="AB83" s="424"/>
      <c r="AC83" s="424"/>
      <c r="AD83" s="425"/>
      <c r="AE83" s="426"/>
      <c r="AF83" s="426"/>
      <c r="AG83" s="425"/>
      <c r="AH83" s="424"/>
      <c r="AI83" s="424"/>
      <c r="AJ83" s="425"/>
      <c r="AK83" s="426"/>
      <c r="AL83" s="426"/>
      <c r="AM83" s="425"/>
      <c r="AN83" s="424"/>
      <c r="AO83" s="424"/>
      <c r="AP83" s="425"/>
      <c r="AQ83" s="426"/>
      <c r="AR83" s="426"/>
      <c r="AS83" s="425"/>
      <c r="AT83" s="424"/>
      <c r="AU83" s="424"/>
      <c r="AV83" s="425"/>
      <c r="AW83" s="426"/>
      <c r="AX83" s="426"/>
      <c r="AY83" s="425"/>
      <c r="AZ83" s="424"/>
      <c r="BA83" s="424"/>
      <c r="BB83" s="425"/>
      <c r="BC83" s="426"/>
      <c r="BD83" s="426"/>
      <c r="BE83" s="425"/>
      <c r="BF83" s="424"/>
      <c r="BG83" s="424"/>
      <c r="BH83" s="425"/>
      <c r="BI83" s="426"/>
      <c r="BJ83" s="426"/>
      <c r="BK83" s="425"/>
      <c r="BL83" s="424"/>
      <c r="BM83" s="424"/>
      <c r="BN83" s="425"/>
      <c r="BO83" s="426"/>
      <c r="BP83" s="426"/>
      <c r="BQ83" s="425"/>
      <c r="BR83" s="424"/>
      <c r="BS83" s="424"/>
      <c r="BT83" s="425"/>
      <c r="BU83" s="426"/>
      <c r="BV83" s="426"/>
      <c r="BW83" s="425"/>
      <c r="BX83" s="424"/>
      <c r="BY83" s="424"/>
      <c r="BZ83" s="425"/>
      <c r="CA83" s="426"/>
      <c r="CB83" s="426"/>
      <c r="CC83" s="425"/>
      <c r="CD83" s="424"/>
      <c r="CE83" s="424"/>
      <c r="CF83" s="425"/>
      <c r="CG83" s="426"/>
      <c r="CH83" s="426"/>
      <c r="CI83" s="425"/>
      <c r="CJ83" s="424"/>
      <c r="CK83" s="424"/>
      <c r="CL83" s="425"/>
      <c r="CM83" s="426"/>
      <c r="CN83" s="426"/>
      <c r="CO83" s="425"/>
      <c r="CP83" s="424"/>
      <c r="CQ83" s="424"/>
      <c r="CR83" s="425"/>
      <c r="CS83" s="426"/>
      <c r="CT83" s="426"/>
      <c r="CU83" s="425"/>
      <c r="CV83" s="424"/>
      <c r="CW83" s="424"/>
      <c r="CX83" s="425"/>
      <c r="CY83" s="426"/>
      <c r="CZ83" s="426"/>
      <c r="DA83" s="425"/>
      <c r="DB83" s="424"/>
      <c r="DC83" s="424"/>
      <c r="DD83" s="425"/>
      <c r="DE83" s="426"/>
      <c r="DF83" s="426"/>
      <c r="DG83" s="425"/>
      <c r="DH83" s="424"/>
      <c r="DI83" s="424"/>
      <c r="DJ83" s="425"/>
      <c r="DK83" s="426"/>
      <c r="DL83" s="426"/>
      <c r="DM83" s="425"/>
      <c r="DN83" s="424"/>
      <c r="DO83" s="424"/>
      <c r="DP83" s="425"/>
      <c r="DQ83" s="426"/>
      <c r="DR83" s="426"/>
      <c r="DS83" s="425"/>
      <c r="DT83" s="424"/>
      <c r="DU83" s="424"/>
      <c r="DV83" s="425"/>
      <c r="DW83" s="426"/>
      <c r="DX83" s="426"/>
      <c r="DY83" s="425"/>
      <c r="DZ83" s="424"/>
      <c r="EA83" s="424"/>
    </row>
    <row r="84" spans="3:131">
      <c r="D84" s="446"/>
      <c r="E84" s="1" t="s">
        <v>968</v>
      </c>
      <c r="F84" s="432">
        <f>'MF Unit Material'!Y176</f>
        <v>512</v>
      </c>
      <c r="G84" s="431">
        <f>'MF Unit Material'!Z176</f>
        <v>24</v>
      </c>
      <c r="H84" s="158">
        <f>'MF Unit Material'!AA176</f>
        <v>12288</v>
      </c>
      <c r="I84" s="430">
        <f>F84-J84</f>
        <v>512</v>
      </c>
      <c r="J84" s="429">
        <f t="shared" si="3"/>
        <v>0</v>
      </c>
      <c r="K84" s="428">
        <f t="shared" si="4"/>
        <v>0</v>
      </c>
      <c r="L84" s="427"/>
      <c r="M84" s="426"/>
      <c r="N84" s="426"/>
      <c r="O84" s="425"/>
      <c r="P84" s="424"/>
      <c r="Q84" s="424"/>
      <c r="R84" s="425"/>
      <c r="S84" s="426"/>
      <c r="T84" s="426"/>
      <c r="U84" s="425"/>
      <c r="V84" s="424"/>
      <c r="W84" s="424"/>
      <c r="X84" s="425"/>
      <c r="Y84" s="426"/>
      <c r="Z84" s="426"/>
      <c r="AA84" s="425"/>
      <c r="AB84" s="424"/>
      <c r="AC84" s="424"/>
      <c r="AD84" s="425"/>
      <c r="AE84" s="426"/>
      <c r="AF84" s="426"/>
      <c r="AG84" s="425"/>
      <c r="AH84" s="424"/>
      <c r="AI84" s="424"/>
      <c r="AJ84" s="425"/>
      <c r="AK84" s="426"/>
      <c r="AL84" s="426"/>
      <c r="AM84" s="425"/>
      <c r="AN84" s="424"/>
      <c r="AO84" s="424"/>
      <c r="AP84" s="425"/>
      <c r="AQ84" s="426"/>
      <c r="AR84" s="426"/>
      <c r="AS84" s="425"/>
      <c r="AT84" s="424"/>
      <c r="AU84" s="424"/>
      <c r="AV84" s="425"/>
      <c r="AW84" s="426"/>
      <c r="AX84" s="426"/>
      <c r="AY84" s="425"/>
      <c r="AZ84" s="424"/>
      <c r="BA84" s="424"/>
      <c r="BB84" s="425"/>
      <c r="BC84" s="426"/>
      <c r="BD84" s="426"/>
      <c r="BE84" s="425"/>
      <c r="BF84" s="424"/>
      <c r="BG84" s="424"/>
      <c r="BH84" s="425"/>
      <c r="BI84" s="426"/>
      <c r="BJ84" s="426"/>
      <c r="BK84" s="425"/>
      <c r="BL84" s="424"/>
      <c r="BM84" s="424"/>
      <c r="BN84" s="425"/>
      <c r="BO84" s="426"/>
      <c r="BP84" s="426"/>
      <c r="BQ84" s="425"/>
      <c r="BR84" s="424"/>
      <c r="BS84" s="424"/>
      <c r="BT84" s="425"/>
      <c r="BU84" s="426"/>
      <c r="BV84" s="426"/>
      <c r="BW84" s="425"/>
      <c r="BX84" s="424"/>
      <c r="BY84" s="424"/>
      <c r="BZ84" s="425"/>
      <c r="CA84" s="426"/>
      <c r="CB84" s="426"/>
      <c r="CC84" s="425"/>
      <c r="CD84" s="424"/>
      <c r="CE84" s="424"/>
      <c r="CF84" s="425"/>
      <c r="CG84" s="426"/>
      <c r="CH84" s="426"/>
      <c r="CI84" s="425"/>
      <c r="CJ84" s="424"/>
      <c r="CK84" s="424"/>
      <c r="CL84" s="425"/>
      <c r="CM84" s="426"/>
      <c r="CN84" s="426"/>
      <c r="CO84" s="425"/>
      <c r="CP84" s="424"/>
      <c r="CQ84" s="424"/>
      <c r="CR84" s="425"/>
      <c r="CS84" s="426"/>
      <c r="CT84" s="426"/>
      <c r="CU84" s="425"/>
      <c r="CV84" s="424"/>
      <c r="CW84" s="424"/>
      <c r="CX84" s="425"/>
      <c r="CY84" s="426"/>
      <c r="CZ84" s="426"/>
      <c r="DA84" s="425"/>
      <c r="DB84" s="424"/>
      <c r="DC84" s="424"/>
      <c r="DD84" s="425"/>
      <c r="DE84" s="426"/>
      <c r="DF84" s="426"/>
      <c r="DG84" s="425"/>
      <c r="DH84" s="424"/>
      <c r="DI84" s="424"/>
      <c r="DJ84" s="425"/>
      <c r="DK84" s="426"/>
      <c r="DL84" s="426"/>
      <c r="DM84" s="425"/>
      <c r="DN84" s="424"/>
      <c r="DO84" s="424"/>
      <c r="DP84" s="425"/>
      <c r="DQ84" s="426"/>
      <c r="DR84" s="426"/>
      <c r="DS84" s="425"/>
      <c r="DT84" s="424"/>
      <c r="DU84" s="424"/>
      <c r="DV84" s="425"/>
      <c r="DW84" s="426"/>
      <c r="DX84" s="426"/>
      <c r="DY84" s="425"/>
      <c r="DZ84" s="424"/>
      <c r="EA84" s="424"/>
    </row>
    <row r="85" spans="3:131">
      <c r="C85" s="423" t="s">
        <v>988</v>
      </c>
      <c r="D85" s="1"/>
      <c r="E85" s="16" t="s">
        <v>961</v>
      </c>
      <c r="F85" s="422">
        <f>'MF Unit Material'!Y178</f>
        <v>512</v>
      </c>
      <c r="G85" s="421">
        <f>'MF Unit Material'!Z178</f>
        <v>0</v>
      </c>
      <c r="H85" s="420">
        <f>'MF Unit Material'!AA178</f>
        <v>12288</v>
      </c>
      <c r="I85" s="429"/>
      <c r="J85" s="429">
        <f t="shared" si="3"/>
        <v>0</v>
      </c>
      <c r="K85" s="428">
        <f t="shared" si="4"/>
        <v>0</v>
      </c>
      <c r="L85" s="427"/>
      <c r="M85" s="426"/>
      <c r="N85" s="426"/>
      <c r="O85" s="425"/>
      <c r="P85" s="424"/>
      <c r="Q85" s="424"/>
      <c r="R85" s="425"/>
      <c r="S85" s="426"/>
      <c r="T85" s="426"/>
      <c r="U85" s="425"/>
      <c r="V85" s="424"/>
      <c r="W85" s="424"/>
      <c r="X85" s="425"/>
      <c r="Y85" s="426"/>
      <c r="Z85" s="426"/>
      <c r="AA85" s="425"/>
      <c r="AB85" s="424"/>
      <c r="AC85" s="424"/>
      <c r="AD85" s="425"/>
      <c r="AE85" s="426"/>
      <c r="AF85" s="426"/>
      <c r="AG85" s="425"/>
      <c r="AH85" s="424"/>
      <c r="AI85" s="424"/>
      <c r="AJ85" s="425"/>
      <c r="AK85" s="426"/>
      <c r="AL85" s="426"/>
      <c r="AM85" s="425"/>
      <c r="AN85" s="424"/>
      <c r="AO85" s="424"/>
      <c r="AP85" s="425"/>
      <c r="AQ85" s="426"/>
      <c r="AR85" s="426"/>
      <c r="AS85" s="425"/>
      <c r="AT85" s="424"/>
      <c r="AU85" s="424"/>
      <c r="AV85" s="425"/>
      <c r="AW85" s="426"/>
      <c r="AX85" s="426"/>
      <c r="AY85" s="425"/>
      <c r="AZ85" s="424"/>
      <c r="BA85" s="424"/>
      <c r="BB85" s="425"/>
      <c r="BC85" s="426"/>
      <c r="BD85" s="426"/>
      <c r="BE85" s="425"/>
      <c r="BF85" s="424"/>
      <c r="BG85" s="424"/>
      <c r="BH85" s="425"/>
      <c r="BI85" s="426"/>
      <c r="BJ85" s="426"/>
      <c r="BK85" s="425"/>
      <c r="BL85" s="424"/>
      <c r="BM85" s="424"/>
      <c r="BN85" s="425"/>
      <c r="BO85" s="426"/>
      <c r="BP85" s="426"/>
      <c r="BQ85" s="425"/>
      <c r="BR85" s="424"/>
      <c r="BS85" s="424"/>
      <c r="BT85" s="425"/>
      <c r="BU85" s="426"/>
      <c r="BV85" s="426"/>
      <c r="BW85" s="425"/>
      <c r="BX85" s="424"/>
      <c r="BY85" s="424"/>
      <c r="BZ85" s="425"/>
      <c r="CA85" s="426"/>
      <c r="CB85" s="426"/>
      <c r="CC85" s="425"/>
      <c r="CD85" s="424"/>
      <c r="CE85" s="424"/>
      <c r="CF85" s="425"/>
      <c r="CG85" s="426"/>
      <c r="CH85" s="426"/>
      <c r="CI85" s="425"/>
      <c r="CJ85" s="424"/>
      <c r="CK85" s="424"/>
      <c r="CL85" s="425"/>
      <c r="CM85" s="426"/>
      <c r="CN85" s="426"/>
      <c r="CO85" s="425"/>
      <c r="CP85" s="424"/>
      <c r="CQ85" s="424"/>
      <c r="CR85" s="425"/>
      <c r="CS85" s="426"/>
      <c r="CT85" s="426"/>
      <c r="CU85" s="425"/>
      <c r="CV85" s="424"/>
      <c r="CW85" s="424"/>
      <c r="CX85" s="425"/>
      <c r="CY85" s="426"/>
      <c r="CZ85" s="426"/>
      <c r="DA85" s="425"/>
      <c r="DB85" s="424"/>
      <c r="DC85" s="424"/>
      <c r="DD85" s="425"/>
      <c r="DE85" s="426"/>
      <c r="DF85" s="426"/>
      <c r="DG85" s="425"/>
      <c r="DH85" s="424"/>
      <c r="DI85" s="424"/>
      <c r="DJ85" s="425"/>
      <c r="DK85" s="426"/>
      <c r="DL85" s="426"/>
      <c r="DM85" s="425"/>
      <c r="DN85" s="424"/>
      <c r="DO85" s="424"/>
      <c r="DP85" s="425"/>
      <c r="DQ85" s="426"/>
      <c r="DR85" s="426"/>
      <c r="DS85" s="425"/>
      <c r="DT85" s="424"/>
      <c r="DU85" s="424"/>
      <c r="DV85" s="425"/>
      <c r="DW85" s="426"/>
      <c r="DX85" s="426"/>
      <c r="DY85" s="425"/>
      <c r="DZ85" s="424"/>
      <c r="EA85" s="424"/>
    </row>
    <row r="86" spans="3:131">
      <c r="C86" s="96" t="s">
        <v>989</v>
      </c>
      <c r="D86" s="65"/>
      <c r="E86" s="65"/>
      <c r="F86" s="437" t="s">
        <v>948</v>
      </c>
      <c r="G86" s="436" t="s">
        <v>949</v>
      </c>
      <c r="H86" s="412" t="s">
        <v>950</v>
      </c>
      <c r="I86" s="429"/>
      <c r="J86" s="429">
        <f t="shared" si="3"/>
        <v>0</v>
      </c>
      <c r="K86" s="428">
        <f t="shared" si="4"/>
        <v>0</v>
      </c>
      <c r="L86" s="427"/>
      <c r="M86" s="426"/>
      <c r="N86" s="426"/>
      <c r="O86" s="425"/>
      <c r="P86" s="424"/>
      <c r="Q86" s="424"/>
      <c r="R86" s="425"/>
      <c r="S86" s="426"/>
      <c r="T86" s="426"/>
      <c r="U86" s="425"/>
      <c r="V86" s="424"/>
      <c r="W86" s="424"/>
      <c r="X86" s="425"/>
      <c r="Y86" s="426"/>
      <c r="Z86" s="426"/>
      <c r="AA86" s="425"/>
      <c r="AB86" s="424"/>
      <c r="AC86" s="424"/>
      <c r="AD86" s="425"/>
      <c r="AE86" s="426"/>
      <c r="AF86" s="426"/>
      <c r="AG86" s="425"/>
      <c r="AH86" s="424"/>
      <c r="AI86" s="424"/>
      <c r="AJ86" s="425"/>
      <c r="AK86" s="426"/>
      <c r="AL86" s="426"/>
      <c r="AM86" s="425"/>
      <c r="AN86" s="424"/>
      <c r="AO86" s="424"/>
      <c r="AP86" s="425"/>
      <c r="AQ86" s="426"/>
      <c r="AR86" s="426"/>
      <c r="AS86" s="425"/>
      <c r="AT86" s="424"/>
      <c r="AU86" s="424"/>
      <c r="AV86" s="425"/>
      <c r="AW86" s="426"/>
      <c r="AX86" s="426"/>
      <c r="AY86" s="425"/>
      <c r="AZ86" s="424"/>
      <c r="BA86" s="424"/>
      <c r="BB86" s="425"/>
      <c r="BC86" s="426"/>
      <c r="BD86" s="426"/>
      <c r="BE86" s="425"/>
      <c r="BF86" s="424"/>
      <c r="BG86" s="424"/>
      <c r="BH86" s="425"/>
      <c r="BI86" s="426"/>
      <c r="BJ86" s="426"/>
      <c r="BK86" s="425"/>
      <c r="BL86" s="424"/>
      <c r="BM86" s="424"/>
      <c r="BN86" s="425"/>
      <c r="BO86" s="426"/>
      <c r="BP86" s="426"/>
      <c r="BQ86" s="425"/>
      <c r="BR86" s="424"/>
      <c r="BS86" s="424"/>
      <c r="BT86" s="425"/>
      <c r="BU86" s="426"/>
      <c r="BV86" s="426"/>
      <c r="BW86" s="425"/>
      <c r="BX86" s="424"/>
      <c r="BY86" s="424"/>
      <c r="BZ86" s="425"/>
      <c r="CA86" s="426"/>
      <c r="CB86" s="426"/>
      <c r="CC86" s="425"/>
      <c r="CD86" s="424"/>
      <c r="CE86" s="424"/>
      <c r="CF86" s="425"/>
      <c r="CG86" s="426"/>
      <c r="CH86" s="426"/>
      <c r="CI86" s="425"/>
      <c r="CJ86" s="424"/>
      <c r="CK86" s="424"/>
      <c r="CL86" s="425"/>
      <c r="CM86" s="426"/>
      <c r="CN86" s="426"/>
      <c r="CO86" s="425"/>
      <c r="CP86" s="424"/>
      <c r="CQ86" s="424"/>
      <c r="CR86" s="425"/>
      <c r="CS86" s="426"/>
      <c r="CT86" s="426"/>
      <c r="CU86" s="425"/>
      <c r="CV86" s="424"/>
      <c r="CW86" s="424"/>
      <c r="CX86" s="425"/>
      <c r="CY86" s="426"/>
      <c r="CZ86" s="426"/>
      <c r="DA86" s="425"/>
      <c r="DB86" s="424"/>
      <c r="DC86" s="424"/>
      <c r="DD86" s="425"/>
      <c r="DE86" s="426"/>
      <c r="DF86" s="426"/>
      <c r="DG86" s="425"/>
      <c r="DH86" s="424"/>
      <c r="DI86" s="424"/>
      <c r="DJ86" s="425"/>
      <c r="DK86" s="426"/>
      <c r="DL86" s="426"/>
      <c r="DM86" s="425"/>
      <c r="DN86" s="424"/>
      <c r="DO86" s="424"/>
      <c r="DP86" s="425"/>
      <c r="DQ86" s="426"/>
      <c r="DR86" s="426"/>
      <c r="DS86" s="425"/>
      <c r="DT86" s="424"/>
      <c r="DU86" s="424"/>
      <c r="DV86" s="425"/>
      <c r="DW86" s="426"/>
      <c r="DX86" s="426"/>
      <c r="DY86" s="425"/>
      <c r="DZ86" s="424"/>
      <c r="EA86" s="424"/>
    </row>
    <row r="87" spans="3:131">
      <c r="D87" s="446"/>
      <c r="E87" s="460" t="s">
        <v>968</v>
      </c>
      <c r="F87" s="432">
        <f>'MF Unit Material'!Y180</f>
        <v>512</v>
      </c>
      <c r="G87" s="431">
        <f>'MF Unit Material'!Z180</f>
        <v>4.5</v>
      </c>
      <c r="H87" s="158">
        <f>'MF Unit Material'!AA180</f>
        <v>2304</v>
      </c>
      <c r="I87" s="430">
        <f>F87-J87</f>
        <v>512</v>
      </c>
      <c r="J87" s="429">
        <f t="shared" si="3"/>
        <v>0</v>
      </c>
      <c r="K87" s="428">
        <f t="shared" si="4"/>
        <v>0</v>
      </c>
      <c r="L87" s="427"/>
      <c r="M87" s="426"/>
      <c r="N87" s="426"/>
      <c r="O87" s="425"/>
      <c r="P87" s="424"/>
      <c r="Q87" s="424"/>
      <c r="R87" s="425"/>
      <c r="S87" s="426"/>
      <c r="T87" s="426"/>
      <c r="U87" s="425"/>
      <c r="V87" s="424"/>
      <c r="W87" s="424"/>
      <c r="X87" s="425"/>
      <c r="Y87" s="426"/>
      <c r="Z87" s="426"/>
      <c r="AA87" s="425"/>
      <c r="AB87" s="424"/>
      <c r="AC87" s="424"/>
      <c r="AD87" s="425"/>
      <c r="AE87" s="426"/>
      <c r="AF87" s="426"/>
      <c r="AG87" s="425"/>
      <c r="AH87" s="424"/>
      <c r="AI87" s="424"/>
      <c r="AJ87" s="425"/>
      <c r="AK87" s="426"/>
      <c r="AL87" s="426"/>
      <c r="AM87" s="425"/>
      <c r="AN87" s="424"/>
      <c r="AO87" s="424"/>
      <c r="AP87" s="425"/>
      <c r="AQ87" s="426"/>
      <c r="AR87" s="426"/>
      <c r="AS87" s="425"/>
      <c r="AT87" s="424"/>
      <c r="AU87" s="424"/>
      <c r="AV87" s="425"/>
      <c r="AW87" s="426"/>
      <c r="AX87" s="426"/>
      <c r="AY87" s="425"/>
      <c r="AZ87" s="424"/>
      <c r="BA87" s="424"/>
      <c r="BB87" s="425"/>
      <c r="BC87" s="426"/>
      <c r="BD87" s="426"/>
      <c r="BE87" s="425"/>
      <c r="BF87" s="424"/>
      <c r="BG87" s="424"/>
      <c r="BH87" s="425"/>
      <c r="BI87" s="426"/>
      <c r="BJ87" s="426"/>
      <c r="BK87" s="425"/>
      <c r="BL87" s="424"/>
      <c r="BM87" s="424"/>
      <c r="BN87" s="425"/>
      <c r="BO87" s="426"/>
      <c r="BP87" s="426"/>
      <c r="BQ87" s="425"/>
      <c r="BR87" s="424"/>
      <c r="BS87" s="424"/>
      <c r="BT87" s="425"/>
      <c r="BU87" s="426"/>
      <c r="BV87" s="426"/>
      <c r="BW87" s="425"/>
      <c r="BX87" s="424"/>
      <c r="BY87" s="424"/>
      <c r="BZ87" s="425"/>
      <c r="CA87" s="426"/>
      <c r="CB87" s="426"/>
      <c r="CC87" s="425"/>
      <c r="CD87" s="424"/>
      <c r="CE87" s="424"/>
      <c r="CF87" s="425"/>
      <c r="CG87" s="426"/>
      <c r="CH87" s="426"/>
      <c r="CI87" s="425"/>
      <c r="CJ87" s="424"/>
      <c r="CK87" s="424"/>
      <c r="CL87" s="425"/>
      <c r="CM87" s="426"/>
      <c r="CN87" s="426"/>
      <c r="CO87" s="425"/>
      <c r="CP87" s="424"/>
      <c r="CQ87" s="424"/>
      <c r="CR87" s="425"/>
      <c r="CS87" s="426"/>
      <c r="CT87" s="426"/>
      <c r="CU87" s="425"/>
      <c r="CV87" s="424"/>
      <c r="CW87" s="424"/>
      <c r="CX87" s="425"/>
      <c r="CY87" s="426"/>
      <c r="CZ87" s="426"/>
      <c r="DA87" s="425"/>
      <c r="DB87" s="424"/>
      <c r="DC87" s="424"/>
      <c r="DD87" s="425"/>
      <c r="DE87" s="426"/>
      <c r="DF87" s="426"/>
      <c r="DG87" s="425"/>
      <c r="DH87" s="424"/>
      <c r="DI87" s="424"/>
      <c r="DJ87" s="425"/>
      <c r="DK87" s="426"/>
      <c r="DL87" s="426"/>
      <c r="DM87" s="425"/>
      <c r="DN87" s="424"/>
      <c r="DO87" s="424"/>
      <c r="DP87" s="425"/>
      <c r="DQ87" s="426"/>
      <c r="DR87" s="426"/>
      <c r="DS87" s="425"/>
      <c r="DT87" s="424"/>
      <c r="DU87" s="424"/>
      <c r="DV87" s="425"/>
      <c r="DW87" s="426"/>
      <c r="DX87" s="426"/>
      <c r="DY87" s="425"/>
      <c r="DZ87" s="424"/>
      <c r="EA87" s="424"/>
    </row>
    <row r="88" spans="3:131">
      <c r="C88" s="423" t="s">
        <v>988</v>
      </c>
      <c r="D88" s="1"/>
      <c r="E88" s="16" t="s">
        <v>961</v>
      </c>
      <c r="F88" s="422">
        <f>'MF Unit Material'!Y182</f>
        <v>512</v>
      </c>
      <c r="G88" s="421">
        <f>'MF Unit Material'!Z182</f>
        <v>0</v>
      </c>
      <c r="H88" s="420">
        <f>'MF Unit Material'!AA182</f>
        <v>2304</v>
      </c>
      <c r="I88" s="429"/>
      <c r="J88" s="429">
        <f t="shared" si="3"/>
        <v>0</v>
      </c>
      <c r="K88" s="428">
        <f t="shared" si="4"/>
        <v>0</v>
      </c>
      <c r="L88" s="427"/>
      <c r="M88" s="426"/>
      <c r="N88" s="426"/>
      <c r="O88" s="425"/>
      <c r="P88" s="424"/>
      <c r="Q88" s="424"/>
      <c r="R88" s="425"/>
      <c r="S88" s="426"/>
      <c r="T88" s="426"/>
      <c r="U88" s="425"/>
      <c r="V88" s="424"/>
      <c r="W88" s="424"/>
      <c r="X88" s="425"/>
      <c r="Y88" s="426"/>
      <c r="Z88" s="426"/>
      <c r="AA88" s="425"/>
      <c r="AB88" s="424"/>
      <c r="AC88" s="424"/>
      <c r="AD88" s="425"/>
      <c r="AE88" s="426"/>
      <c r="AF88" s="426"/>
      <c r="AG88" s="425"/>
      <c r="AH88" s="424"/>
      <c r="AI88" s="424"/>
      <c r="AJ88" s="425"/>
      <c r="AK88" s="426"/>
      <c r="AL88" s="426"/>
      <c r="AM88" s="425"/>
      <c r="AN88" s="424"/>
      <c r="AO88" s="424"/>
      <c r="AP88" s="425"/>
      <c r="AQ88" s="426"/>
      <c r="AR88" s="426"/>
      <c r="AS88" s="425"/>
      <c r="AT88" s="424"/>
      <c r="AU88" s="424"/>
      <c r="AV88" s="425"/>
      <c r="AW88" s="426"/>
      <c r="AX88" s="426"/>
      <c r="AY88" s="425"/>
      <c r="AZ88" s="424"/>
      <c r="BA88" s="424"/>
      <c r="BB88" s="425"/>
      <c r="BC88" s="426"/>
      <c r="BD88" s="426"/>
      <c r="BE88" s="425"/>
      <c r="BF88" s="424"/>
      <c r="BG88" s="424"/>
      <c r="BH88" s="425"/>
      <c r="BI88" s="426"/>
      <c r="BJ88" s="426"/>
      <c r="BK88" s="425"/>
      <c r="BL88" s="424"/>
      <c r="BM88" s="424"/>
      <c r="BN88" s="425"/>
      <c r="BO88" s="426"/>
      <c r="BP88" s="426"/>
      <c r="BQ88" s="425"/>
      <c r="BR88" s="424"/>
      <c r="BS88" s="424"/>
      <c r="BT88" s="425"/>
      <c r="BU88" s="426"/>
      <c r="BV88" s="426"/>
      <c r="BW88" s="425"/>
      <c r="BX88" s="424"/>
      <c r="BY88" s="424"/>
      <c r="BZ88" s="425"/>
      <c r="CA88" s="426"/>
      <c r="CB88" s="426"/>
      <c r="CC88" s="425"/>
      <c r="CD88" s="424"/>
      <c r="CE88" s="424"/>
      <c r="CF88" s="425"/>
      <c r="CG88" s="426"/>
      <c r="CH88" s="426"/>
      <c r="CI88" s="425"/>
      <c r="CJ88" s="424"/>
      <c r="CK88" s="424"/>
      <c r="CL88" s="425"/>
      <c r="CM88" s="426"/>
      <c r="CN88" s="426"/>
      <c r="CO88" s="425"/>
      <c r="CP88" s="424"/>
      <c r="CQ88" s="424"/>
      <c r="CR88" s="425"/>
      <c r="CS88" s="426"/>
      <c r="CT88" s="426"/>
      <c r="CU88" s="425"/>
      <c r="CV88" s="424"/>
      <c r="CW88" s="424"/>
      <c r="CX88" s="425"/>
      <c r="CY88" s="426"/>
      <c r="CZ88" s="426"/>
      <c r="DA88" s="425"/>
      <c r="DB88" s="424"/>
      <c r="DC88" s="424"/>
      <c r="DD88" s="425"/>
      <c r="DE88" s="426"/>
      <c r="DF88" s="426"/>
      <c r="DG88" s="425"/>
      <c r="DH88" s="424"/>
      <c r="DI88" s="424"/>
      <c r="DJ88" s="425"/>
      <c r="DK88" s="426"/>
      <c r="DL88" s="426"/>
      <c r="DM88" s="425"/>
      <c r="DN88" s="424"/>
      <c r="DO88" s="424"/>
      <c r="DP88" s="425"/>
      <c r="DQ88" s="426"/>
      <c r="DR88" s="426"/>
      <c r="DS88" s="425"/>
      <c r="DT88" s="424"/>
      <c r="DU88" s="424"/>
      <c r="DV88" s="425"/>
      <c r="DW88" s="426"/>
      <c r="DX88" s="426"/>
      <c r="DY88" s="425"/>
      <c r="DZ88" s="424"/>
      <c r="EA88" s="424"/>
    </row>
    <row r="89" spans="3:131">
      <c r="C89" s="96" t="s">
        <v>990</v>
      </c>
      <c r="D89" s="65"/>
      <c r="E89" s="65"/>
      <c r="F89" s="437" t="s">
        <v>948</v>
      </c>
      <c r="G89" s="436" t="s">
        <v>949</v>
      </c>
      <c r="H89" s="412" t="s">
        <v>950</v>
      </c>
      <c r="I89" s="429"/>
      <c r="J89" s="429">
        <f t="shared" si="3"/>
        <v>0</v>
      </c>
      <c r="K89" s="428">
        <f t="shared" si="4"/>
        <v>0</v>
      </c>
      <c r="L89" s="427"/>
      <c r="M89" s="426"/>
      <c r="N89" s="426"/>
      <c r="O89" s="425"/>
      <c r="P89" s="424"/>
      <c r="Q89" s="424"/>
      <c r="R89" s="425"/>
      <c r="S89" s="426"/>
      <c r="T89" s="426"/>
      <c r="U89" s="425"/>
      <c r="V89" s="424"/>
      <c r="W89" s="424"/>
      <c r="X89" s="425"/>
      <c r="Y89" s="426"/>
      <c r="Z89" s="426"/>
      <c r="AA89" s="425"/>
      <c r="AB89" s="424"/>
      <c r="AC89" s="424"/>
      <c r="AD89" s="425"/>
      <c r="AE89" s="426"/>
      <c r="AF89" s="426"/>
      <c r="AG89" s="425"/>
      <c r="AH89" s="424"/>
      <c r="AI89" s="424"/>
      <c r="AJ89" s="425"/>
      <c r="AK89" s="426"/>
      <c r="AL89" s="426"/>
      <c r="AM89" s="425"/>
      <c r="AN89" s="424"/>
      <c r="AO89" s="424"/>
      <c r="AP89" s="425"/>
      <c r="AQ89" s="426"/>
      <c r="AR89" s="426"/>
      <c r="AS89" s="425"/>
      <c r="AT89" s="424"/>
      <c r="AU89" s="424"/>
      <c r="AV89" s="425"/>
      <c r="AW89" s="426"/>
      <c r="AX89" s="426"/>
      <c r="AY89" s="425"/>
      <c r="AZ89" s="424"/>
      <c r="BA89" s="424"/>
      <c r="BB89" s="425"/>
      <c r="BC89" s="426"/>
      <c r="BD89" s="426"/>
      <c r="BE89" s="425"/>
      <c r="BF89" s="424"/>
      <c r="BG89" s="424"/>
      <c r="BH89" s="425"/>
      <c r="BI89" s="426"/>
      <c r="BJ89" s="426"/>
      <c r="BK89" s="425"/>
      <c r="BL89" s="424"/>
      <c r="BM89" s="424"/>
      <c r="BN89" s="425"/>
      <c r="BO89" s="426"/>
      <c r="BP89" s="426"/>
      <c r="BQ89" s="425"/>
      <c r="BR89" s="424"/>
      <c r="BS89" s="424"/>
      <c r="BT89" s="425"/>
      <c r="BU89" s="426"/>
      <c r="BV89" s="426"/>
      <c r="BW89" s="425"/>
      <c r="BX89" s="424"/>
      <c r="BY89" s="424"/>
      <c r="BZ89" s="425"/>
      <c r="CA89" s="426"/>
      <c r="CB89" s="426"/>
      <c r="CC89" s="425"/>
      <c r="CD89" s="424"/>
      <c r="CE89" s="424"/>
      <c r="CF89" s="425"/>
      <c r="CG89" s="426"/>
      <c r="CH89" s="426"/>
      <c r="CI89" s="425"/>
      <c r="CJ89" s="424"/>
      <c r="CK89" s="424"/>
      <c r="CL89" s="425"/>
      <c r="CM89" s="426"/>
      <c r="CN89" s="426"/>
      <c r="CO89" s="425"/>
      <c r="CP89" s="424"/>
      <c r="CQ89" s="424"/>
      <c r="CR89" s="425"/>
      <c r="CS89" s="426"/>
      <c r="CT89" s="426"/>
      <c r="CU89" s="425"/>
      <c r="CV89" s="424"/>
      <c r="CW89" s="424"/>
      <c r="CX89" s="425"/>
      <c r="CY89" s="426"/>
      <c r="CZ89" s="426"/>
      <c r="DA89" s="425"/>
      <c r="DB89" s="424"/>
      <c r="DC89" s="424"/>
      <c r="DD89" s="425"/>
      <c r="DE89" s="426"/>
      <c r="DF89" s="426"/>
      <c r="DG89" s="425"/>
      <c r="DH89" s="424"/>
      <c r="DI89" s="424"/>
      <c r="DJ89" s="425"/>
      <c r="DK89" s="426"/>
      <c r="DL89" s="426"/>
      <c r="DM89" s="425"/>
      <c r="DN89" s="424"/>
      <c r="DO89" s="424"/>
      <c r="DP89" s="425"/>
      <c r="DQ89" s="426"/>
      <c r="DR89" s="426"/>
      <c r="DS89" s="425"/>
      <c r="DT89" s="424"/>
      <c r="DU89" s="424"/>
      <c r="DV89" s="425"/>
      <c r="DW89" s="426"/>
      <c r="DX89" s="426"/>
      <c r="DY89" s="425"/>
      <c r="DZ89" s="424"/>
      <c r="EA89" s="424"/>
    </row>
    <row r="90" spans="3:131">
      <c r="D90" s="446"/>
      <c r="E90" s="460" t="s">
        <v>968</v>
      </c>
      <c r="F90" s="432">
        <f>'MF Unit Material'!Y184</f>
        <v>773</v>
      </c>
      <c r="G90" s="431">
        <f>'MF Unit Material'!Z184</f>
        <v>9</v>
      </c>
      <c r="H90" s="158">
        <f>'MF Unit Material'!AA184</f>
        <v>6957</v>
      </c>
      <c r="I90" s="430">
        <f>F90-J90</f>
        <v>773</v>
      </c>
      <c r="J90" s="429">
        <f t="shared" si="3"/>
        <v>0</v>
      </c>
      <c r="K90" s="428">
        <f t="shared" si="4"/>
        <v>0</v>
      </c>
      <c r="L90" s="427"/>
      <c r="M90" s="426"/>
      <c r="N90" s="426"/>
      <c r="O90" s="425"/>
      <c r="P90" s="424"/>
      <c r="Q90" s="424"/>
      <c r="R90" s="425"/>
      <c r="S90" s="426"/>
      <c r="T90" s="426"/>
      <c r="U90" s="425"/>
      <c r="V90" s="424"/>
      <c r="W90" s="424"/>
      <c r="X90" s="425"/>
      <c r="Y90" s="426"/>
      <c r="Z90" s="426"/>
      <c r="AA90" s="425"/>
      <c r="AB90" s="424"/>
      <c r="AC90" s="424"/>
      <c r="AD90" s="425"/>
      <c r="AE90" s="426"/>
      <c r="AF90" s="426"/>
      <c r="AG90" s="425"/>
      <c r="AH90" s="424"/>
      <c r="AI90" s="424"/>
      <c r="AJ90" s="425"/>
      <c r="AK90" s="426"/>
      <c r="AL90" s="426"/>
      <c r="AM90" s="425"/>
      <c r="AN90" s="424"/>
      <c r="AO90" s="424"/>
      <c r="AP90" s="425"/>
      <c r="AQ90" s="426"/>
      <c r="AR90" s="426"/>
      <c r="AS90" s="425"/>
      <c r="AT90" s="424"/>
      <c r="AU90" s="424"/>
      <c r="AV90" s="425"/>
      <c r="AW90" s="426"/>
      <c r="AX90" s="426"/>
      <c r="AY90" s="425"/>
      <c r="AZ90" s="424"/>
      <c r="BA90" s="424"/>
      <c r="BB90" s="425"/>
      <c r="BC90" s="426"/>
      <c r="BD90" s="426"/>
      <c r="BE90" s="425"/>
      <c r="BF90" s="424"/>
      <c r="BG90" s="424"/>
      <c r="BH90" s="425"/>
      <c r="BI90" s="426"/>
      <c r="BJ90" s="426"/>
      <c r="BK90" s="425"/>
      <c r="BL90" s="424"/>
      <c r="BM90" s="424"/>
      <c r="BN90" s="425"/>
      <c r="BO90" s="426"/>
      <c r="BP90" s="426"/>
      <c r="BQ90" s="425"/>
      <c r="BR90" s="424"/>
      <c r="BS90" s="424"/>
      <c r="BT90" s="425"/>
      <c r="BU90" s="426"/>
      <c r="BV90" s="426"/>
      <c r="BW90" s="425"/>
      <c r="BX90" s="424"/>
      <c r="BY90" s="424"/>
      <c r="BZ90" s="425"/>
      <c r="CA90" s="426"/>
      <c r="CB90" s="426"/>
      <c r="CC90" s="425"/>
      <c r="CD90" s="424"/>
      <c r="CE90" s="424"/>
      <c r="CF90" s="425"/>
      <c r="CG90" s="426"/>
      <c r="CH90" s="426"/>
      <c r="CI90" s="425"/>
      <c r="CJ90" s="424"/>
      <c r="CK90" s="424"/>
      <c r="CL90" s="425"/>
      <c r="CM90" s="426"/>
      <c r="CN90" s="426"/>
      <c r="CO90" s="425"/>
      <c r="CP90" s="424"/>
      <c r="CQ90" s="424"/>
      <c r="CR90" s="425"/>
      <c r="CS90" s="426"/>
      <c r="CT90" s="426"/>
      <c r="CU90" s="425"/>
      <c r="CV90" s="424"/>
      <c r="CW90" s="424"/>
      <c r="CX90" s="425"/>
      <c r="CY90" s="426"/>
      <c r="CZ90" s="426"/>
      <c r="DA90" s="425"/>
      <c r="DB90" s="424"/>
      <c r="DC90" s="424"/>
      <c r="DD90" s="425"/>
      <c r="DE90" s="426"/>
      <c r="DF90" s="426"/>
      <c r="DG90" s="425"/>
      <c r="DH90" s="424"/>
      <c r="DI90" s="424"/>
      <c r="DJ90" s="425"/>
      <c r="DK90" s="426"/>
      <c r="DL90" s="426"/>
      <c r="DM90" s="425"/>
      <c r="DN90" s="424"/>
      <c r="DO90" s="424"/>
      <c r="DP90" s="425"/>
      <c r="DQ90" s="426"/>
      <c r="DR90" s="426"/>
      <c r="DS90" s="425"/>
      <c r="DT90" s="424"/>
      <c r="DU90" s="424"/>
      <c r="DV90" s="425"/>
      <c r="DW90" s="426"/>
      <c r="DX90" s="426"/>
      <c r="DY90" s="425"/>
      <c r="DZ90" s="424"/>
      <c r="EA90" s="424"/>
    </row>
    <row r="91" spans="3:131">
      <c r="C91" s="423" t="s">
        <v>988</v>
      </c>
      <c r="D91" s="1"/>
      <c r="E91" s="16" t="s">
        <v>961</v>
      </c>
      <c r="F91" s="422">
        <f>'MF Unit Material'!Y186</f>
        <v>773</v>
      </c>
      <c r="G91" s="421">
        <f>'MF Unit Material'!Z186</f>
        <v>0</v>
      </c>
      <c r="H91" s="420">
        <f>'MF Unit Material'!AA186</f>
        <v>6957</v>
      </c>
      <c r="I91" s="429"/>
      <c r="J91" s="429">
        <f t="shared" si="3"/>
        <v>0</v>
      </c>
      <c r="K91" s="428">
        <f t="shared" si="4"/>
        <v>0</v>
      </c>
      <c r="L91" s="427"/>
      <c r="M91" s="426"/>
      <c r="N91" s="426"/>
      <c r="O91" s="425"/>
      <c r="P91" s="424"/>
      <c r="Q91" s="424"/>
      <c r="R91" s="425"/>
      <c r="S91" s="426"/>
      <c r="T91" s="426"/>
      <c r="U91" s="425"/>
      <c r="V91" s="424"/>
      <c r="W91" s="424"/>
      <c r="X91" s="425"/>
      <c r="Y91" s="426"/>
      <c r="Z91" s="426"/>
      <c r="AA91" s="425"/>
      <c r="AB91" s="424"/>
      <c r="AC91" s="424"/>
      <c r="AD91" s="425"/>
      <c r="AE91" s="426"/>
      <c r="AF91" s="426"/>
      <c r="AG91" s="425"/>
      <c r="AH91" s="424"/>
      <c r="AI91" s="424"/>
      <c r="AJ91" s="425"/>
      <c r="AK91" s="426"/>
      <c r="AL91" s="426"/>
      <c r="AM91" s="425"/>
      <c r="AN91" s="424"/>
      <c r="AO91" s="424"/>
      <c r="AP91" s="425"/>
      <c r="AQ91" s="426"/>
      <c r="AR91" s="426"/>
      <c r="AS91" s="425"/>
      <c r="AT91" s="424"/>
      <c r="AU91" s="424"/>
      <c r="AV91" s="425"/>
      <c r="AW91" s="426"/>
      <c r="AX91" s="426"/>
      <c r="AY91" s="425"/>
      <c r="AZ91" s="424"/>
      <c r="BA91" s="424"/>
      <c r="BB91" s="425"/>
      <c r="BC91" s="426"/>
      <c r="BD91" s="426"/>
      <c r="BE91" s="425"/>
      <c r="BF91" s="424"/>
      <c r="BG91" s="424"/>
      <c r="BH91" s="425"/>
      <c r="BI91" s="426"/>
      <c r="BJ91" s="426"/>
      <c r="BK91" s="425"/>
      <c r="BL91" s="424"/>
      <c r="BM91" s="424"/>
      <c r="BN91" s="425"/>
      <c r="BO91" s="426"/>
      <c r="BP91" s="426"/>
      <c r="BQ91" s="425"/>
      <c r="BR91" s="424"/>
      <c r="BS91" s="424"/>
      <c r="BT91" s="425"/>
      <c r="BU91" s="426"/>
      <c r="BV91" s="426"/>
      <c r="BW91" s="425"/>
      <c r="BX91" s="424"/>
      <c r="BY91" s="424"/>
      <c r="BZ91" s="425"/>
      <c r="CA91" s="426"/>
      <c r="CB91" s="426"/>
      <c r="CC91" s="425"/>
      <c r="CD91" s="424"/>
      <c r="CE91" s="424"/>
      <c r="CF91" s="425"/>
      <c r="CG91" s="426"/>
      <c r="CH91" s="426"/>
      <c r="CI91" s="425"/>
      <c r="CJ91" s="424"/>
      <c r="CK91" s="424"/>
      <c r="CL91" s="425"/>
      <c r="CM91" s="426"/>
      <c r="CN91" s="426"/>
      <c r="CO91" s="425"/>
      <c r="CP91" s="424"/>
      <c r="CQ91" s="424"/>
      <c r="CR91" s="425"/>
      <c r="CS91" s="426"/>
      <c r="CT91" s="426"/>
      <c r="CU91" s="425"/>
      <c r="CV91" s="424"/>
      <c r="CW91" s="424"/>
      <c r="CX91" s="425"/>
      <c r="CY91" s="426"/>
      <c r="CZ91" s="426"/>
      <c r="DA91" s="425"/>
      <c r="DB91" s="424"/>
      <c r="DC91" s="424"/>
      <c r="DD91" s="425"/>
      <c r="DE91" s="426"/>
      <c r="DF91" s="426"/>
      <c r="DG91" s="425"/>
      <c r="DH91" s="424"/>
      <c r="DI91" s="424"/>
      <c r="DJ91" s="425"/>
      <c r="DK91" s="426"/>
      <c r="DL91" s="426"/>
      <c r="DM91" s="425"/>
      <c r="DN91" s="424"/>
      <c r="DO91" s="424"/>
      <c r="DP91" s="425"/>
      <c r="DQ91" s="426"/>
      <c r="DR91" s="426"/>
      <c r="DS91" s="425"/>
      <c r="DT91" s="424"/>
      <c r="DU91" s="424"/>
      <c r="DV91" s="425"/>
      <c r="DW91" s="426"/>
      <c r="DX91" s="426"/>
      <c r="DY91" s="425"/>
      <c r="DZ91" s="424"/>
      <c r="EA91" s="424"/>
    </row>
    <row r="92" spans="3:131">
      <c r="C92" s="96" t="s">
        <v>991</v>
      </c>
      <c r="D92" s="65"/>
      <c r="E92" s="65"/>
      <c r="F92" s="437" t="s">
        <v>948</v>
      </c>
      <c r="G92" s="436" t="s">
        <v>949</v>
      </c>
      <c r="H92" s="412" t="s">
        <v>950</v>
      </c>
      <c r="I92" s="429"/>
      <c r="J92" s="429">
        <f t="shared" si="3"/>
        <v>0</v>
      </c>
      <c r="K92" s="428">
        <f t="shared" si="4"/>
        <v>0</v>
      </c>
      <c r="L92" s="427"/>
      <c r="M92" s="426"/>
      <c r="N92" s="426"/>
      <c r="O92" s="425"/>
      <c r="P92" s="424"/>
      <c r="Q92" s="424"/>
      <c r="R92" s="425"/>
      <c r="S92" s="426"/>
      <c r="T92" s="426"/>
      <c r="U92" s="425"/>
      <c r="V92" s="424"/>
      <c r="W92" s="424"/>
      <c r="X92" s="425"/>
      <c r="Y92" s="426"/>
      <c r="Z92" s="426"/>
      <c r="AA92" s="425"/>
      <c r="AB92" s="424"/>
      <c r="AC92" s="424"/>
      <c r="AD92" s="425"/>
      <c r="AE92" s="426"/>
      <c r="AF92" s="426"/>
      <c r="AG92" s="425"/>
      <c r="AH92" s="424"/>
      <c r="AI92" s="424"/>
      <c r="AJ92" s="425"/>
      <c r="AK92" s="426"/>
      <c r="AL92" s="426"/>
      <c r="AM92" s="425"/>
      <c r="AN92" s="424"/>
      <c r="AO92" s="424"/>
      <c r="AP92" s="425"/>
      <c r="AQ92" s="426"/>
      <c r="AR92" s="426"/>
      <c r="AS92" s="425"/>
      <c r="AT92" s="424"/>
      <c r="AU92" s="424"/>
      <c r="AV92" s="425"/>
      <c r="AW92" s="426"/>
      <c r="AX92" s="426"/>
      <c r="AY92" s="425"/>
      <c r="AZ92" s="424"/>
      <c r="BA92" s="424"/>
      <c r="BB92" s="425"/>
      <c r="BC92" s="426"/>
      <c r="BD92" s="426"/>
      <c r="BE92" s="425"/>
      <c r="BF92" s="424"/>
      <c r="BG92" s="424"/>
      <c r="BH92" s="425"/>
      <c r="BI92" s="426"/>
      <c r="BJ92" s="426"/>
      <c r="BK92" s="425"/>
      <c r="BL92" s="424"/>
      <c r="BM92" s="424"/>
      <c r="BN92" s="425"/>
      <c r="BO92" s="426"/>
      <c r="BP92" s="426"/>
      <c r="BQ92" s="425"/>
      <c r="BR92" s="424"/>
      <c r="BS92" s="424"/>
      <c r="BT92" s="425"/>
      <c r="BU92" s="426"/>
      <c r="BV92" s="426"/>
      <c r="BW92" s="425"/>
      <c r="BX92" s="424"/>
      <c r="BY92" s="424"/>
      <c r="BZ92" s="425"/>
      <c r="CA92" s="426"/>
      <c r="CB92" s="426"/>
      <c r="CC92" s="425"/>
      <c r="CD92" s="424"/>
      <c r="CE92" s="424"/>
      <c r="CF92" s="425"/>
      <c r="CG92" s="426"/>
      <c r="CH92" s="426"/>
      <c r="CI92" s="425"/>
      <c r="CJ92" s="424"/>
      <c r="CK92" s="424"/>
      <c r="CL92" s="425"/>
      <c r="CM92" s="426"/>
      <c r="CN92" s="426"/>
      <c r="CO92" s="425"/>
      <c r="CP92" s="424"/>
      <c r="CQ92" s="424"/>
      <c r="CR92" s="425"/>
      <c r="CS92" s="426"/>
      <c r="CT92" s="426"/>
      <c r="CU92" s="425"/>
      <c r="CV92" s="424"/>
      <c r="CW92" s="424"/>
      <c r="CX92" s="425"/>
      <c r="CY92" s="426"/>
      <c r="CZ92" s="426"/>
      <c r="DA92" s="425"/>
      <c r="DB92" s="424"/>
      <c r="DC92" s="424"/>
      <c r="DD92" s="425"/>
      <c r="DE92" s="426"/>
      <c r="DF92" s="426"/>
      <c r="DG92" s="425"/>
      <c r="DH92" s="424"/>
      <c r="DI92" s="424"/>
      <c r="DJ92" s="425"/>
      <c r="DK92" s="426"/>
      <c r="DL92" s="426"/>
      <c r="DM92" s="425"/>
      <c r="DN92" s="424"/>
      <c r="DO92" s="424"/>
      <c r="DP92" s="425"/>
      <c r="DQ92" s="426"/>
      <c r="DR92" s="426"/>
      <c r="DS92" s="425"/>
      <c r="DT92" s="424"/>
      <c r="DU92" s="424"/>
      <c r="DV92" s="425"/>
      <c r="DW92" s="426"/>
      <c r="DX92" s="426"/>
      <c r="DY92" s="425"/>
      <c r="DZ92" s="424"/>
      <c r="EA92" s="424"/>
    </row>
    <row r="93" spans="3:131">
      <c r="D93" s="446" t="s">
        <v>592</v>
      </c>
      <c r="E93" s="1" t="s">
        <v>992</v>
      </c>
      <c r="F93" s="432">
        <f>'MF Unit Material'!Y188</f>
        <v>23591</v>
      </c>
      <c r="G93" s="431">
        <f>'MF Unit Material'!Z188</f>
        <v>12</v>
      </c>
      <c r="H93" s="158">
        <f>'MF Unit Material'!AA188</f>
        <v>28309.200000000001</v>
      </c>
      <c r="I93" s="430">
        <f>F93-J93</f>
        <v>23591</v>
      </c>
      <c r="J93" s="429">
        <f t="shared" si="3"/>
        <v>0</v>
      </c>
      <c r="K93" s="428">
        <f t="shared" si="4"/>
        <v>0</v>
      </c>
      <c r="L93" s="427"/>
      <c r="M93" s="426"/>
      <c r="N93" s="426"/>
      <c r="O93" s="425"/>
      <c r="P93" s="424"/>
      <c r="Q93" s="424"/>
      <c r="R93" s="425"/>
      <c r="S93" s="426"/>
      <c r="T93" s="426"/>
      <c r="U93" s="425"/>
      <c r="V93" s="424"/>
      <c r="W93" s="424"/>
      <c r="X93" s="425"/>
      <c r="Y93" s="426"/>
      <c r="Z93" s="426"/>
      <c r="AA93" s="425"/>
      <c r="AB93" s="424"/>
      <c r="AC93" s="424"/>
      <c r="AD93" s="425"/>
      <c r="AE93" s="426"/>
      <c r="AF93" s="426"/>
      <c r="AG93" s="425"/>
      <c r="AH93" s="424"/>
      <c r="AI93" s="424"/>
      <c r="AJ93" s="425"/>
      <c r="AK93" s="426"/>
      <c r="AL93" s="426"/>
      <c r="AM93" s="425"/>
      <c r="AN93" s="424"/>
      <c r="AO93" s="424"/>
      <c r="AP93" s="425"/>
      <c r="AQ93" s="426"/>
      <c r="AR93" s="426"/>
      <c r="AS93" s="425"/>
      <c r="AT93" s="424"/>
      <c r="AU93" s="424"/>
      <c r="AV93" s="425"/>
      <c r="AW93" s="426"/>
      <c r="AX93" s="426"/>
      <c r="AY93" s="425"/>
      <c r="AZ93" s="424"/>
      <c r="BA93" s="424"/>
      <c r="BB93" s="425"/>
      <c r="BC93" s="426"/>
      <c r="BD93" s="426"/>
      <c r="BE93" s="425"/>
      <c r="BF93" s="424"/>
      <c r="BG93" s="424"/>
      <c r="BH93" s="425"/>
      <c r="BI93" s="426"/>
      <c r="BJ93" s="426"/>
      <c r="BK93" s="425"/>
      <c r="BL93" s="424"/>
      <c r="BM93" s="424"/>
      <c r="BN93" s="425"/>
      <c r="BO93" s="426"/>
      <c r="BP93" s="426"/>
      <c r="BQ93" s="425"/>
      <c r="BR93" s="424"/>
      <c r="BS93" s="424"/>
      <c r="BT93" s="425"/>
      <c r="BU93" s="426"/>
      <c r="BV93" s="426"/>
      <c r="BW93" s="425"/>
      <c r="BX93" s="424"/>
      <c r="BY93" s="424"/>
      <c r="BZ93" s="425"/>
      <c r="CA93" s="426"/>
      <c r="CB93" s="426"/>
      <c r="CC93" s="425"/>
      <c r="CD93" s="424"/>
      <c r="CE93" s="424"/>
      <c r="CF93" s="425"/>
      <c r="CG93" s="426"/>
      <c r="CH93" s="426"/>
      <c r="CI93" s="425"/>
      <c r="CJ93" s="424"/>
      <c r="CK93" s="424"/>
      <c r="CL93" s="425"/>
      <c r="CM93" s="426"/>
      <c r="CN93" s="426"/>
      <c r="CO93" s="425"/>
      <c r="CP93" s="424"/>
      <c r="CQ93" s="424"/>
      <c r="CR93" s="425"/>
      <c r="CS93" s="426"/>
      <c r="CT93" s="426"/>
      <c r="CU93" s="425"/>
      <c r="CV93" s="424"/>
      <c r="CW93" s="424"/>
      <c r="CX93" s="425"/>
      <c r="CY93" s="426"/>
      <c r="CZ93" s="426"/>
      <c r="DA93" s="425"/>
      <c r="DB93" s="424"/>
      <c r="DC93" s="424"/>
      <c r="DD93" s="425"/>
      <c r="DE93" s="426"/>
      <c r="DF93" s="426"/>
      <c r="DG93" s="425"/>
      <c r="DH93" s="424"/>
      <c r="DI93" s="424"/>
      <c r="DJ93" s="425"/>
      <c r="DK93" s="426"/>
      <c r="DL93" s="426"/>
      <c r="DM93" s="425"/>
      <c r="DN93" s="424"/>
      <c r="DO93" s="424"/>
      <c r="DP93" s="425"/>
      <c r="DQ93" s="426"/>
      <c r="DR93" s="426"/>
      <c r="DS93" s="425"/>
      <c r="DT93" s="424"/>
      <c r="DU93" s="424"/>
      <c r="DV93" s="425"/>
      <c r="DW93" s="426"/>
      <c r="DX93" s="426"/>
      <c r="DY93" s="425"/>
      <c r="DZ93" s="424"/>
      <c r="EA93" s="424"/>
    </row>
    <row r="94" spans="3:131">
      <c r="C94" s="423" t="s">
        <v>988</v>
      </c>
      <c r="D94" s="1"/>
      <c r="E94" s="16" t="s">
        <v>961</v>
      </c>
      <c r="F94" s="422">
        <f>'MF Unit Material'!Y190</f>
        <v>23591</v>
      </c>
      <c r="G94" s="421">
        <f>'MF Unit Material'!Z190</f>
        <v>0</v>
      </c>
      <c r="H94" s="420">
        <f>'MF Unit Material'!AA190</f>
        <v>28309.199999999993</v>
      </c>
      <c r="I94" s="429"/>
      <c r="J94" s="429">
        <f t="shared" si="3"/>
        <v>0</v>
      </c>
      <c r="K94" s="428">
        <f t="shared" si="4"/>
        <v>0</v>
      </c>
      <c r="L94" s="427"/>
      <c r="M94" s="426"/>
      <c r="N94" s="426"/>
      <c r="O94" s="425"/>
      <c r="P94" s="424"/>
      <c r="Q94" s="424"/>
      <c r="R94" s="425"/>
      <c r="S94" s="426"/>
      <c r="T94" s="426"/>
      <c r="U94" s="425"/>
      <c r="V94" s="424"/>
      <c r="W94" s="424"/>
      <c r="X94" s="425"/>
      <c r="Y94" s="426"/>
      <c r="Z94" s="426"/>
      <c r="AA94" s="425"/>
      <c r="AB94" s="424"/>
      <c r="AC94" s="424"/>
      <c r="AD94" s="425"/>
      <c r="AE94" s="426"/>
      <c r="AF94" s="426"/>
      <c r="AG94" s="425"/>
      <c r="AH94" s="424"/>
      <c r="AI94" s="424"/>
      <c r="AJ94" s="425"/>
      <c r="AK94" s="426"/>
      <c r="AL94" s="426"/>
      <c r="AM94" s="425"/>
      <c r="AN94" s="424"/>
      <c r="AO94" s="424"/>
      <c r="AP94" s="425"/>
      <c r="AQ94" s="426"/>
      <c r="AR94" s="426"/>
      <c r="AS94" s="425"/>
      <c r="AT94" s="424"/>
      <c r="AU94" s="424"/>
      <c r="AV94" s="425"/>
      <c r="AW94" s="426"/>
      <c r="AX94" s="426"/>
      <c r="AY94" s="425"/>
      <c r="AZ94" s="424"/>
      <c r="BA94" s="424"/>
      <c r="BB94" s="425"/>
      <c r="BC94" s="426"/>
      <c r="BD94" s="426"/>
      <c r="BE94" s="425"/>
      <c r="BF94" s="424"/>
      <c r="BG94" s="424"/>
      <c r="BH94" s="425"/>
      <c r="BI94" s="426"/>
      <c r="BJ94" s="426"/>
      <c r="BK94" s="425"/>
      <c r="BL94" s="424"/>
      <c r="BM94" s="424"/>
      <c r="BN94" s="425"/>
      <c r="BO94" s="426"/>
      <c r="BP94" s="426"/>
      <c r="BQ94" s="425"/>
      <c r="BR94" s="424"/>
      <c r="BS94" s="424"/>
      <c r="BT94" s="425"/>
      <c r="BU94" s="426"/>
      <c r="BV94" s="426"/>
      <c r="BW94" s="425"/>
      <c r="BX94" s="424"/>
      <c r="BY94" s="424"/>
      <c r="BZ94" s="425"/>
      <c r="CA94" s="426"/>
      <c r="CB94" s="426"/>
      <c r="CC94" s="425"/>
      <c r="CD94" s="424"/>
      <c r="CE94" s="424"/>
      <c r="CF94" s="425"/>
      <c r="CG94" s="426"/>
      <c r="CH94" s="426"/>
      <c r="CI94" s="425"/>
      <c r="CJ94" s="424"/>
      <c r="CK94" s="424"/>
      <c r="CL94" s="425"/>
      <c r="CM94" s="426"/>
      <c r="CN94" s="426"/>
      <c r="CO94" s="425"/>
      <c r="CP94" s="424"/>
      <c r="CQ94" s="424"/>
      <c r="CR94" s="425"/>
      <c r="CS94" s="426"/>
      <c r="CT94" s="426"/>
      <c r="CU94" s="425"/>
      <c r="CV94" s="424"/>
      <c r="CW94" s="424"/>
      <c r="CX94" s="425"/>
      <c r="CY94" s="426"/>
      <c r="CZ94" s="426"/>
      <c r="DA94" s="425"/>
      <c r="DB94" s="424"/>
      <c r="DC94" s="424"/>
      <c r="DD94" s="425"/>
      <c r="DE94" s="426"/>
      <c r="DF94" s="426"/>
      <c r="DG94" s="425"/>
      <c r="DH94" s="424"/>
      <c r="DI94" s="424"/>
      <c r="DJ94" s="425"/>
      <c r="DK94" s="426"/>
      <c r="DL94" s="426"/>
      <c r="DM94" s="425"/>
      <c r="DN94" s="424"/>
      <c r="DO94" s="424"/>
      <c r="DP94" s="425"/>
      <c r="DQ94" s="426"/>
      <c r="DR94" s="426"/>
      <c r="DS94" s="425"/>
      <c r="DT94" s="424"/>
      <c r="DU94" s="424"/>
      <c r="DV94" s="425"/>
      <c r="DW94" s="426"/>
      <c r="DX94" s="426"/>
      <c r="DY94" s="425"/>
      <c r="DZ94" s="424"/>
      <c r="EA94" s="424"/>
    </row>
    <row r="95" spans="3:131">
      <c r="C95" s="96" t="s">
        <v>993</v>
      </c>
      <c r="D95" s="65"/>
      <c r="E95" s="65"/>
      <c r="F95" s="437" t="s">
        <v>948</v>
      </c>
      <c r="G95" s="436" t="s">
        <v>949</v>
      </c>
      <c r="H95" s="412" t="s">
        <v>950</v>
      </c>
      <c r="I95" s="429"/>
      <c r="J95" s="429">
        <f t="shared" si="3"/>
        <v>0</v>
      </c>
      <c r="K95" s="428">
        <f t="shared" si="4"/>
        <v>0</v>
      </c>
      <c r="L95" s="427"/>
      <c r="M95" s="426"/>
      <c r="N95" s="426"/>
      <c r="O95" s="425"/>
      <c r="P95" s="424"/>
      <c r="Q95" s="424"/>
      <c r="R95" s="425"/>
      <c r="S95" s="426"/>
      <c r="T95" s="426"/>
      <c r="U95" s="425"/>
      <c r="V95" s="424"/>
      <c r="W95" s="424"/>
      <c r="X95" s="425"/>
      <c r="Y95" s="426"/>
      <c r="Z95" s="426"/>
      <c r="AA95" s="425"/>
      <c r="AB95" s="424"/>
      <c r="AC95" s="424"/>
      <c r="AD95" s="425"/>
      <c r="AE95" s="426"/>
      <c r="AF95" s="426"/>
      <c r="AG95" s="425"/>
      <c r="AH95" s="424"/>
      <c r="AI95" s="424"/>
      <c r="AJ95" s="425"/>
      <c r="AK95" s="426"/>
      <c r="AL95" s="426"/>
      <c r="AM95" s="425"/>
      <c r="AN95" s="424"/>
      <c r="AO95" s="424"/>
      <c r="AP95" s="425"/>
      <c r="AQ95" s="426"/>
      <c r="AR95" s="426"/>
      <c r="AS95" s="425"/>
      <c r="AT95" s="424"/>
      <c r="AU95" s="424"/>
      <c r="AV95" s="425"/>
      <c r="AW95" s="426"/>
      <c r="AX95" s="426"/>
      <c r="AY95" s="425"/>
      <c r="AZ95" s="424"/>
      <c r="BA95" s="424"/>
      <c r="BB95" s="425"/>
      <c r="BC95" s="426"/>
      <c r="BD95" s="426"/>
      <c r="BE95" s="425"/>
      <c r="BF95" s="424"/>
      <c r="BG95" s="424"/>
      <c r="BH95" s="425"/>
      <c r="BI95" s="426"/>
      <c r="BJ95" s="426"/>
      <c r="BK95" s="425"/>
      <c r="BL95" s="424"/>
      <c r="BM95" s="424"/>
      <c r="BN95" s="425"/>
      <c r="BO95" s="426"/>
      <c r="BP95" s="426"/>
      <c r="BQ95" s="425"/>
      <c r="BR95" s="424"/>
      <c r="BS95" s="424"/>
      <c r="BT95" s="425"/>
      <c r="BU95" s="426"/>
      <c r="BV95" s="426"/>
      <c r="BW95" s="425"/>
      <c r="BX95" s="424"/>
      <c r="BY95" s="424"/>
      <c r="BZ95" s="425"/>
      <c r="CA95" s="426"/>
      <c r="CB95" s="426"/>
      <c r="CC95" s="425"/>
      <c r="CD95" s="424"/>
      <c r="CE95" s="424"/>
      <c r="CF95" s="425"/>
      <c r="CG95" s="426"/>
      <c r="CH95" s="426"/>
      <c r="CI95" s="425"/>
      <c r="CJ95" s="424"/>
      <c r="CK95" s="424"/>
      <c r="CL95" s="425"/>
      <c r="CM95" s="426"/>
      <c r="CN95" s="426"/>
      <c r="CO95" s="425"/>
      <c r="CP95" s="424"/>
      <c r="CQ95" s="424"/>
      <c r="CR95" s="425"/>
      <c r="CS95" s="426"/>
      <c r="CT95" s="426"/>
      <c r="CU95" s="425"/>
      <c r="CV95" s="424"/>
      <c r="CW95" s="424"/>
      <c r="CX95" s="425"/>
      <c r="CY95" s="426"/>
      <c r="CZ95" s="426"/>
      <c r="DA95" s="425"/>
      <c r="DB95" s="424"/>
      <c r="DC95" s="424"/>
      <c r="DD95" s="425"/>
      <c r="DE95" s="426"/>
      <c r="DF95" s="426"/>
      <c r="DG95" s="425"/>
      <c r="DH95" s="424"/>
      <c r="DI95" s="424"/>
      <c r="DJ95" s="425"/>
      <c r="DK95" s="426"/>
      <c r="DL95" s="426"/>
      <c r="DM95" s="425"/>
      <c r="DN95" s="424"/>
      <c r="DO95" s="424"/>
      <c r="DP95" s="425"/>
      <c r="DQ95" s="426"/>
      <c r="DR95" s="426"/>
      <c r="DS95" s="425"/>
      <c r="DT95" s="424"/>
      <c r="DU95" s="424"/>
      <c r="DV95" s="425"/>
      <c r="DW95" s="426"/>
      <c r="DX95" s="426"/>
      <c r="DY95" s="425"/>
      <c r="DZ95" s="424"/>
      <c r="EA95" s="424"/>
    </row>
    <row r="96" spans="3:131">
      <c r="D96" s="446" t="s">
        <v>994</v>
      </c>
      <c r="E96" s="1" t="s">
        <v>686</v>
      </c>
      <c r="F96" s="432">
        <f>'MF Unit Material'!Y192</f>
        <v>5974</v>
      </c>
      <c r="G96" s="431">
        <f>'MF Unit Material'!Z192</f>
        <v>8</v>
      </c>
      <c r="H96" s="158">
        <f>'MF Unit Material'!AA192</f>
        <v>9558.4</v>
      </c>
      <c r="I96" s="430">
        <f>F96-J96</f>
        <v>5974</v>
      </c>
      <c r="J96" s="429">
        <f t="shared" si="3"/>
        <v>0</v>
      </c>
      <c r="K96" s="428">
        <f t="shared" si="4"/>
        <v>0</v>
      </c>
      <c r="L96" s="427"/>
      <c r="M96" s="426"/>
      <c r="N96" s="426"/>
      <c r="O96" s="425"/>
      <c r="P96" s="424"/>
      <c r="Q96" s="424"/>
      <c r="R96" s="425"/>
      <c r="S96" s="426"/>
      <c r="T96" s="426"/>
      <c r="U96" s="425"/>
      <c r="V96" s="424"/>
      <c r="W96" s="424"/>
      <c r="X96" s="425"/>
      <c r="Y96" s="426"/>
      <c r="Z96" s="426"/>
      <c r="AA96" s="425"/>
      <c r="AB96" s="424"/>
      <c r="AC96" s="424"/>
      <c r="AD96" s="425"/>
      <c r="AE96" s="426"/>
      <c r="AF96" s="426"/>
      <c r="AG96" s="425"/>
      <c r="AH96" s="424"/>
      <c r="AI96" s="424"/>
      <c r="AJ96" s="425"/>
      <c r="AK96" s="426"/>
      <c r="AL96" s="426"/>
      <c r="AM96" s="425"/>
      <c r="AN96" s="424"/>
      <c r="AO96" s="424"/>
      <c r="AP96" s="425"/>
      <c r="AQ96" s="426"/>
      <c r="AR96" s="426"/>
      <c r="AS96" s="425"/>
      <c r="AT96" s="424"/>
      <c r="AU96" s="424"/>
      <c r="AV96" s="425"/>
      <c r="AW96" s="426"/>
      <c r="AX96" s="426"/>
      <c r="AY96" s="425"/>
      <c r="AZ96" s="424"/>
      <c r="BA96" s="424"/>
      <c r="BB96" s="425"/>
      <c r="BC96" s="426"/>
      <c r="BD96" s="426"/>
      <c r="BE96" s="425"/>
      <c r="BF96" s="424"/>
      <c r="BG96" s="424"/>
      <c r="BH96" s="425"/>
      <c r="BI96" s="426"/>
      <c r="BJ96" s="426"/>
      <c r="BK96" s="425"/>
      <c r="BL96" s="424"/>
      <c r="BM96" s="424"/>
      <c r="BN96" s="425"/>
      <c r="BO96" s="426"/>
      <c r="BP96" s="426"/>
      <c r="BQ96" s="425"/>
      <c r="BR96" s="424"/>
      <c r="BS96" s="424"/>
      <c r="BT96" s="425"/>
      <c r="BU96" s="426"/>
      <c r="BV96" s="426"/>
      <c r="BW96" s="425"/>
      <c r="BX96" s="424"/>
      <c r="BY96" s="424"/>
      <c r="BZ96" s="425"/>
      <c r="CA96" s="426"/>
      <c r="CB96" s="426"/>
      <c r="CC96" s="425"/>
      <c r="CD96" s="424"/>
      <c r="CE96" s="424"/>
      <c r="CF96" s="425"/>
      <c r="CG96" s="426"/>
      <c r="CH96" s="426"/>
      <c r="CI96" s="425"/>
      <c r="CJ96" s="424"/>
      <c r="CK96" s="424"/>
      <c r="CL96" s="425"/>
      <c r="CM96" s="426"/>
      <c r="CN96" s="426"/>
      <c r="CO96" s="425"/>
      <c r="CP96" s="424"/>
      <c r="CQ96" s="424"/>
      <c r="CR96" s="425"/>
      <c r="CS96" s="426"/>
      <c r="CT96" s="426"/>
      <c r="CU96" s="425"/>
      <c r="CV96" s="424"/>
      <c r="CW96" s="424"/>
      <c r="CX96" s="425"/>
      <c r="CY96" s="426"/>
      <c r="CZ96" s="426"/>
      <c r="DA96" s="425"/>
      <c r="DB96" s="424"/>
      <c r="DC96" s="424"/>
      <c r="DD96" s="425"/>
      <c r="DE96" s="426"/>
      <c r="DF96" s="426"/>
      <c r="DG96" s="425"/>
      <c r="DH96" s="424"/>
      <c r="DI96" s="424"/>
      <c r="DJ96" s="425"/>
      <c r="DK96" s="426"/>
      <c r="DL96" s="426"/>
      <c r="DM96" s="425"/>
      <c r="DN96" s="424"/>
      <c r="DO96" s="424"/>
      <c r="DP96" s="425"/>
      <c r="DQ96" s="426"/>
      <c r="DR96" s="426"/>
      <c r="DS96" s="425"/>
      <c r="DT96" s="424"/>
      <c r="DU96" s="424"/>
      <c r="DV96" s="425"/>
      <c r="DW96" s="426"/>
      <c r="DX96" s="426"/>
      <c r="DY96" s="425"/>
      <c r="DZ96" s="424"/>
      <c r="EA96" s="424"/>
    </row>
    <row r="97" spans="3:131">
      <c r="C97" s="423" t="s">
        <v>988</v>
      </c>
      <c r="D97" s="1"/>
      <c r="E97" s="16" t="s">
        <v>961</v>
      </c>
      <c r="F97" s="422">
        <f>'MF Unit Material'!Y194</f>
        <v>5974</v>
      </c>
      <c r="G97" s="421">
        <f>'MF Unit Material'!Z194</f>
        <v>0</v>
      </c>
      <c r="H97" s="420">
        <f>'MF Unit Material'!AA194</f>
        <v>9558.4</v>
      </c>
      <c r="I97" s="429"/>
      <c r="J97" s="429">
        <f t="shared" si="3"/>
        <v>0</v>
      </c>
      <c r="K97" s="428">
        <f t="shared" si="4"/>
        <v>0</v>
      </c>
      <c r="L97" s="427"/>
      <c r="M97" s="426"/>
      <c r="N97" s="426"/>
      <c r="O97" s="425"/>
      <c r="P97" s="424"/>
      <c r="Q97" s="424"/>
      <c r="R97" s="425"/>
      <c r="S97" s="426"/>
      <c r="T97" s="426"/>
      <c r="U97" s="425"/>
      <c r="V97" s="424"/>
      <c r="W97" s="424"/>
      <c r="X97" s="425"/>
      <c r="Y97" s="426"/>
      <c r="Z97" s="426"/>
      <c r="AA97" s="425"/>
      <c r="AB97" s="424"/>
      <c r="AC97" s="424"/>
      <c r="AD97" s="425"/>
      <c r="AE97" s="426"/>
      <c r="AF97" s="426"/>
      <c r="AG97" s="425"/>
      <c r="AH97" s="424"/>
      <c r="AI97" s="424"/>
      <c r="AJ97" s="425"/>
      <c r="AK97" s="426"/>
      <c r="AL97" s="426"/>
      <c r="AM97" s="425"/>
      <c r="AN97" s="424"/>
      <c r="AO97" s="424"/>
      <c r="AP97" s="425"/>
      <c r="AQ97" s="426"/>
      <c r="AR97" s="426"/>
      <c r="AS97" s="425"/>
      <c r="AT97" s="424"/>
      <c r="AU97" s="424"/>
      <c r="AV97" s="425"/>
      <c r="AW97" s="426"/>
      <c r="AX97" s="426"/>
      <c r="AY97" s="425"/>
      <c r="AZ97" s="424"/>
      <c r="BA97" s="424"/>
      <c r="BB97" s="425"/>
      <c r="BC97" s="426"/>
      <c r="BD97" s="426"/>
      <c r="BE97" s="425"/>
      <c r="BF97" s="424"/>
      <c r="BG97" s="424"/>
      <c r="BH97" s="425"/>
      <c r="BI97" s="426"/>
      <c r="BJ97" s="426"/>
      <c r="BK97" s="425"/>
      <c r="BL97" s="424"/>
      <c r="BM97" s="424"/>
      <c r="BN97" s="425"/>
      <c r="BO97" s="426"/>
      <c r="BP97" s="426"/>
      <c r="BQ97" s="425"/>
      <c r="BR97" s="424"/>
      <c r="BS97" s="424"/>
      <c r="BT97" s="425"/>
      <c r="BU97" s="426"/>
      <c r="BV97" s="426"/>
      <c r="BW97" s="425"/>
      <c r="BX97" s="424"/>
      <c r="BY97" s="424"/>
      <c r="BZ97" s="425"/>
      <c r="CA97" s="426"/>
      <c r="CB97" s="426"/>
      <c r="CC97" s="425"/>
      <c r="CD97" s="424"/>
      <c r="CE97" s="424"/>
      <c r="CF97" s="425"/>
      <c r="CG97" s="426"/>
      <c r="CH97" s="426"/>
      <c r="CI97" s="425"/>
      <c r="CJ97" s="424"/>
      <c r="CK97" s="424"/>
      <c r="CL97" s="425"/>
      <c r="CM97" s="426"/>
      <c r="CN97" s="426"/>
      <c r="CO97" s="425"/>
      <c r="CP97" s="424"/>
      <c r="CQ97" s="424"/>
      <c r="CR97" s="425"/>
      <c r="CS97" s="426"/>
      <c r="CT97" s="426"/>
      <c r="CU97" s="425"/>
      <c r="CV97" s="424"/>
      <c r="CW97" s="424"/>
      <c r="CX97" s="425"/>
      <c r="CY97" s="426"/>
      <c r="CZ97" s="426"/>
      <c r="DA97" s="425"/>
      <c r="DB97" s="424"/>
      <c r="DC97" s="424"/>
      <c r="DD97" s="425"/>
      <c r="DE97" s="426"/>
      <c r="DF97" s="426"/>
      <c r="DG97" s="425"/>
      <c r="DH97" s="424"/>
      <c r="DI97" s="424"/>
      <c r="DJ97" s="425"/>
      <c r="DK97" s="426"/>
      <c r="DL97" s="426"/>
      <c r="DM97" s="425"/>
      <c r="DN97" s="424"/>
      <c r="DO97" s="424"/>
      <c r="DP97" s="425"/>
      <c r="DQ97" s="426"/>
      <c r="DR97" s="426"/>
      <c r="DS97" s="425"/>
      <c r="DT97" s="424"/>
      <c r="DU97" s="424"/>
      <c r="DV97" s="425"/>
      <c r="DW97" s="426"/>
      <c r="DX97" s="426"/>
      <c r="DY97" s="425"/>
      <c r="DZ97" s="424"/>
      <c r="EA97" s="424"/>
    </row>
    <row r="98" spans="3:131">
      <c r="C98" s="96" t="s">
        <v>995</v>
      </c>
      <c r="D98" s="65"/>
      <c r="E98" s="65"/>
      <c r="F98" s="437" t="s">
        <v>948</v>
      </c>
      <c r="G98" s="436" t="s">
        <v>949</v>
      </c>
      <c r="H98" s="412" t="s">
        <v>950</v>
      </c>
      <c r="I98" s="429"/>
      <c r="J98" s="429">
        <f t="shared" si="3"/>
        <v>0</v>
      </c>
      <c r="K98" s="428">
        <f t="shared" si="4"/>
        <v>0</v>
      </c>
      <c r="L98" s="427"/>
      <c r="M98" s="426"/>
      <c r="N98" s="426"/>
      <c r="O98" s="425"/>
      <c r="P98" s="424"/>
      <c r="Q98" s="424"/>
      <c r="R98" s="425"/>
      <c r="S98" s="426"/>
      <c r="T98" s="426"/>
      <c r="U98" s="425"/>
      <c r="V98" s="424"/>
      <c r="W98" s="424"/>
      <c r="X98" s="425"/>
      <c r="Y98" s="426"/>
      <c r="Z98" s="426"/>
      <c r="AA98" s="425"/>
      <c r="AB98" s="424"/>
      <c r="AC98" s="424"/>
      <c r="AD98" s="425"/>
      <c r="AE98" s="426"/>
      <c r="AF98" s="426"/>
      <c r="AG98" s="425"/>
      <c r="AH98" s="424"/>
      <c r="AI98" s="424"/>
      <c r="AJ98" s="425"/>
      <c r="AK98" s="426"/>
      <c r="AL98" s="426"/>
      <c r="AM98" s="425"/>
      <c r="AN98" s="424"/>
      <c r="AO98" s="424"/>
      <c r="AP98" s="425"/>
      <c r="AQ98" s="426"/>
      <c r="AR98" s="426"/>
      <c r="AS98" s="425"/>
      <c r="AT98" s="424"/>
      <c r="AU98" s="424"/>
      <c r="AV98" s="425"/>
      <c r="AW98" s="426"/>
      <c r="AX98" s="426"/>
      <c r="AY98" s="425"/>
      <c r="AZ98" s="424"/>
      <c r="BA98" s="424"/>
      <c r="BB98" s="425"/>
      <c r="BC98" s="426"/>
      <c r="BD98" s="426"/>
      <c r="BE98" s="425"/>
      <c r="BF98" s="424"/>
      <c r="BG98" s="424"/>
      <c r="BH98" s="425"/>
      <c r="BI98" s="426"/>
      <c r="BJ98" s="426"/>
      <c r="BK98" s="425"/>
      <c r="BL98" s="424"/>
      <c r="BM98" s="424"/>
      <c r="BN98" s="425"/>
      <c r="BO98" s="426"/>
      <c r="BP98" s="426"/>
      <c r="BQ98" s="425"/>
      <c r="BR98" s="424"/>
      <c r="BS98" s="424"/>
      <c r="BT98" s="425"/>
      <c r="BU98" s="426"/>
      <c r="BV98" s="426"/>
      <c r="BW98" s="425"/>
      <c r="BX98" s="424"/>
      <c r="BY98" s="424"/>
      <c r="BZ98" s="425"/>
      <c r="CA98" s="426"/>
      <c r="CB98" s="426"/>
      <c r="CC98" s="425"/>
      <c r="CD98" s="424"/>
      <c r="CE98" s="424"/>
      <c r="CF98" s="425"/>
      <c r="CG98" s="426"/>
      <c r="CH98" s="426"/>
      <c r="CI98" s="425"/>
      <c r="CJ98" s="424"/>
      <c r="CK98" s="424"/>
      <c r="CL98" s="425"/>
      <c r="CM98" s="426"/>
      <c r="CN98" s="426"/>
      <c r="CO98" s="425"/>
      <c r="CP98" s="424"/>
      <c r="CQ98" s="424"/>
      <c r="CR98" s="425"/>
      <c r="CS98" s="426"/>
      <c r="CT98" s="426"/>
      <c r="CU98" s="425"/>
      <c r="CV98" s="424"/>
      <c r="CW98" s="424"/>
      <c r="CX98" s="425"/>
      <c r="CY98" s="426"/>
      <c r="CZ98" s="426"/>
      <c r="DA98" s="425"/>
      <c r="DB98" s="424"/>
      <c r="DC98" s="424"/>
      <c r="DD98" s="425"/>
      <c r="DE98" s="426"/>
      <c r="DF98" s="426"/>
      <c r="DG98" s="425"/>
      <c r="DH98" s="424"/>
      <c r="DI98" s="424"/>
      <c r="DJ98" s="425"/>
      <c r="DK98" s="426"/>
      <c r="DL98" s="426"/>
      <c r="DM98" s="425"/>
      <c r="DN98" s="424"/>
      <c r="DO98" s="424"/>
      <c r="DP98" s="425"/>
      <c r="DQ98" s="426"/>
      <c r="DR98" s="426"/>
      <c r="DS98" s="425"/>
      <c r="DT98" s="424"/>
      <c r="DU98" s="424"/>
      <c r="DV98" s="425"/>
      <c r="DW98" s="426"/>
      <c r="DX98" s="426"/>
      <c r="DY98" s="425"/>
      <c r="DZ98" s="424"/>
      <c r="EA98" s="424"/>
    </row>
    <row r="99" spans="3:131">
      <c r="D99" s="446" t="s">
        <v>601</v>
      </c>
      <c r="E99" s="1" t="s">
        <v>686</v>
      </c>
      <c r="F99" s="432">
        <f>'MF Unit Material'!Y196</f>
        <v>0</v>
      </c>
      <c r="G99" s="431">
        <f>'MF Unit Material'!Z196</f>
        <v>10</v>
      </c>
      <c r="H99" s="158">
        <f>'MF Unit Material'!AA196</f>
        <v>0</v>
      </c>
      <c r="I99" s="430">
        <f>F99-J99</f>
        <v>0</v>
      </c>
      <c r="J99" s="429">
        <f t="shared" si="3"/>
        <v>0</v>
      </c>
      <c r="K99" s="428">
        <f t="shared" si="4"/>
        <v>0</v>
      </c>
      <c r="L99" s="427"/>
      <c r="M99" s="426"/>
      <c r="N99" s="426"/>
      <c r="O99" s="425"/>
      <c r="P99" s="424"/>
      <c r="Q99" s="424"/>
      <c r="R99" s="425"/>
      <c r="S99" s="426"/>
      <c r="T99" s="426"/>
      <c r="U99" s="425"/>
      <c r="V99" s="424"/>
      <c r="W99" s="424"/>
      <c r="X99" s="425"/>
      <c r="Y99" s="426"/>
      <c r="Z99" s="426"/>
      <c r="AA99" s="425"/>
      <c r="AB99" s="424"/>
      <c r="AC99" s="424"/>
      <c r="AD99" s="425"/>
      <c r="AE99" s="426"/>
      <c r="AF99" s="426"/>
      <c r="AG99" s="425"/>
      <c r="AH99" s="424"/>
      <c r="AI99" s="424"/>
      <c r="AJ99" s="425"/>
      <c r="AK99" s="426"/>
      <c r="AL99" s="426"/>
      <c r="AM99" s="425"/>
      <c r="AN99" s="424"/>
      <c r="AO99" s="424"/>
      <c r="AP99" s="425"/>
      <c r="AQ99" s="426"/>
      <c r="AR99" s="426"/>
      <c r="AS99" s="425"/>
      <c r="AT99" s="424"/>
      <c r="AU99" s="424"/>
      <c r="AV99" s="425"/>
      <c r="AW99" s="426"/>
      <c r="AX99" s="426"/>
      <c r="AY99" s="425"/>
      <c r="AZ99" s="424"/>
      <c r="BA99" s="424"/>
      <c r="BB99" s="425"/>
      <c r="BC99" s="426"/>
      <c r="BD99" s="426"/>
      <c r="BE99" s="425"/>
      <c r="BF99" s="424"/>
      <c r="BG99" s="424"/>
      <c r="BH99" s="425"/>
      <c r="BI99" s="426"/>
      <c r="BJ99" s="426"/>
      <c r="BK99" s="425"/>
      <c r="BL99" s="424"/>
      <c r="BM99" s="424"/>
      <c r="BN99" s="425"/>
      <c r="BO99" s="426"/>
      <c r="BP99" s="426"/>
      <c r="BQ99" s="425"/>
      <c r="BR99" s="424"/>
      <c r="BS99" s="424"/>
      <c r="BT99" s="425"/>
      <c r="BU99" s="426"/>
      <c r="BV99" s="426"/>
      <c r="BW99" s="425"/>
      <c r="BX99" s="424"/>
      <c r="BY99" s="424"/>
      <c r="BZ99" s="425"/>
      <c r="CA99" s="426"/>
      <c r="CB99" s="426"/>
      <c r="CC99" s="425"/>
      <c r="CD99" s="424"/>
      <c r="CE99" s="424"/>
      <c r="CF99" s="425"/>
      <c r="CG99" s="426"/>
      <c r="CH99" s="426"/>
      <c r="CI99" s="425"/>
      <c r="CJ99" s="424"/>
      <c r="CK99" s="424"/>
      <c r="CL99" s="425"/>
      <c r="CM99" s="426"/>
      <c r="CN99" s="426"/>
      <c r="CO99" s="425"/>
      <c r="CP99" s="424"/>
      <c r="CQ99" s="424"/>
      <c r="CR99" s="425"/>
      <c r="CS99" s="426"/>
      <c r="CT99" s="426"/>
      <c r="CU99" s="425"/>
      <c r="CV99" s="424"/>
      <c r="CW99" s="424"/>
      <c r="CX99" s="425"/>
      <c r="CY99" s="426"/>
      <c r="CZ99" s="426"/>
      <c r="DA99" s="425"/>
      <c r="DB99" s="424"/>
      <c r="DC99" s="424"/>
      <c r="DD99" s="425"/>
      <c r="DE99" s="426"/>
      <c r="DF99" s="426"/>
      <c r="DG99" s="425"/>
      <c r="DH99" s="424"/>
      <c r="DI99" s="424"/>
      <c r="DJ99" s="425"/>
      <c r="DK99" s="426"/>
      <c r="DL99" s="426"/>
      <c r="DM99" s="425"/>
      <c r="DN99" s="424"/>
      <c r="DO99" s="424"/>
      <c r="DP99" s="425"/>
      <c r="DQ99" s="426"/>
      <c r="DR99" s="426"/>
      <c r="DS99" s="425"/>
      <c r="DT99" s="424"/>
      <c r="DU99" s="424"/>
      <c r="DV99" s="425"/>
      <c r="DW99" s="426"/>
      <c r="DX99" s="426"/>
      <c r="DY99" s="425"/>
      <c r="DZ99" s="424"/>
      <c r="EA99" s="424"/>
    </row>
    <row r="100" spans="3:131">
      <c r="C100" s="423" t="s">
        <v>988</v>
      </c>
      <c r="D100" s="1"/>
      <c r="E100" s="16" t="s">
        <v>961</v>
      </c>
      <c r="F100" s="422">
        <f>'MF Unit Material'!Y198</f>
        <v>0</v>
      </c>
      <c r="G100" s="421">
        <f>'MF Unit Material'!Z198</f>
        <v>0</v>
      </c>
      <c r="H100" s="420">
        <f>'MF Unit Material'!AA198</f>
        <v>0</v>
      </c>
      <c r="I100" s="429"/>
      <c r="J100" s="429">
        <f t="shared" si="3"/>
        <v>0</v>
      </c>
      <c r="K100" s="428">
        <f t="shared" si="4"/>
        <v>0</v>
      </c>
      <c r="L100" s="427"/>
      <c r="M100" s="426"/>
      <c r="N100" s="426"/>
      <c r="O100" s="425"/>
      <c r="P100" s="424"/>
      <c r="Q100" s="424"/>
      <c r="R100" s="425"/>
      <c r="S100" s="426"/>
      <c r="T100" s="426"/>
      <c r="U100" s="425"/>
      <c r="V100" s="424"/>
      <c r="W100" s="424"/>
      <c r="X100" s="425"/>
      <c r="Y100" s="426"/>
      <c r="Z100" s="426"/>
      <c r="AA100" s="425"/>
      <c r="AB100" s="424"/>
      <c r="AC100" s="424"/>
      <c r="AD100" s="425"/>
      <c r="AE100" s="426"/>
      <c r="AF100" s="426"/>
      <c r="AG100" s="425"/>
      <c r="AH100" s="424"/>
      <c r="AI100" s="424"/>
      <c r="AJ100" s="425"/>
      <c r="AK100" s="426"/>
      <c r="AL100" s="426"/>
      <c r="AM100" s="425"/>
      <c r="AN100" s="424"/>
      <c r="AO100" s="424"/>
      <c r="AP100" s="425"/>
      <c r="AQ100" s="426"/>
      <c r="AR100" s="426"/>
      <c r="AS100" s="425"/>
      <c r="AT100" s="424"/>
      <c r="AU100" s="424"/>
      <c r="AV100" s="425"/>
      <c r="AW100" s="426"/>
      <c r="AX100" s="426"/>
      <c r="AY100" s="425"/>
      <c r="AZ100" s="424"/>
      <c r="BA100" s="424"/>
      <c r="BB100" s="425"/>
      <c r="BC100" s="426"/>
      <c r="BD100" s="426"/>
      <c r="BE100" s="425"/>
      <c r="BF100" s="424"/>
      <c r="BG100" s="424"/>
      <c r="BH100" s="425"/>
      <c r="BI100" s="426"/>
      <c r="BJ100" s="426"/>
      <c r="BK100" s="425"/>
      <c r="BL100" s="424"/>
      <c r="BM100" s="424"/>
      <c r="BN100" s="425"/>
      <c r="BO100" s="426"/>
      <c r="BP100" s="426"/>
      <c r="BQ100" s="425"/>
      <c r="BR100" s="424"/>
      <c r="BS100" s="424"/>
      <c r="BT100" s="425"/>
      <c r="BU100" s="426"/>
      <c r="BV100" s="426"/>
      <c r="BW100" s="425"/>
      <c r="BX100" s="424"/>
      <c r="BY100" s="424"/>
      <c r="BZ100" s="425"/>
      <c r="CA100" s="426"/>
      <c r="CB100" s="426"/>
      <c r="CC100" s="425"/>
      <c r="CD100" s="424"/>
      <c r="CE100" s="424"/>
      <c r="CF100" s="425"/>
      <c r="CG100" s="426"/>
      <c r="CH100" s="426"/>
      <c r="CI100" s="425"/>
      <c r="CJ100" s="424"/>
      <c r="CK100" s="424"/>
      <c r="CL100" s="425"/>
      <c r="CM100" s="426"/>
      <c r="CN100" s="426"/>
      <c r="CO100" s="425"/>
      <c r="CP100" s="424"/>
      <c r="CQ100" s="424"/>
      <c r="CR100" s="425"/>
      <c r="CS100" s="426"/>
      <c r="CT100" s="426"/>
      <c r="CU100" s="425"/>
      <c r="CV100" s="424"/>
      <c r="CW100" s="424"/>
      <c r="CX100" s="425"/>
      <c r="CY100" s="426"/>
      <c r="CZ100" s="426"/>
      <c r="DA100" s="425"/>
      <c r="DB100" s="424"/>
      <c r="DC100" s="424"/>
      <c r="DD100" s="425"/>
      <c r="DE100" s="426"/>
      <c r="DF100" s="426"/>
      <c r="DG100" s="425"/>
      <c r="DH100" s="424"/>
      <c r="DI100" s="424"/>
      <c r="DJ100" s="425"/>
      <c r="DK100" s="426"/>
      <c r="DL100" s="426"/>
      <c r="DM100" s="425"/>
      <c r="DN100" s="424"/>
      <c r="DO100" s="424"/>
      <c r="DP100" s="425"/>
      <c r="DQ100" s="426"/>
      <c r="DR100" s="426"/>
      <c r="DS100" s="425"/>
      <c r="DT100" s="424"/>
      <c r="DU100" s="424"/>
      <c r="DV100" s="425"/>
      <c r="DW100" s="426"/>
      <c r="DX100" s="426"/>
      <c r="DY100" s="425"/>
      <c r="DZ100" s="424"/>
      <c r="EA100" s="424"/>
    </row>
    <row r="101" spans="3:131">
      <c r="C101" s="96" t="s">
        <v>996</v>
      </c>
      <c r="D101" s="65"/>
      <c r="E101" s="65"/>
      <c r="F101" s="437" t="s">
        <v>948</v>
      </c>
      <c r="G101" s="436" t="s">
        <v>949</v>
      </c>
      <c r="H101" s="412" t="s">
        <v>950</v>
      </c>
      <c r="I101" s="429"/>
      <c r="J101" s="429">
        <f t="shared" si="3"/>
        <v>0</v>
      </c>
      <c r="K101" s="428">
        <f t="shared" si="4"/>
        <v>0</v>
      </c>
      <c r="L101" s="427"/>
      <c r="M101" s="426"/>
      <c r="N101" s="426"/>
      <c r="O101" s="425"/>
      <c r="P101" s="424"/>
      <c r="Q101" s="424"/>
      <c r="R101" s="425"/>
      <c r="S101" s="426"/>
      <c r="T101" s="426"/>
      <c r="U101" s="425"/>
      <c r="V101" s="424"/>
      <c r="W101" s="424"/>
      <c r="X101" s="425"/>
      <c r="Y101" s="426"/>
      <c r="Z101" s="426"/>
      <c r="AA101" s="425"/>
      <c r="AB101" s="424"/>
      <c r="AC101" s="424"/>
      <c r="AD101" s="425"/>
      <c r="AE101" s="426"/>
      <c r="AF101" s="426"/>
      <c r="AG101" s="425"/>
      <c r="AH101" s="424"/>
      <c r="AI101" s="424"/>
      <c r="AJ101" s="425"/>
      <c r="AK101" s="426"/>
      <c r="AL101" s="426"/>
      <c r="AM101" s="425"/>
      <c r="AN101" s="424"/>
      <c r="AO101" s="424"/>
      <c r="AP101" s="425"/>
      <c r="AQ101" s="426"/>
      <c r="AR101" s="426"/>
      <c r="AS101" s="425"/>
      <c r="AT101" s="424"/>
      <c r="AU101" s="424"/>
      <c r="AV101" s="425"/>
      <c r="AW101" s="426"/>
      <c r="AX101" s="426"/>
      <c r="AY101" s="425"/>
      <c r="AZ101" s="424"/>
      <c r="BA101" s="424"/>
      <c r="BB101" s="425"/>
      <c r="BC101" s="426"/>
      <c r="BD101" s="426"/>
      <c r="BE101" s="425"/>
      <c r="BF101" s="424"/>
      <c r="BG101" s="424"/>
      <c r="BH101" s="425"/>
      <c r="BI101" s="426"/>
      <c r="BJ101" s="426"/>
      <c r="BK101" s="425"/>
      <c r="BL101" s="424"/>
      <c r="BM101" s="424"/>
      <c r="BN101" s="425"/>
      <c r="BO101" s="426"/>
      <c r="BP101" s="426"/>
      <c r="BQ101" s="425"/>
      <c r="BR101" s="424"/>
      <c r="BS101" s="424"/>
      <c r="BT101" s="425"/>
      <c r="BU101" s="426"/>
      <c r="BV101" s="426"/>
      <c r="BW101" s="425"/>
      <c r="BX101" s="424"/>
      <c r="BY101" s="424"/>
      <c r="BZ101" s="425"/>
      <c r="CA101" s="426"/>
      <c r="CB101" s="426"/>
      <c r="CC101" s="425"/>
      <c r="CD101" s="424"/>
      <c r="CE101" s="424"/>
      <c r="CF101" s="425"/>
      <c r="CG101" s="426"/>
      <c r="CH101" s="426"/>
      <c r="CI101" s="425"/>
      <c r="CJ101" s="424"/>
      <c r="CK101" s="424"/>
      <c r="CL101" s="425"/>
      <c r="CM101" s="426"/>
      <c r="CN101" s="426"/>
      <c r="CO101" s="425"/>
      <c r="CP101" s="424"/>
      <c r="CQ101" s="424"/>
      <c r="CR101" s="425"/>
      <c r="CS101" s="426"/>
      <c r="CT101" s="426"/>
      <c r="CU101" s="425"/>
      <c r="CV101" s="424"/>
      <c r="CW101" s="424"/>
      <c r="CX101" s="425"/>
      <c r="CY101" s="426"/>
      <c r="CZ101" s="426"/>
      <c r="DA101" s="425"/>
      <c r="DB101" s="424"/>
      <c r="DC101" s="424"/>
      <c r="DD101" s="425"/>
      <c r="DE101" s="426"/>
      <c r="DF101" s="426"/>
      <c r="DG101" s="425"/>
      <c r="DH101" s="424"/>
      <c r="DI101" s="424"/>
      <c r="DJ101" s="425"/>
      <c r="DK101" s="426"/>
      <c r="DL101" s="426"/>
      <c r="DM101" s="425"/>
      <c r="DN101" s="424"/>
      <c r="DO101" s="424"/>
      <c r="DP101" s="425"/>
      <c r="DQ101" s="426"/>
      <c r="DR101" s="426"/>
      <c r="DS101" s="425"/>
      <c r="DT101" s="424"/>
      <c r="DU101" s="424"/>
      <c r="DV101" s="425"/>
      <c r="DW101" s="426"/>
      <c r="DX101" s="426"/>
      <c r="DY101" s="425"/>
      <c r="DZ101" s="424"/>
      <c r="EA101" s="424"/>
    </row>
    <row r="102" spans="3:131">
      <c r="D102" s="446"/>
      <c r="E102" s="1" t="s">
        <v>968</v>
      </c>
      <c r="F102" s="432">
        <f>'MF Unit Material'!Y200</f>
        <v>322</v>
      </c>
      <c r="G102" s="431">
        <f>'MF Unit Material'!Z200</f>
        <v>7.5</v>
      </c>
      <c r="H102" s="158">
        <f>'MF Unit Material'!AA200</f>
        <v>2415</v>
      </c>
      <c r="I102" s="430">
        <f>F102-J102</f>
        <v>322</v>
      </c>
      <c r="J102" s="429">
        <f t="shared" si="3"/>
        <v>0</v>
      </c>
      <c r="K102" s="428">
        <f t="shared" si="4"/>
        <v>0</v>
      </c>
      <c r="L102" s="427"/>
      <c r="M102" s="426"/>
      <c r="N102" s="426"/>
      <c r="O102" s="425"/>
      <c r="P102" s="424"/>
      <c r="Q102" s="424"/>
      <c r="R102" s="425"/>
      <c r="S102" s="426"/>
      <c r="T102" s="426"/>
      <c r="U102" s="425"/>
      <c r="V102" s="424"/>
      <c r="W102" s="424"/>
      <c r="X102" s="425"/>
      <c r="Y102" s="426"/>
      <c r="Z102" s="426"/>
      <c r="AA102" s="425"/>
      <c r="AB102" s="424"/>
      <c r="AC102" s="424"/>
      <c r="AD102" s="425"/>
      <c r="AE102" s="426"/>
      <c r="AF102" s="426"/>
      <c r="AG102" s="425"/>
      <c r="AH102" s="424"/>
      <c r="AI102" s="424"/>
      <c r="AJ102" s="425"/>
      <c r="AK102" s="426"/>
      <c r="AL102" s="426"/>
      <c r="AM102" s="425"/>
      <c r="AN102" s="424"/>
      <c r="AO102" s="424"/>
      <c r="AP102" s="425"/>
      <c r="AQ102" s="426"/>
      <c r="AR102" s="426"/>
      <c r="AS102" s="425"/>
      <c r="AT102" s="424"/>
      <c r="AU102" s="424"/>
      <c r="AV102" s="425"/>
      <c r="AW102" s="426"/>
      <c r="AX102" s="426"/>
      <c r="AY102" s="425"/>
      <c r="AZ102" s="424"/>
      <c r="BA102" s="424"/>
      <c r="BB102" s="425"/>
      <c r="BC102" s="426"/>
      <c r="BD102" s="426"/>
      <c r="BE102" s="425"/>
      <c r="BF102" s="424"/>
      <c r="BG102" s="424"/>
      <c r="BH102" s="425"/>
      <c r="BI102" s="426"/>
      <c r="BJ102" s="426"/>
      <c r="BK102" s="425"/>
      <c r="BL102" s="424"/>
      <c r="BM102" s="424"/>
      <c r="BN102" s="425"/>
      <c r="BO102" s="426"/>
      <c r="BP102" s="426"/>
      <c r="BQ102" s="425"/>
      <c r="BR102" s="424"/>
      <c r="BS102" s="424"/>
      <c r="BT102" s="425"/>
      <c r="BU102" s="426"/>
      <c r="BV102" s="426"/>
      <c r="BW102" s="425"/>
      <c r="BX102" s="424"/>
      <c r="BY102" s="424"/>
      <c r="BZ102" s="425"/>
      <c r="CA102" s="426"/>
      <c r="CB102" s="426"/>
      <c r="CC102" s="425"/>
      <c r="CD102" s="424"/>
      <c r="CE102" s="424"/>
      <c r="CF102" s="425"/>
      <c r="CG102" s="426"/>
      <c r="CH102" s="426"/>
      <c r="CI102" s="425"/>
      <c r="CJ102" s="424"/>
      <c r="CK102" s="424"/>
      <c r="CL102" s="425"/>
      <c r="CM102" s="426"/>
      <c r="CN102" s="426"/>
      <c r="CO102" s="425"/>
      <c r="CP102" s="424"/>
      <c r="CQ102" s="424"/>
      <c r="CR102" s="425"/>
      <c r="CS102" s="426"/>
      <c r="CT102" s="426"/>
      <c r="CU102" s="425"/>
      <c r="CV102" s="424"/>
      <c r="CW102" s="424"/>
      <c r="CX102" s="425"/>
      <c r="CY102" s="426"/>
      <c r="CZ102" s="426"/>
      <c r="DA102" s="425"/>
      <c r="DB102" s="424"/>
      <c r="DC102" s="424"/>
      <c r="DD102" s="425"/>
      <c r="DE102" s="426"/>
      <c r="DF102" s="426"/>
      <c r="DG102" s="425"/>
      <c r="DH102" s="424"/>
      <c r="DI102" s="424"/>
      <c r="DJ102" s="425"/>
      <c r="DK102" s="426"/>
      <c r="DL102" s="426"/>
      <c r="DM102" s="425"/>
      <c r="DN102" s="424"/>
      <c r="DO102" s="424"/>
      <c r="DP102" s="425"/>
      <c r="DQ102" s="426"/>
      <c r="DR102" s="426"/>
      <c r="DS102" s="425"/>
      <c r="DT102" s="424"/>
      <c r="DU102" s="424"/>
      <c r="DV102" s="425"/>
      <c r="DW102" s="426"/>
      <c r="DX102" s="426"/>
      <c r="DY102" s="425"/>
      <c r="DZ102" s="424"/>
      <c r="EA102" s="424"/>
    </row>
    <row r="103" spans="3:131">
      <c r="C103" s="423" t="s">
        <v>988</v>
      </c>
      <c r="D103" s="1"/>
      <c r="E103" s="16" t="s">
        <v>961</v>
      </c>
      <c r="F103" s="422">
        <f>'MF Unit Material'!Y202</f>
        <v>322</v>
      </c>
      <c r="G103" s="421">
        <f>'MF Unit Material'!Z202</f>
        <v>0</v>
      </c>
      <c r="H103" s="420">
        <f>'MF Unit Material'!AA202</f>
        <v>2415</v>
      </c>
      <c r="I103" s="429"/>
      <c r="J103" s="429">
        <f t="shared" si="3"/>
        <v>0</v>
      </c>
      <c r="K103" s="428">
        <f t="shared" si="4"/>
        <v>0</v>
      </c>
      <c r="L103" s="427"/>
      <c r="M103" s="426"/>
      <c r="N103" s="426"/>
      <c r="O103" s="425"/>
      <c r="P103" s="424"/>
      <c r="Q103" s="424"/>
      <c r="R103" s="425"/>
      <c r="S103" s="426"/>
      <c r="T103" s="426"/>
      <c r="U103" s="425"/>
      <c r="V103" s="424"/>
      <c r="W103" s="424"/>
      <c r="X103" s="425"/>
      <c r="Y103" s="426"/>
      <c r="Z103" s="426"/>
      <c r="AA103" s="425"/>
      <c r="AB103" s="424"/>
      <c r="AC103" s="424"/>
      <c r="AD103" s="425"/>
      <c r="AE103" s="426"/>
      <c r="AF103" s="426"/>
      <c r="AG103" s="425"/>
      <c r="AH103" s="424"/>
      <c r="AI103" s="424"/>
      <c r="AJ103" s="425"/>
      <c r="AK103" s="426"/>
      <c r="AL103" s="426"/>
      <c r="AM103" s="425"/>
      <c r="AN103" s="424"/>
      <c r="AO103" s="424"/>
      <c r="AP103" s="425"/>
      <c r="AQ103" s="426"/>
      <c r="AR103" s="426"/>
      <c r="AS103" s="425"/>
      <c r="AT103" s="424"/>
      <c r="AU103" s="424"/>
      <c r="AV103" s="425"/>
      <c r="AW103" s="426"/>
      <c r="AX103" s="426"/>
      <c r="AY103" s="425"/>
      <c r="AZ103" s="424"/>
      <c r="BA103" s="424"/>
      <c r="BB103" s="425"/>
      <c r="BC103" s="426"/>
      <c r="BD103" s="426"/>
      <c r="BE103" s="425"/>
      <c r="BF103" s="424"/>
      <c r="BG103" s="424"/>
      <c r="BH103" s="425"/>
      <c r="BI103" s="426"/>
      <c r="BJ103" s="426"/>
      <c r="BK103" s="425"/>
      <c r="BL103" s="424"/>
      <c r="BM103" s="424"/>
      <c r="BN103" s="425"/>
      <c r="BO103" s="426"/>
      <c r="BP103" s="426"/>
      <c r="BQ103" s="425"/>
      <c r="BR103" s="424"/>
      <c r="BS103" s="424"/>
      <c r="BT103" s="425"/>
      <c r="BU103" s="426"/>
      <c r="BV103" s="426"/>
      <c r="BW103" s="425"/>
      <c r="BX103" s="424"/>
      <c r="BY103" s="424"/>
      <c r="BZ103" s="425"/>
      <c r="CA103" s="426"/>
      <c r="CB103" s="426"/>
      <c r="CC103" s="425"/>
      <c r="CD103" s="424"/>
      <c r="CE103" s="424"/>
      <c r="CF103" s="425"/>
      <c r="CG103" s="426"/>
      <c r="CH103" s="426"/>
      <c r="CI103" s="425"/>
      <c r="CJ103" s="424"/>
      <c r="CK103" s="424"/>
      <c r="CL103" s="425"/>
      <c r="CM103" s="426"/>
      <c r="CN103" s="426"/>
      <c r="CO103" s="425"/>
      <c r="CP103" s="424"/>
      <c r="CQ103" s="424"/>
      <c r="CR103" s="425"/>
      <c r="CS103" s="426"/>
      <c r="CT103" s="426"/>
      <c r="CU103" s="425"/>
      <c r="CV103" s="424"/>
      <c r="CW103" s="424"/>
      <c r="CX103" s="425"/>
      <c r="CY103" s="426"/>
      <c r="CZ103" s="426"/>
      <c r="DA103" s="425"/>
      <c r="DB103" s="424"/>
      <c r="DC103" s="424"/>
      <c r="DD103" s="425"/>
      <c r="DE103" s="426"/>
      <c r="DF103" s="426"/>
      <c r="DG103" s="425"/>
      <c r="DH103" s="424"/>
      <c r="DI103" s="424"/>
      <c r="DJ103" s="425"/>
      <c r="DK103" s="426"/>
      <c r="DL103" s="426"/>
      <c r="DM103" s="425"/>
      <c r="DN103" s="424"/>
      <c r="DO103" s="424"/>
      <c r="DP103" s="425"/>
      <c r="DQ103" s="426"/>
      <c r="DR103" s="426"/>
      <c r="DS103" s="425"/>
      <c r="DT103" s="424"/>
      <c r="DU103" s="424"/>
      <c r="DV103" s="425"/>
      <c r="DW103" s="426"/>
      <c r="DX103" s="426"/>
      <c r="DY103" s="425"/>
      <c r="DZ103" s="424"/>
      <c r="EA103" s="424"/>
    </row>
    <row r="104" spans="3:131">
      <c r="C104" s="96" t="s">
        <v>997</v>
      </c>
      <c r="D104" s="65"/>
      <c r="E104" s="65"/>
      <c r="F104" s="437" t="s">
        <v>948</v>
      </c>
      <c r="G104" s="436" t="s">
        <v>949</v>
      </c>
      <c r="H104" s="412" t="s">
        <v>950</v>
      </c>
      <c r="I104" s="429"/>
      <c r="J104" s="429">
        <f t="shared" si="3"/>
        <v>0</v>
      </c>
      <c r="K104" s="428">
        <f t="shared" si="4"/>
        <v>0</v>
      </c>
      <c r="L104" s="427"/>
      <c r="M104" s="426"/>
      <c r="N104" s="426"/>
      <c r="O104" s="425"/>
      <c r="P104" s="424"/>
      <c r="Q104" s="424"/>
      <c r="R104" s="425"/>
      <c r="S104" s="426"/>
      <c r="T104" s="426"/>
      <c r="U104" s="425"/>
      <c r="V104" s="424"/>
      <c r="W104" s="424"/>
      <c r="X104" s="425"/>
      <c r="Y104" s="426"/>
      <c r="Z104" s="426"/>
      <c r="AA104" s="425"/>
      <c r="AB104" s="424"/>
      <c r="AC104" s="424"/>
      <c r="AD104" s="425"/>
      <c r="AE104" s="426"/>
      <c r="AF104" s="426"/>
      <c r="AG104" s="425"/>
      <c r="AH104" s="424"/>
      <c r="AI104" s="424"/>
      <c r="AJ104" s="425"/>
      <c r="AK104" s="426"/>
      <c r="AL104" s="426"/>
      <c r="AM104" s="425"/>
      <c r="AN104" s="424"/>
      <c r="AO104" s="424"/>
      <c r="AP104" s="425"/>
      <c r="AQ104" s="426"/>
      <c r="AR104" s="426"/>
      <c r="AS104" s="425"/>
      <c r="AT104" s="424"/>
      <c r="AU104" s="424"/>
      <c r="AV104" s="425"/>
      <c r="AW104" s="426"/>
      <c r="AX104" s="426"/>
      <c r="AY104" s="425"/>
      <c r="AZ104" s="424"/>
      <c r="BA104" s="424"/>
      <c r="BB104" s="425"/>
      <c r="BC104" s="426"/>
      <c r="BD104" s="426"/>
      <c r="BE104" s="425"/>
      <c r="BF104" s="424"/>
      <c r="BG104" s="424"/>
      <c r="BH104" s="425"/>
      <c r="BI104" s="426"/>
      <c r="BJ104" s="426"/>
      <c r="BK104" s="425"/>
      <c r="BL104" s="424"/>
      <c r="BM104" s="424"/>
      <c r="BN104" s="425"/>
      <c r="BO104" s="426"/>
      <c r="BP104" s="426"/>
      <c r="BQ104" s="425"/>
      <c r="BR104" s="424"/>
      <c r="BS104" s="424"/>
      <c r="BT104" s="425"/>
      <c r="BU104" s="426"/>
      <c r="BV104" s="426"/>
      <c r="BW104" s="425"/>
      <c r="BX104" s="424"/>
      <c r="BY104" s="424"/>
      <c r="BZ104" s="425"/>
      <c r="CA104" s="426"/>
      <c r="CB104" s="426"/>
      <c r="CC104" s="425"/>
      <c r="CD104" s="424"/>
      <c r="CE104" s="424"/>
      <c r="CF104" s="425"/>
      <c r="CG104" s="426"/>
      <c r="CH104" s="426"/>
      <c r="CI104" s="425"/>
      <c r="CJ104" s="424"/>
      <c r="CK104" s="424"/>
      <c r="CL104" s="425"/>
      <c r="CM104" s="426"/>
      <c r="CN104" s="426"/>
      <c r="CO104" s="425"/>
      <c r="CP104" s="424"/>
      <c r="CQ104" s="424"/>
      <c r="CR104" s="425"/>
      <c r="CS104" s="426"/>
      <c r="CT104" s="426"/>
      <c r="CU104" s="425"/>
      <c r="CV104" s="424"/>
      <c r="CW104" s="424"/>
      <c r="CX104" s="425"/>
      <c r="CY104" s="426"/>
      <c r="CZ104" s="426"/>
      <c r="DA104" s="425"/>
      <c r="DB104" s="424"/>
      <c r="DC104" s="424"/>
      <c r="DD104" s="425"/>
      <c r="DE104" s="426"/>
      <c r="DF104" s="426"/>
      <c r="DG104" s="425"/>
      <c r="DH104" s="424"/>
      <c r="DI104" s="424"/>
      <c r="DJ104" s="425"/>
      <c r="DK104" s="426"/>
      <c r="DL104" s="426"/>
      <c r="DM104" s="425"/>
      <c r="DN104" s="424"/>
      <c r="DO104" s="424"/>
      <c r="DP104" s="425"/>
      <c r="DQ104" s="426"/>
      <c r="DR104" s="426"/>
      <c r="DS104" s="425"/>
      <c r="DT104" s="424"/>
      <c r="DU104" s="424"/>
      <c r="DV104" s="425"/>
      <c r="DW104" s="426"/>
      <c r="DX104" s="426"/>
      <c r="DY104" s="425"/>
      <c r="DZ104" s="424"/>
      <c r="EA104" s="424"/>
    </row>
    <row r="105" spans="3:131">
      <c r="D105" s="446" t="s">
        <v>592</v>
      </c>
      <c r="E105" s="1" t="s">
        <v>968</v>
      </c>
      <c r="F105" s="432">
        <f>'MF Unit Material'!Y204</f>
        <v>2125</v>
      </c>
      <c r="G105" s="431">
        <f>'MF Unit Material'!Z204</f>
        <v>2.93</v>
      </c>
      <c r="H105" s="158">
        <f>'MF Unit Material'!AA204</f>
        <v>6226.25</v>
      </c>
      <c r="I105" s="430">
        <f>F105-J105</f>
        <v>2125</v>
      </c>
      <c r="J105" s="429">
        <f t="shared" si="3"/>
        <v>0</v>
      </c>
      <c r="K105" s="428">
        <f t="shared" si="4"/>
        <v>0</v>
      </c>
      <c r="L105" s="427"/>
      <c r="M105" s="426"/>
      <c r="N105" s="426"/>
      <c r="O105" s="425"/>
      <c r="P105" s="424"/>
      <c r="Q105" s="424"/>
      <c r="R105" s="425"/>
      <c r="S105" s="426"/>
      <c r="T105" s="426"/>
      <c r="U105" s="425"/>
      <c r="V105" s="424"/>
      <c r="W105" s="424"/>
      <c r="X105" s="425"/>
      <c r="Y105" s="426"/>
      <c r="Z105" s="426"/>
      <c r="AA105" s="425"/>
      <c r="AB105" s="424"/>
      <c r="AC105" s="424"/>
      <c r="AD105" s="425"/>
      <c r="AE105" s="426"/>
      <c r="AF105" s="426"/>
      <c r="AG105" s="425"/>
      <c r="AH105" s="424"/>
      <c r="AI105" s="424"/>
      <c r="AJ105" s="425"/>
      <c r="AK105" s="426"/>
      <c r="AL105" s="426"/>
      <c r="AM105" s="425"/>
      <c r="AN105" s="424"/>
      <c r="AO105" s="424"/>
      <c r="AP105" s="425"/>
      <c r="AQ105" s="426"/>
      <c r="AR105" s="426"/>
      <c r="AS105" s="425"/>
      <c r="AT105" s="424"/>
      <c r="AU105" s="424"/>
      <c r="AV105" s="425"/>
      <c r="AW105" s="426"/>
      <c r="AX105" s="426"/>
      <c r="AY105" s="425"/>
      <c r="AZ105" s="424"/>
      <c r="BA105" s="424"/>
      <c r="BB105" s="425"/>
      <c r="BC105" s="426"/>
      <c r="BD105" s="426"/>
      <c r="BE105" s="425"/>
      <c r="BF105" s="424"/>
      <c r="BG105" s="424"/>
      <c r="BH105" s="425"/>
      <c r="BI105" s="426"/>
      <c r="BJ105" s="426"/>
      <c r="BK105" s="425"/>
      <c r="BL105" s="424"/>
      <c r="BM105" s="424"/>
      <c r="BN105" s="425"/>
      <c r="BO105" s="426"/>
      <c r="BP105" s="426"/>
      <c r="BQ105" s="425"/>
      <c r="BR105" s="424"/>
      <c r="BS105" s="424"/>
      <c r="BT105" s="425"/>
      <c r="BU105" s="426"/>
      <c r="BV105" s="426"/>
      <c r="BW105" s="425"/>
      <c r="BX105" s="424"/>
      <c r="BY105" s="424"/>
      <c r="BZ105" s="425"/>
      <c r="CA105" s="426"/>
      <c r="CB105" s="426"/>
      <c r="CC105" s="425"/>
      <c r="CD105" s="424"/>
      <c r="CE105" s="424"/>
      <c r="CF105" s="425"/>
      <c r="CG105" s="426"/>
      <c r="CH105" s="426"/>
      <c r="CI105" s="425"/>
      <c r="CJ105" s="424"/>
      <c r="CK105" s="424"/>
      <c r="CL105" s="425"/>
      <c r="CM105" s="426"/>
      <c r="CN105" s="426"/>
      <c r="CO105" s="425"/>
      <c r="CP105" s="424"/>
      <c r="CQ105" s="424"/>
      <c r="CR105" s="425"/>
      <c r="CS105" s="426"/>
      <c r="CT105" s="426"/>
      <c r="CU105" s="425"/>
      <c r="CV105" s="424"/>
      <c r="CW105" s="424"/>
      <c r="CX105" s="425"/>
      <c r="CY105" s="426"/>
      <c r="CZ105" s="426"/>
      <c r="DA105" s="425"/>
      <c r="DB105" s="424"/>
      <c r="DC105" s="424"/>
      <c r="DD105" s="425"/>
      <c r="DE105" s="426"/>
      <c r="DF105" s="426"/>
      <c r="DG105" s="425"/>
      <c r="DH105" s="424"/>
      <c r="DI105" s="424"/>
      <c r="DJ105" s="425"/>
      <c r="DK105" s="426"/>
      <c r="DL105" s="426"/>
      <c r="DM105" s="425"/>
      <c r="DN105" s="424"/>
      <c r="DO105" s="424"/>
      <c r="DP105" s="425"/>
      <c r="DQ105" s="426"/>
      <c r="DR105" s="426"/>
      <c r="DS105" s="425"/>
      <c r="DT105" s="424"/>
      <c r="DU105" s="424"/>
      <c r="DV105" s="425"/>
      <c r="DW105" s="426"/>
      <c r="DX105" s="426"/>
      <c r="DY105" s="425"/>
      <c r="DZ105" s="424"/>
      <c r="EA105" s="424"/>
    </row>
    <row r="106" spans="3:131">
      <c r="C106" s="423" t="s">
        <v>988</v>
      </c>
      <c r="D106" s="1"/>
      <c r="E106" s="16" t="s">
        <v>961</v>
      </c>
      <c r="F106" s="422">
        <f>'MF Unit Material'!Y206</f>
        <v>2125</v>
      </c>
      <c r="G106" s="421">
        <f>'MF Unit Material'!Z206</f>
        <v>0</v>
      </c>
      <c r="H106" s="420">
        <f>'MF Unit Material'!AA206</f>
        <v>6226.2500000000009</v>
      </c>
      <c r="I106" s="429"/>
      <c r="J106" s="429">
        <f t="shared" si="3"/>
        <v>0</v>
      </c>
      <c r="K106" s="428">
        <f t="shared" si="4"/>
        <v>0</v>
      </c>
      <c r="L106" s="427"/>
      <c r="M106" s="426"/>
      <c r="N106" s="426"/>
      <c r="O106" s="425"/>
      <c r="P106" s="424"/>
      <c r="Q106" s="424"/>
      <c r="R106" s="425"/>
      <c r="S106" s="426"/>
      <c r="T106" s="426"/>
      <c r="U106" s="425"/>
      <c r="V106" s="424"/>
      <c r="W106" s="424"/>
      <c r="X106" s="425"/>
      <c r="Y106" s="426"/>
      <c r="Z106" s="426"/>
      <c r="AA106" s="425"/>
      <c r="AB106" s="424"/>
      <c r="AC106" s="424"/>
      <c r="AD106" s="425"/>
      <c r="AE106" s="426"/>
      <c r="AF106" s="426"/>
      <c r="AG106" s="425"/>
      <c r="AH106" s="424"/>
      <c r="AI106" s="424"/>
      <c r="AJ106" s="425"/>
      <c r="AK106" s="426"/>
      <c r="AL106" s="426"/>
      <c r="AM106" s="425"/>
      <c r="AN106" s="424"/>
      <c r="AO106" s="424"/>
      <c r="AP106" s="425"/>
      <c r="AQ106" s="426"/>
      <c r="AR106" s="426"/>
      <c r="AS106" s="425"/>
      <c r="AT106" s="424"/>
      <c r="AU106" s="424"/>
      <c r="AV106" s="425"/>
      <c r="AW106" s="426"/>
      <c r="AX106" s="426"/>
      <c r="AY106" s="425"/>
      <c r="AZ106" s="424"/>
      <c r="BA106" s="424"/>
      <c r="BB106" s="425"/>
      <c r="BC106" s="426"/>
      <c r="BD106" s="426"/>
      <c r="BE106" s="425"/>
      <c r="BF106" s="424"/>
      <c r="BG106" s="424"/>
      <c r="BH106" s="425"/>
      <c r="BI106" s="426"/>
      <c r="BJ106" s="426"/>
      <c r="BK106" s="425"/>
      <c r="BL106" s="424"/>
      <c r="BM106" s="424"/>
      <c r="BN106" s="425"/>
      <c r="BO106" s="426"/>
      <c r="BP106" s="426"/>
      <c r="BQ106" s="425"/>
      <c r="BR106" s="424"/>
      <c r="BS106" s="424"/>
      <c r="BT106" s="425"/>
      <c r="BU106" s="426"/>
      <c r="BV106" s="426"/>
      <c r="BW106" s="425"/>
      <c r="BX106" s="424"/>
      <c r="BY106" s="424"/>
      <c r="BZ106" s="425"/>
      <c r="CA106" s="426"/>
      <c r="CB106" s="426"/>
      <c r="CC106" s="425"/>
      <c r="CD106" s="424"/>
      <c r="CE106" s="424"/>
      <c r="CF106" s="425"/>
      <c r="CG106" s="426"/>
      <c r="CH106" s="426"/>
      <c r="CI106" s="425"/>
      <c r="CJ106" s="424"/>
      <c r="CK106" s="424"/>
      <c r="CL106" s="425"/>
      <c r="CM106" s="426"/>
      <c r="CN106" s="426"/>
      <c r="CO106" s="425"/>
      <c r="CP106" s="424"/>
      <c r="CQ106" s="424"/>
      <c r="CR106" s="425"/>
      <c r="CS106" s="426"/>
      <c r="CT106" s="426"/>
      <c r="CU106" s="425"/>
      <c r="CV106" s="424"/>
      <c r="CW106" s="424"/>
      <c r="CX106" s="425"/>
      <c r="CY106" s="426"/>
      <c r="CZ106" s="426"/>
      <c r="DA106" s="425"/>
      <c r="DB106" s="424"/>
      <c r="DC106" s="424"/>
      <c r="DD106" s="425"/>
      <c r="DE106" s="426"/>
      <c r="DF106" s="426"/>
      <c r="DG106" s="425"/>
      <c r="DH106" s="424"/>
      <c r="DI106" s="424"/>
      <c r="DJ106" s="425"/>
      <c r="DK106" s="426"/>
      <c r="DL106" s="426"/>
      <c r="DM106" s="425"/>
      <c r="DN106" s="424"/>
      <c r="DO106" s="424"/>
      <c r="DP106" s="425"/>
      <c r="DQ106" s="426"/>
      <c r="DR106" s="426"/>
      <c r="DS106" s="425"/>
      <c r="DT106" s="424"/>
      <c r="DU106" s="424"/>
      <c r="DV106" s="425"/>
      <c r="DW106" s="426"/>
      <c r="DX106" s="426"/>
      <c r="DY106" s="425"/>
      <c r="DZ106" s="424"/>
      <c r="EA106" s="424"/>
    </row>
    <row r="107" spans="3:131">
      <c r="C107" s="96" t="s">
        <v>998</v>
      </c>
      <c r="D107" s="65"/>
      <c r="E107" s="65"/>
      <c r="F107" s="437" t="s">
        <v>948</v>
      </c>
      <c r="G107" s="436" t="s">
        <v>949</v>
      </c>
      <c r="H107" s="412" t="s">
        <v>950</v>
      </c>
      <c r="I107" s="429"/>
      <c r="J107" s="429">
        <f t="shared" si="3"/>
        <v>0</v>
      </c>
      <c r="K107" s="428">
        <f t="shared" si="4"/>
        <v>0</v>
      </c>
      <c r="L107" s="427"/>
      <c r="M107" s="426"/>
      <c r="N107" s="426"/>
      <c r="O107" s="425"/>
      <c r="P107" s="424"/>
      <c r="Q107" s="424"/>
      <c r="R107" s="425"/>
      <c r="S107" s="426"/>
      <c r="T107" s="426"/>
      <c r="U107" s="425"/>
      <c r="V107" s="424"/>
      <c r="W107" s="424"/>
      <c r="X107" s="425"/>
      <c r="Y107" s="426"/>
      <c r="Z107" s="426"/>
      <c r="AA107" s="425"/>
      <c r="AB107" s="424"/>
      <c r="AC107" s="424"/>
      <c r="AD107" s="425"/>
      <c r="AE107" s="426"/>
      <c r="AF107" s="426"/>
      <c r="AG107" s="425"/>
      <c r="AH107" s="424"/>
      <c r="AI107" s="424"/>
      <c r="AJ107" s="425"/>
      <c r="AK107" s="426"/>
      <c r="AL107" s="426"/>
      <c r="AM107" s="425"/>
      <c r="AN107" s="424"/>
      <c r="AO107" s="424"/>
      <c r="AP107" s="425"/>
      <c r="AQ107" s="426"/>
      <c r="AR107" s="426"/>
      <c r="AS107" s="425"/>
      <c r="AT107" s="424"/>
      <c r="AU107" s="424"/>
      <c r="AV107" s="425"/>
      <c r="AW107" s="426"/>
      <c r="AX107" s="426"/>
      <c r="AY107" s="425"/>
      <c r="AZ107" s="424"/>
      <c r="BA107" s="424"/>
      <c r="BB107" s="425"/>
      <c r="BC107" s="426"/>
      <c r="BD107" s="426"/>
      <c r="BE107" s="425"/>
      <c r="BF107" s="424"/>
      <c r="BG107" s="424"/>
      <c r="BH107" s="425"/>
      <c r="BI107" s="426"/>
      <c r="BJ107" s="426"/>
      <c r="BK107" s="425"/>
      <c r="BL107" s="424"/>
      <c r="BM107" s="424"/>
      <c r="BN107" s="425"/>
      <c r="BO107" s="426"/>
      <c r="BP107" s="426"/>
      <c r="BQ107" s="425"/>
      <c r="BR107" s="424"/>
      <c r="BS107" s="424"/>
      <c r="BT107" s="425"/>
      <c r="BU107" s="426"/>
      <c r="BV107" s="426"/>
      <c r="BW107" s="425"/>
      <c r="BX107" s="424"/>
      <c r="BY107" s="424"/>
      <c r="BZ107" s="425"/>
      <c r="CA107" s="426"/>
      <c r="CB107" s="426"/>
      <c r="CC107" s="425"/>
      <c r="CD107" s="424"/>
      <c r="CE107" s="424"/>
      <c r="CF107" s="425"/>
      <c r="CG107" s="426"/>
      <c r="CH107" s="426"/>
      <c r="CI107" s="425"/>
      <c r="CJ107" s="424"/>
      <c r="CK107" s="424"/>
      <c r="CL107" s="425"/>
      <c r="CM107" s="426"/>
      <c r="CN107" s="426"/>
      <c r="CO107" s="425"/>
      <c r="CP107" s="424"/>
      <c r="CQ107" s="424"/>
      <c r="CR107" s="425"/>
      <c r="CS107" s="426"/>
      <c r="CT107" s="426"/>
      <c r="CU107" s="425"/>
      <c r="CV107" s="424"/>
      <c r="CW107" s="424"/>
      <c r="CX107" s="425"/>
      <c r="CY107" s="426"/>
      <c r="CZ107" s="426"/>
      <c r="DA107" s="425"/>
      <c r="DB107" s="424"/>
      <c r="DC107" s="424"/>
      <c r="DD107" s="425"/>
      <c r="DE107" s="426"/>
      <c r="DF107" s="426"/>
      <c r="DG107" s="425"/>
      <c r="DH107" s="424"/>
      <c r="DI107" s="424"/>
      <c r="DJ107" s="425"/>
      <c r="DK107" s="426"/>
      <c r="DL107" s="426"/>
      <c r="DM107" s="425"/>
      <c r="DN107" s="424"/>
      <c r="DO107" s="424"/>
      <c r="DP107" s="425"/>
      <c r="DQ107" s="426"/>
      <c r="DR107" s="426"/>
      <c r="DS107" s="425"/>
      <c r="DT107" s="424"/>
      <c r="DU107" s="424"/>
      <c r="DV107" s="425"/>
      <c r="DW107" s="426"/>
      <c r="DX107" s="426"/>
      <c r="DY107" s="425"/>
      <c r="DZ107" s="424"/>
      <c r="EA107" s="424"/>
    </row>
    <row r="108" spans="3:131">
      <c r="D108" s="446" t="s">
        <v>994</v>
      </c>
      <c r="E108" s="1" t="s">
        <v>968</v>
      </c>
      <c r="F108" s="432">
        <f>'MF Unit Material'!Y208</f>
        <v>416</v>
      </c>
      <c r="G108" s="431">
        <f>'MF Unit Material'!Z208</f>
        <v>3.5</v>
      </c>
      <c r="H108" s="158">
        <f>'MF Unit Material'!AA208</f>
        <v>1456</v>
      </c>
      <c r="I108" s="430">
        <f>F108-J108</f>
        <v>416</v>
      </c>
      <c r="J108" s="429">
        <f t="shared" si="3"/>
        <v>0</v>
      </c>
      <c r="K108" s="428">
        <f t="shared" si="4"/>
        <v>0</v>
      </c>
      <c r="L108" s="427"/>
      <c r="M108" s="426"/>
      <c r="N108" s="426"/>
      <c r="O108" s="425"/>
      <c r="P108" s="424"/>
      <c r="Q108" s="424"/>
      <c r="R108" s="425"/>
      <c r="S108" s="426"/>
      <c r="T108" s="426"/>
      <c r="U108" s="425"/>
      <c r="V108" s="424"/>
      <c r="W108" s="424"/>
      <c r="X108" s="425"/>
      <c r="Y108" s="426"/>
      <c r="Z108" s="426"/>
      <c r="AA108" s="425"/>
      <c r="AB108" s="424"/>
      <c r="AC108" s="424"/>
      <c r="AD108" s="425"/>
      <c r="AE108" s="426"/>
      <c r="AF108" s="426"/>
      <c r="AG108" s="425"/>
      <c r="AH108" s="424"/>
      <c r="AI108" s="424"/>
      <c r="AJ108" s="425"/>
      <c r="AK108" s="426"/>
      <c r="AL108" s="426"/>
      <c r="AM108" s="425"/>
      <c r="AN108" s="424"/>
      <c r="AO108" s="424"/>
      <c r="AP108" s="425"/>
      <c r="AQ108" s="426"/>
      <c r="AR108" s="426"/>
      <c r="AS108" s="425"/>
      <c r="AT108" s="424"/>
      <c r="AU108" s="424"/>
      <c r="AV108" s="425"/>
      <c r="AW108" s="426"/>
      <c r="AX108" s="426"/>
      <c r="AY108" s="425"/>
      <c r="AZ108" s="424"/>
      <c r="BA108" s="424"/>
      <c r="BB108" s="425"/>
      <c r="BC108" s="426"/>
      <c r="BD108" s="426"/>
      <c r="BE108" s="425"/>
      <c r="BF108" s="424"/>
      <c r="BG108" s="424"/>
      <c r="BH108" s="425"/>
      <c r="BI108" s="426"/>
      <c r="BJ108" s="426"/>
      <c r="BK108" s="425"/>
      <c r="BL108" s="424"/>
      <c r="BM108" s="424"/>
      <c r="BN108" s="425"/>
      <c r="BO108" s="426"/>
      <c r="BP108" s="426"/>
      <c r="BQ108" s="425"/>
      <c r="BR108" s="424"/>
      <c r="BS108" s="424"/>
      <c r="BT108" s="425"/>
      <c r="BU108" s="426"/>
      <c r="BV108" s="426"/>
      <c r="BW108" s="425"/>
      <c r="BX108" s="424"/>
      <c r="BY108" s="424"/>
      <c r="BZ108" s="425"/>
      <c r="CA108" s="426"/>
      <c r="CB108" s="426"/>
      <c r="CC108" s="425"/>
      <c r="CD108" s="424"/>
      <c r="CE108" s="424"/>
      <c r="CF108" s="425"/>
      <c r="CG108" s="426"/>
      <c r="CH108" s="426"/>
      <c r="CI108" s="425"/>
      <c r="CJ108" s="424"/>
      <c r="CK108" s="424"/>
      <c r="CL108" s="425"/>
      <c r="CM108" s="426"/>
      <c r="CN108" s="426"/>
      <c r="CO108" s="425"/>
      <c r="CP108" s="424"/>
      <c r="CQ108" s="424"/>
      <c r="CR108" s="425"/>
      <c r="CS108" s="426"/>
      <c r="CT108" s="426"/>
      <c r="CU108" s="425"/>
      <c r="CV108" s="424"/>
      <c r="CW108" s="424"/>
      <c r="CX108" s="425"/>
      <c r="CY108" s="426"/>
      <c r="CZ108" s="426"/>
      <c r="DA108" s="425"/>
      <c r="DB108" s="424"/>
      <c r="DC108" s="424"/>
      <c r="DD108" s="425"/>
      <c r="DE108" s="426"/>
      <c r="DF108" s="426"/>
      <c r="DG108" s="425"/>
      <c r="DH108" s="424"/>
      <c r="DI108" s="424"/>
      <c r="DJ108" s="425"/>
      <c r="DK108" s="426"/>
      <c r="DL108" s="426"/>
      <c r="DM108" s="425"/>
      <c r="DN108" s="424"/>
      <c r="DO108" s="424"/>
      <c r="DP108" s="425"/>
      <c r="DQ108" s="426"/>
      <c r="DR108" s="426"/>
      <c r="DS108" s="425"/>
      <c r="DT108" s="424"/>
      <c r="DU108" s="424"/>
      <c r="DV108" s="425"/>
      <c r="DW108" s="426"/>
      <c r="DX108" s="426"/>
      <c r="DY108" s="425"/>
      <c r="DZ108" s="424"/>
      <c r="EA108" s="424"/>
    </row>
    <row r="109" spans="3:131">
      <c r="C109" s="423" t="s">
        <v>988</v>
      </c>
      <c r="D109" s="1"/>
      <c r="E109" s="16" t="s">
        <v>961</v>
      </c>
      <c r="F109" s="422">
        <f>'MF Unit Material'!Y210</f>
        <v>416</v>
      </c>
      <c r="G109" s="421">
        <f>'MF Unit Material'!Z210</f>
        <v>0</v>
      </c>
      <c r="H109" s="420">
        <f>'MF Unit Material'!AA210</f>
        <v>1456</v>
      </c>
      <c r="I109" s="429"/>
      <c r="J109" s="429">
        <f t="shared" si="3"/>
        <v>0</v>
      </c>
      <c r="K109" s="428">
        <f t="shared" si="4"/>
        <v>0</v>
      </c>
      <c r="L109" s="427"/>
      <c r="M109" s="426"/>
      <c r="N109" s="426"/>
      <c r="O109" s="425"/>
      <c r="P109" s="424"/>
      <c r="Q109" s="424"/>
      <c r="R109" s="425"/>
      <c r="S109" s="426"/>
      <c r="T109" s="426"/>
      <c r="U109" s="425"/>
      <c r="V109" s="424"/>
      <c r="W109" s="424"/>
      <c r="X109" s="425"/>
      <c r="Y109" s="426"/>
      <c r="Z109" s="426"/>
      <c r="AA109" s="425"/>
      <c r="AB109" s="424"/>
      <c r="AC109" s="424"/>
      <c r="AD109" s="425"/>
      <c r="AE109" s="426"/>
      <c r="AF109" s="426"/>
      <c r="AG109" s="425"/>
      <c r="AH109" s="424"/>
      <c r="AI109" s="424"/>
      <c r="AJ109" s="425"/>
      <c r="AK109" s="426"/>
      <c r="AL109" s="426"/>
      <c r="AM109" s="425"/>
      <c r="AN109" s="424"/>
      <c r="AO109" s="424"/>
      <c r="AP109" s="425"/>
      <c r="AQ109" s="426"/>
      <c r="AR109" s="426"/>
      <c r="AS109" s="425"/>
      <c r="AT109" s="424"/>
      <c r="AU109" s="424"/>
      <c r="AV109" s="425"/>
      <c r="AW109" s="426"/>
      <c r="AX109" s="426"/>
      <c r="AY109" s="425"/>
      <c r="AZ109" s="424"/>
      <c r="BA109" s="424"/>
      <c r="BB109" s="425"/>
      <c r="BC109" s="426"/>
      <c r="BD109" s="426"/>
      <c r="BE109" s="425"/>
      <c r="BF109" s="424"/>
      <c r="BG109" s="424"/>
      <c r="BH109" s="425"/>
      <c r="BI109" s="426"/>
      <c r="BJ109" s="426"/>
      <c r="BK109" s="425"/>
      <c r="BL109" s="424"/>
      <c r="BM109" s="424"/>
      <c r="BN109" s="425"/>
      <c r="BO109" s="426"/>
      <c r="BP109" s="426"/>
      <c r="BQ109" s="425"/>
      <c r="BR109" s="424"/>
      <c r="BS109" s="424"/>
      <c r="BT109" s="425"/>
      <c r="BU109" s="426"/>
      <c r="BV109" s="426"/>
      <c r="BW109" s="425"/>
      <c r="BX109" s="424"/>
      <c r="BY109" s="424"/>
      <c r="BZ109" s="425"/>
      <c r="CA109" s="426"/>
      <c r="CB109" s="426"/>
      <c r="CC109" s="425"/>
      <c r="CD109" s="424"/>
      <c r="CE109" s="424"/>
      <c r="CF109" s="425"/>
      <c r="CG109" s="426"/>
      <c r="CH109" s="426"/>
      <c r="CI109" s="425"/>
      <c r="CJ109" s="424"/>
      <c r="CK109" s="424"/>
      <c r="CL109" s="425"/>
      <c r="CM109" s="426"/>
      <c r="CN109" s="426"/>
      <c r="CO109" s="425"/>
      <c r="CP109" s="424"/>
      <c r="CQ109" s="424"/>
      <c r="CR109" s="425"/>
      <c r="CS109" s="426"/>
      <c r="CT109" s="426"/>
      <c r="CU109" s="425"/>
      <c r="CV109" s="424"/>
      <c r="CW109" s="424"/>
      <c r="CX109" s="425"/>
      <c r="CY109" s="426"/>
      <c r="CZ109" s="426"/>
      <c r="DA109" s="425"/>
      <c r="DB109" s="424"/>
      <c r="DC109" s="424"/>
      <c r="DD109" s="425"/>
      <c r="DE109" s="426"/>
      <c r="DF109" s="426"/>
      <c r="DG109" s="425"/>
      <c r="DH109" s="424"/>
      <c r="DI109" s="424"/>
      <c r="DJ109" s="425"/>
      <c r="DK109" s="426"/>
      <c r="DL109" s="426"/>
      <c r="DM109" s="425"/>
      <c r="DN109" s="424"/>
      <c r="DO109" s="424"/>
      <c r="DP109" s="425"/>
      <c r="DQ109" s="426"/>
      <c r="DR109" s="426"/>
      <c r="DS109" s="425"/>
      <c r="DT109" s="424"/>
      <c r="DU109" s="424"/>
      <c r="DV109" s="425"/>
      <c r="DW109" s="426"/>
      <c r="DX109" s="426"/>
      <c r="DY109" s="425"/>
      <c r="DZ109" s="424"/>
      <c r="EA109" s="424"/>
    </row>
    <row r="110" spans="3:131">
      <c r="C110" s="96" t="s">
        <v>999</v>
      </c>
      <c r="D110" s="65"/>
      <c r="E110" s="65"/>
      <c r="F110" s="437" t="s">
        <v>948</v>
      </c>
      <c r="G110" s="436" t="s">
        <v>949</v>
      </c>
      <c r="H110" s="412" t="s">
        <v>950</v>
      </c>
      <c r="I110" s="429"/>
      <c r="J110" s="429">
        <f t="shared" si="3"/>
        <v>0</v>
      </c>
      <c r="K110" s="428">
        <f t="shared" si="4"/>
        <v>0</v>
      </c>
      <c r="L110" s="427"/>
      <c r="M110" s="426"/>
      <c r="N110" s="426"/>
      <c r="O110" s="425"/>
      <c r="P110" s="424"/>
      <c r="Q110" s="424"/>
      <c r="R110" s="425"/>
      <c r="S110" s="426"/>
      <c r="T110" s="426"/>
      <c r="U110" s="425"/>
      <c r="V110" s="424"/>
      <c r="W110" s="424"/>
      <c r="X110" s="425"/>
      <c r="Y110" s="426"/>
      <c r="Z110" s="426"/>
      <c r="AA110" s="425"/>
      <c r="AB110" s="424"/>
      <c r="AC110" s="424"/>
      <c r="AD110" s="425"/>
      <c r="AE110" s="426"/>
      <c r="AF110" s="426"/>
      <c r="AG110" s="425"/>
      <c r="AH110" s="424"/>
      <c r="AI110" s="424"/>
      <c r="AJ110" s="425"/>
      <c r="AK110" s="426"/>
      <c r="AL110" s="426"/>
      <c r="AM110" s="425"/>
      <c r="AN110" s="424"/>
      <c r="AO110" s="424"/>
      <c r="AP110" s="425"/>
      <c r="AQ110" s="426"/>
      <c r="AR110" s="426"/>
      <c r="AS110" s="425"/>
      <c r="AT110" s="424"/>
      <c r="AU110" s="424"/>
      <c r="AV110" s="425"/>
      <c r="AW110" s="426"/>
      <c r="AX110" s="426"/>
      <c r="AY110" s="425"/>
      <c r="AZ110" s="424"/>
      <c r="BA110" s="424"/>
      <c r="BB110" s="425"/>
      <c r="BC110" s="426"/>
      <c r="BD110" s="426"/>
      <c r="BE110" s="425"/>
      <c r="BF110" s="424"/>
      <c r="BG110" s="424"/>
      <c r="BH110" s="425"/>
      <c r="BI110" s="426"/>
      <c r="BJ110" s="426"/>
      <c r="BK110" s="425"/>
      <c r="BL110" s="424"/>
      <c r="BM110" s="424"/>
      <c r="BN110" s="425"/>
      <c r="BO110" s="426"/>
      <c r="BP110" s="426"/>
      <c r="BQ110" s="425"/>
      <c r="BR110" s="424"/>
      <c r="BS110" s="424"/>
      <c r="BT110" s="425"/>
      <c r="BU110" s="426"/>
      <c r="BV110" s="426"/>
      <c r="BW110" s="425"/>
      <c r="BX110" s="424"/>
      <c r="BY110" s="424"/>
      <c r="BZ110" s="425"/>
      <c r="CA110" s="426"/>
      <c r="CB110" s="426"/>
      <c r="CC110" s="425"/>
      <c r="CD110" s="424"/>
      <c r="CE110" s="424"/>
      <c r="CF110" s="425"/>
      <c r="CG110" s="426"/>
      <c r="CH110" s="426"/>
      <c r="CI110" s="425"/>
      <c r="CJ110" s="424"/>
      <c r="CK110" s="424"/>
      <c r="CL110" s="425"/>
      <c r="CM110" s="426"/>
      <c r="CN110" s="426"/>
      <c r="CO110" s="425"/>
      <c r="CP110" s="424"/>
      <c r="CQ110" s="424"/>
      <c r="CR110" s="425"/>
      <c r="CS110" s="426"/>
      <c r="CT110" s="426"/>
      <c r="CU110" s="425"/>
      <c r="CV110" s="424"/>
      <c r="CW110" s="424"/>
      <c r="CX110" s="425"/>
      <c r="CY110" s="426"/>
      <c r="CZ110" s="426"/>
      <c r="DA110" s="425"/>
      <c r="DB110" s="424"/>
      <c r="DC110" s="424"/>
      <c r="DD110" s="425"/>
      <c r="DE110" s="426"/>
      <c r="DF110" s="426"/>
      <c r="DG110" s="425"/>
      <c r="DH110" s="424"/>
      <c r="DI110" s="424"/>
      <c r="DJ110" s="425"/>
      <c r="DK110" s="426"/>
      <c r="DL110" s="426"/>
      <c r="DM110" s="425"/>
      <c r="DN110" s="424"/>
      <c r="DO110" s="424"/>
      <c r="DP110" s="425"/>
      <c r="DQ110" s="426"/>
      <c r="DR110" s="426"/>
      <c r="DS110" s="425"/>
      <c r="DT110" s="424"/>
      <c r="DU110" s="424"/>
      <c r="DV110" s="425"/>
      <c r="DW110" s="426"/>
      <c r="DX110" s="426"/>
      <c r="DY110" s="425"/>
      <c r="DZ110" s="424"/>
      <c r="EA110" s="424"/>
    </row>
    <row r="111" spans="3:131">
      <c r="D111" s="446" t="s">
        <v>601</v>
      </c>
      <c r="E111" s="1" t="s">
        <v>968</v>
      </c>
      <c r="F111" s="432">
        <f>'MF Unit Material'!Y212</f>
        <v>0</v>
      </c>
      <c r="G111" s="431">
        <f>'MF Unit Material'!Z212</f>
        <v>4.5</v>
      </c>
      <c r="H111" s="158">
        <f>'MF Unit Material'!AA212</f>
        <v>0</v>
      </c>
      <c r="I111" s="430">
        <f>F111-J111</f>
        <v>0</v>
      </c>
      <c r="J111" s="429">
        <f t="shared" si="3"/>
        <v>0</v>
      </c>
      <c r="K111" s="428">
        <f t="shared" si="4"/>
        <v>0</v>
      </c>
      <c r="L111" s="427"/>
      <c r="M111" s="426"/>
      <c r="N111" s="426"/>
      <c r="O111" s="425"/>
      <c r="P111" s="424"/>
      <c r="Q111" s="424"/>
      <c r="R111" s="425"/>
      <c r="S111" s="426"/>
      <c r="T111" s="426"/>
      <c r="U111" s="425"/>
      <c r="V111" s="424"/>
      <c r="W111" s="424"/>
      <c r="X111" s="425"/>
      <c r="Y111" s="426"/>
      <c r="Z111" s="426"/>
      <c r="AA111" s="425"/>
      <c r="AB111" s="424"/>
      <c r="AC111" s="424"/>
      <c r="AD111" s="425"/>
      <c r="AE111" s="426"/>
      <c r="AF111" s="426"/>
      <c r="AG111" s="425"/>
      <c r="AH111" s="424"/>
      <c r="AI111" s="424"/>
      <c r="AJ111" s="425"/>
      <c r="AK111" s="426"/>
      <c r="AL111" s="426"/>
      <c r="AM111" s="425"/>
      <c r="AN111" s="424"/>
      <c r="AO111" s="424"/>
      <c r="AP111" s="425"/>
      <c r="AQ111" s="426"/>
      <c r="AR111" s="426"/>
      <c r="AS111" s="425"/>
      <c r="AT111" s="424"/>
      <c r="AU111" s="424"/>
      <c r="AV111" s="425"/>
      <c r="AW111" s="426"/>
      <c r="AX111" s="426"/>
      <c r="AY111" s="425"/>
      <c r="AZ111" s="424"/>
      <c r="BA111" s="424"/>
      <c r="BB111" s="425"/>
      <c r="BC111" s="426"/>
      <c r="BD111" s="426"/>
      <c r="BE111" s="425"/>
      <c r="BF111" s="424"/>
      <c r="BG111" s="424"/>
      <c r="BH111" s="425"/>
      <c r="BI111" s="426"/>
      <c r="BJ111" s="426"/>
      <c r="BK111" s="425"/>
      <c r="BL111" s="424"/>
      <c r="BM111" s="424"/>
      <c r="BN111" s="425"/>
      <c r="BO111" s="426"/>
      <c r="BP111" s="426"/>
      <c r="BQ111" s="425"/>
      <c r="BR111" s="424"/>
      <c r="BS111" s="424"/>
      <c r="BT111" s="425"/>
      <c r="BU111" s="426"/>
      <c r="BV111" s="426"/>
      <c r="BW111" s="425"/>
      <c r="BX111" s="424"/>
      <c r="BY111" s="424"/>
      <c r="BZ111" s="425"/>
      <c r="CA111" s="426"/>
      <c r="CB111" s="426"/>
      <c r="CC111" s="425"/>
      <c r="CD111" s="424"/>
      <c r="CE111" s="424"/>
      <c r="CF111" s="425"/>
      <c r="CG111" s="426"/>
      <c r="CH111" s="426"/>
      <c r="CI111" s="425"/>
      <c r="CJ111" s="424"/>
      <c r="CK111" s="424"/>
      <c r="CL111" s="425"/>
      <c r="CM111" s="426"/>
      <c r="CN111" s="426"/>
      <c r="CO111" s="425"/>
      <c r="CP111" s="424"/>
      <c r="CQ111" s="424"/>
      <c r="CR111" s="425"/>
      <c r="CS111" s="426"/>
      <c r="CT111" s="426"/>
      <c r="CU111" s="425"/>
      <c r="CV111" s="424"/>
      <c r="CW111" s="424"/>
      <c r="CX111" s="425"/>
      <c r="CY111" s="426"/>
      <c r="CZ111" s="426"/>
      <c r="DA111" s="425"/>
      <c r="DB111" s="424"/>
      <c r="DC111" s="424"/>
      <c r="DD111" s="425"/>
      <c r="DE111" s="426"/>
      <c r="DF111" s="426"/>
      <c r="DG111" s="425"/>
      <c r="DH111" s="424"/>
      <c r="DI111" s="424"/>
      <c r="DJ111" s="425"/>
      <c r="DK111" s="426"/>
      <c r="DL111" s="426"/>
      <c r="DM111" s="425"/>
      <c r="DN111" s="424"/>
      <c r="DO111" s="424"/>
      <c r="DP111" s="425"/>
      <c r="DQ111" s="426"/>
      <c r="DR111" s="426"/>
      <c r="DS111" s="425"/>
      <c r="DT111" s="424"/>
      <c r="DU111" s="424"/>
      <c r="DV111" s="425"/>
      <c r="DW111" s="426"/>
      <c r="DX111" s="426"/>
      <c r="DY111" s="425"/>
      <c r="DZ111" s="424"/>
      <c r="EA111" s="424"/>
    </row>
    <row r="112" spans="3:131">
      <c r="C112" s="423" t="s">
        <v>988</v>
      </c>
      <c r="D112" s="1"/>
      <c r="E112" s="16" t="s">
        <v>961</v>
      </c>
      <c r="F112" s="422">
        <f>'MF Unit Material'!Y214</f>
        <v>0</v>
      </c>
      <c r="G112" s="421">
        <f>'MF Unit Material'!Z214</f>
        <v>0</v>
      </c>
      <c r="H112" s="420">
        <f>'MF Unit Material'!AA214</f>
        <v>0</v>
      </c>
      <c r="I112" s="429"/>
      <c r="J112" s="429">
        <f t="shared" si="3"/>
        <v>0</v>
      </c>
      <c r="K112" s="428">
        <f t="shared" si="4"/>
        <v>0</v>
      </c>
      <c r="L112" s="427"/>
      <c r="M112" s="426"/>
      <c r="N112" s="426"/>
      <c r="O112" s="425"/>
      <c r="P112" s="424"/>
      <c r="Q112" s="424"/>
      <c r="R112" s="425"/>
      <c r="S112" s="426"/>
      <c r="T112" s="426"/>
      <c r="U112" s="425"/>
      <c r="V112" s="424"/>
      <c r="W112" s="424"/>
      <c r="X112" s="425"/>
      <c r="Y112" s="426"/>
      <c r="Z112" s="426"/>
      <c r="AA112" s="425"/>
      <c r="AB112" s="424"/>
      <c r="AC112" s="424"/>
      <c r="AD112" s="425"/>
      <c r="AE112" s="426"/>
      <c r="AF112" s="426"/>
      <c r="AG112" s="425"/>
      <c r="AH112" s="424"/>
      <c r="AI112" s="424"/>
      <c r="AJ112" s="425"/>
      <c r="AK112" s="426"/>
      <c r="AL112" s="426"/>
      <c r="AM112" s="425"/>
      <c r="AN112" s="424"/>
      <c r="AO112" s="424"/>
      <c r="AP112" s="425"/>
      <c r="AQ112" s="426"/>
      <c r="AR112" s="426"/>
      <c r="AS112" s="425"/>
      <c r="AT112" s="424"/>
      <c r="AU112" s="424"/>
      <c r="AV112" s="425"/>
      <c r="AW112" s="426"/>
      <c r="AX112" s="426"/>
      <c r="AY112" s="425"/>
      <c r="AZ112" s="424"/>
      <c r="BA112" s="424"/>
      <c r="BB112" s="425"/>
      <c r="BC112" s="426"/>
      <c r="BD112" s="426"/>
      <c r="BE112" s="425"/>
      <c r="BF112" s="424"/>
      <c r="BG112" s="424"/>
      <c r="BH112" s="425"/>
      <c r="BI112" s="426"/>
      <c r="BJ112" s="426"/>
      <c r="BK112" s="425"/>
      <c r="BL112" s="424"/>
      <c r="BM112" s="424"/>
      <c r="BN112" s="425"/>
      <c r="BO112" s="426"/>
      <c r="BP112" s="426"/>
      <c r="BQ112" s="425"/>
      <c r="BR112" s="424"/>
      <c r="BS112" s="424"/>
      <c r="BT112" s="425"/>
      <c r="BU112" s="426"/>
      <c r="BV112" s="426"/>
      <c r="BW112" s="425"/>
      <c r="BX112" s="424"/>
      <c r="BY112" s="424"/>
      <c r="BZ112" s="425"/>
      <c r="CA112" s="426"/>
      <c r="CB112" s="426"/>
      <c r="CC112" s="425"/>
      <c r="CD112" s="424"/>
      <c r="CE112" s="424"/>
      <c r="CF112" s="425"/>
      <c r="CG112" s="426"/>
      <c r="CH112" s="426"/>
      <c r="CI112" s="425"/>
      <c r="CJ112" s="424"/>
      <c r="CK112" s="424"/>
      <c r="CL112" s="425"/>
      <c r="CM112" s="426"/>
      <c r="CN112" s="426"/>
      <c r="CO112" s="425"/>
      <c r="CP112" s="424"/>
      <c r="CQ112" s="424"/>
      <c r="CR112" s="425"/>
      <c r="CS112" s="426"/>
      <c r="CT112" s="426"/>
      <c r="CU112" s="425"/>
      <c r="CV112" s="424"/>
      <c r="CW112" s="424"/>
      <c r="CX112" s="425"/>
      <c r="CY112" s="426"/>
      <c r="CZ112" s="426"/>
      <c r="DA112" s="425"/>
      <c r="DB112" s="424"/>
      <c r="DC112" s="424"/>
      <c r="DD112" s="425"/>
      <c r="DE112" s="426"/>
      <c r="DF112" s="426"/>
      <c r="DG112" s="425"/>
      <c r="DH112" s="424"/>
      <c r="DI112" s="424"/>
      <c r="DJ112" s="425"/>
      <c r="DK112" s="426"/>
      <c r="DL112" s="426"/>
      <c r="DM112" s="425"/>
      <c r="DN112" s="424"/>
      <c r="DO112" s="424"/>
      <c r="DP112" s="425"/>
      <c r="DQ112" s="426"/>
      <c r="DR112" s="426"/>
      <c r="DS112" s="425"/>
      <c r="DT112" s="424"/>
      <c r="DU112" s="424"/>
      <c r="DV112" s="425"/>
      <c r="DW112" s="426"/>
      <c r="DX112" s="426"/>
      <c r="DY112" s="425"/>
      <c r="DZ112" s="424"/>
      <c r="EA112" s="424"/>
    </row>
    <row r="113" spans="2:131" collapsed="1">
      <c r="C113" s="96" t="s">
        <v>1000</v>
      </c>
      <c r="D113" s="65"/>
      <c r="E113" s="65"/>
      <c r="F113" s="437" t="s">
        <v>948</v>
      </c>
      <c r="G113" s="436" t="s">
        <v>949</v>
      </c>
      <c r="H113" s="412" t="s">
        <v>950</v>
      </c>
      <c r="I113" s="429"/>
      <c r="J113" s="429">
        <f t="shared" si="3"/>
        <v>0</v>
      </c>
      <c r="K113" s="428">
        <f t="shared" si="4"/>
        <v>0</v>
      </c>
      <c r="L113" s="427"/>
      <c r="M113" s="426"/>
      <c r="N113" s="426"/>
      <c r="O113" s="425"/>
      <c r="P113" s="424"/>
      <c r="Q113" s="424"/>
      <c r="R113" s="425"/>
      <c r="S113" s="426"/>
      <c r="T113" s="426"/>
      <c r="U113" s="425"/>
      <c r="V113" s="424"/>
      <c r="W113" s="424"/>
      <c r="X113" s="425"/>
      <c r="Y113" s="426"/>
      <c r="Z113" s="426"/>
      <c r="AA113" s="425"/>
      <c r="AB113" s="424"/>
      <c r="AC113" s="424"/>
      <c r="AD113" s="425"/>
      <c r="AE113" s="426"/>
      <c r="AF113" s="426"/>
      <c r="AG113" s="425"/>
      <c r="AH113" s="424"/>
      <c r="AI113" s="424"/>
      <c r="AJ113" s="425"/>
      <c r="AK113" s="426"/>
      <c r="AL113" s="426"/>
      <c r="AM113" s="425"/>
      <c r="AN113" s="424"/>
      <c r="AO113" s="424"/>
      <c r="AP113" s="425"/>
      <c r="AQ113" s="426"/>
      <c r="AR113" s="426"/>
      <c r="AS113" s="425"/>
      <c r="AT113" s="424"/>
      <c r="AU113" s="424"/>
      <c r="AV113" s="425"/>
      <c r="AW113" s="426"/>
      <c r="AX113" s="426"/>
      <c r="AY113" s="425"/>
      <c r="AZ113" s="424"/>
      <c r="BA113" s="424"/>
      <c r="BB113" s="425"/>
      <c r="BC113" s="426"/>
      <c r="BD113" s="426"/>
      <c r="BE113" s="425"/>
      <c r="BF113" s="424"/>
      <c r="BG113" s="424"/>
      <c r="BH113" s="425"/>
      <c r="BI113" s="426"/>
      <c r="BJ113" s="426"/>
      <c r="BK113" s="425"/>
      <c r="BL113" s="424"/>
      <c r="BM113" s="424"/>
      <c r="BN113" s="425"/>
      <c r="BO113" s="426"/>
      <c r="BP113" s="426"/>
      <c r="BQ113" s="425"/>
      <c r="BR113" s="424"/>
      <c r="BS113" s="424"/>
      <c r="BT113" s="425"/>
      <c r="BU113" s="426"/>
      <c r="BV113" s="426"/>
      <c r="BW113" s="425"/>
      <c r="BX113" s="424"/>
      <c r="BY113" s="424"/>
      <c r="BZ113" s="425"/>
      <c r="CA113" s="426"/>
      <c r="CB113" s="426"/>
      <c r="CC113" s="425"/>
      <c r="CD113" s="424"/>
      <c r="CE113" s="424"/>
      <c r="CF113" s="425"/>
      <c r="CG113" s="426"/>
      <c r="CH113" s="426"/>
      <c r="CI113" s="425"/>
      <c r="CJ113" s="424"/>
      <c r="CK113" s="424"/>
      <c r="CL113" s="425"/>
      <c r="CM113" s="426"/>
      <c r="CN113" s="426"/>
      <c r="CO113" s="425"/>
      <c r="CP113" s="424"/>
      <c r="CQ113" s="424"/>
      <c r="CR113" s="425"/>
      <c r="CS113" s="426"/>
      <c r="CT113" s="426"/>
      <c r="CU113" s="425"/>
      <c r="CV113" s="424"/>
      <c r="CW113" s="424"/>
      <c r="CX113" s="425"/>
      <c r="CY113" s="426"/>
      <c r="CZ113" s="426"/>
      <c r="DA113" s="425"/>
      <c r="DB113" s="424"/>
      <c r="DC113" s="424"/>
      <c r="DD113" s="425"/>
      <c r="DE113" s="426"/>
      <c r="DF113" s="426"/>
      <c r="DG113" s="425"/>
      <c r="DH113" s="424"/>
      <c r="DI113" s="424"/>
      <c r="DJ113" s="425"/>
      <c r="DK113" s="426"/>
      <c r="DL113" s="426"/>
      <c r="DM113" s="425"/>
      <c r="DN113" s="424"/>
      <c r="DO113" s="424"/>
      <c r="DP113" s="425"/>
      <c r="DQ113" s="426"/>
      <c r="DR113" s="426"/>
      <c r="DS113" s="425"/>
      <c r="DT113" s="424"/>
      <c r="DU113" s="424"/>
      <c r="DV113" s="425"/>
      <c r="DW113" s="426"/>
      <c r="DX113" s="426"/>
      <c r="DY113" s="425"/>
      <c r="DZ113" s="424"/>
      <c r="EA113" s="424"/>
    </row>
    <row r="114" spans="2:131">
      <c r="D114" s="446"/>
      <c r="E114" s="1" t="s">
        <v>1001</v>
      </c>
      <c r="F114" s="432">
        <f>'MF Unit Material'!Y216</f>
        <v>147.82499999999999</v>
      </c>
      <c r="G114" s="431">
        <f>'MF Unit Material'!Z216</f>
        <v>9</v>
      </c>
      <c r="H114" s="158">
        <f>'MF Unit Material'!AA216</f>
        <v>1330.425</v>
      </c>
      <c r="I114" s="430">
        <f>F114-J114</f>
        <v>147.82499999999999</v>
      </c>
      <c r="J114" s="429">
        <f t="shared" si="3"/>
        <v>0</v>
      </c>
      <c r="K114" s="428">
        <f t="shared" si="4"/>
        <v>0</v>
      </c>
      <c r="L114" s="427"/>
      <c r="M114" s="426"/>
      <c r="N114" s="426"/>
      <c r="O114" s="425"/>
      <c r="P114" s="424"/>
      <c r="Q114" s="424"/>
      <c r="R114" s="425"/>
      <c r="S114" s="426"/>
      <c r="T114" s="426"/>
      <c r="U114" s="425"/>
      <c r="V114" s="424"/>
      <c r="W114" s="424"/>
      <c r="X114" s="425"/>
      <c r="Y114" s="426"/>
      <c r="Z114" s="426"/>
      <c r="AA114" s="425"/>
      <c r="AB114" s="424"/>
      <c r="AC114" s="424"/>
      <c r="AD114" s="425"/>
      <c r="AE114" s="426"/>
      <c r="AF114" s="426"/>
      <c r="AG114" s="425"/>
      <c r="AH114" s="424"/>
      <c r="AI114" s="424"/>
      <c r="AJ114" s="425"/>
      <c r="AK114" s="426"/>
      <c r="AL114" s="426"/>
      <c r="AM114" s="425"/>
      <c r="AN114" s="424"/>
      <c r="AO114" s="424"/>
      <c r="AP114" s="425"/>
      <c r="AQ114" s="426"/>
      <c r="AR114" s="426"/>
      <c r="AS114" s="425"/>
      <c r="AT114" s="424"/>
      <c r="AU114" s="424"/>
      <c r="AV114" s="425"/>
      <c r="AW114" s="426"/>
      <c r="AX114" s="426"/>
      <c r="AY114" s="425"/>
      <c r="AZ114" s="424"/>
      <c r="BA114" s="424"/>
      <c r="BB114" s="425"/>
      <c r="BC114" s="426"/>
      <c r="BD114" s="426"/>
      <c r="BE114" s="425"/>
      <c r="BF114" s="424"/>
      <c r="BG114" s="424"/>
      <c r="BH114" s="425"/>
      <c r="BI114" s="426"/>
      <c r="BJ114" s="426"/>
      <c r="BK114" s="425"/>
      <c r="BL114" s="424"/>
      <c r="BM114" s="424"/>
      <c r="BN114" s="425"/>
      <c r="BO114" s="426"/>
      <c r="BP114" s="426"/>
      <c r="BQ114" s="425"/>
      <c r="BR114" s="424"/>
      <c r="BS114" s="424"/>
      <c r="BT114" s="425"/>
      <c r="BU114" s="426"/>
      <c r="BV114" s="426"/>
      <c r="BW114" s="425"/>
      <c r="BX114" s="424"/>
      <c r="BY114" s="424"/>
      <c r="BZ114" s="425"/>
      <c r="CA114" s="426"/>
      <c r="CB114" s="426"/>
      <c r="CC114" s="425"/>
      <c r="CD114" s="424"/>
      <c r="CE114" s="424"/>
      <c r="CF114" s="425"/>
      <c r="CG114" s="426"/>
      <c r="CH114" s="426"/>
      <c r="CI114" s="425"/>
      <c r="CJ114" s="424"/>
      <c r="CK114" s="424"/>
      <c r="CL114" s="425"/>
      <c r="CM114" s="426"/>
      <c r="CN114" s="426"/>
      <c r="CO114" s="425"/>
      <c r="CP114" s="424"/>
      <c r="CQ114" s="424"/>
      <c r="CR114" s="425"/>
      <c r="CS114" s="426"/>
      <c r="CT114" s="426"/>
      <c r="CU114" s="425"/>
      <c r="CV114" s="424"/>
      <c r="CW114" s="424"/>
      <c r="CX114" s="425"/>
      <c r="CY114" s="426"/>
      <c r="CZ114" s="426"/>
      <c r="DA114" s="425"/>
      <c r="DB114" s="424"/>
      <c r="DC114" s="424"/>
      <c r="DD114" s="425"/>
      <c r="DE114" s="426"/>
      <c r="DF114" s="426"/>
      <c r="DG114" s="425"/>
      <c r="DH114" s="424"/>
      <c r="DI114" s="424"/>
      <c r="DJ114" s="425"/>
      <c r="DK114" s="426"/>
      <c r="DL114" s="426"/>
      <c r="DM114" s="425"/>
      <c r="DN114" s="424"/>
      <c r="DO114" s="424"/>
      <c r="DP114" s="425"/>
      <c r="DQ114" s="426"/>
      <c r="DR114" s="426"/>
      <c r="DS114" s="425"/>
      <c r="DT114" s="424"/>
      <c r="DU114" s="424"/>
      <c r="DV114" s="425"/>
      <c r="DW114" s="426"/>
      <c r="DX114" s="426"/>
      <c r="DY114" s="425"/>
      <c r="DZ114" s="424"/>
      <c r="EA114" s="424"/>
    </row>
    <row r="115" spans="2:131">
      <c r="C115" s="423" t="s">
        <v>988</v>
      </c>
      <c r="D115" s="1"/>
      <c r="E115" s="16" t="s">
        <v>961</v>
      </c>
      <c r="F115" s="422">
        <f>'MF Unit Material'!Y218</f>
        <v>147.82499999999999</v>
      </c>
      <c r="G115" s="421">
        <f>'MF Unit Material'!Z218</f>
        <v>0</v>
      </c>
      <c r="H115" s="420">
        <f>'MF Unit Material'!AA218</f>
        <v>1330.4249999999997</v>
      </c>
      <c r="I115" s="429"/>
      <c r="J115" s="429">
        <f t="shared" si="3"/>
        <v>0</v>
      </c>
      <c r="K115" s="428">
        <f t="shared" si="4"/>
        <v>0</v>
      </c>
      <c r="L115" s="427"/>
      <c r="M115" s="426"/>
      <c r="N115" s="426"/>
      <c r="O115" s="425"/>
      <c r="P115" s="424"/>
      <c r="Q115" s="424"/>
      <c r="R115" s="425"/>
      <c r="S115" s="426"/>
      <c r="T115" s="426"/>
      <c r="U115" s="425"/>
      <c r="V115" s="424"/>
      <c r="W115" s="424"/>
      <c r="X115" s="425"/>
      <c r="Y115" s="426"/>
      <c r="Z115" s="426"/>
      <c r="AA115" s="425"/>
      <c r="AB115" s="424"/>
      <c r="AC115" s="424"/>
      <c r="AD115" s="425"/>
      <c r="AE115" s="426"/>
      <c r="AF115" s="426"/>
      <c r="AG115" s="425"/>
      <c r="AH115" s="424"/>
      <c r="AI115" s="424"/>
      <c r="AJ115" s="425"/>
      <c r="AK115" s="426"/>
      <c r="AL115" s="426"/>
      <c r="AM115" s="425"/>
      <c r="AN115" s="424"/>
      <c r="AO115" s="424"/>
      <c r="AP115" s="425"/>
      <c r="AQ115" s="426"/>
      <c r="AR115" s="426"/>
      <c r="AS115" s="425"/>
      <c r="AT115" s="424"/>
      <c r="AU115" s="424"/>
      <c r="AV115" s="425"/>
      <c r="AW115" s="426"/>
      <c r="AX115" s="426"/>
      <c r="AY115" s="425"/>
      <c r="AZ115" s="424"/>
      <c r="BA115" s="424"/>
      <c r="BB115" s="425"/>
      <c r="BC115" s="426"/>
      <c r="BD115" s="426"/>
      <c r="BE115" s="425"/>
      <c r="BF115" s="424"/>
      <c r="BG115" s="424"/>
      <c r="BH115" s="425"/>
      <c r="BI115" s="426"/>
      <c r="BJ115" s="426"/>
      <c r="BK115" s="425"/>
      <c r="BL115" s="424"/>
      <c r="BM115" s="424"/>
      <c r="BN115" s="425"/>
      <c r="BO115" s="426"/>
      <c r="BP115" s="426"/>
      <c r="BQ115" s="425"/>
      <c r="BR115" s="424"/>
      <c r="BS115" s="424"/>
      <c r="BT115" s="425"/>
      <c r="BU115" s="426"/>
      <c r="BV115" s="426"/>
      <c r="BW115" s="425"/>
      <c r="BX115" s="424"/>
      <c r="BY115" s="424"/>
      <c r="BZ115" s="425"/>
      <c r="CA115" s="426"/>
      <c r="CB115" s="426"/>
      <c r="CC115" s="425"/>
      <c r="CD115" s="424"/>
      <c r="CE115" s="424"/>
      <c r="CF115" s="425"/>
      <c r="CG115" s="426"/>
      <c r="CH115" s="426"/>
      <c r="CI115" s="425"/>
      <c r="CJ115" s="424"/>
      <c r="CK115" s="424"/>
      <c r="CL115" s="425"/>
      <c r="CM115" s="426"/>
      <c r="CN115" s="426"/>
      <c r="CO115" s="425"/>
      <c r="CP115" s="424"/>
      <c r="CQ115" s="424"/>
      <c r="CR115" s="425"/>
      <c r="CS115" s="426"/>
      <c r="CT115" s="426"/>
      <c r="CU115" s="425"/>
      <c r="CV115" s="424"/>
      <c r="CW115" s="424"/>
      <c r="CX115" s="425"/>
      <c r="CY115" s="426"/>
      <c r="CZ115" s="426"/>
      <c r="DA115" s="425"/>
      <c r="DB115" s="424"/>
      <c r="DC115" s="424"/>
      <c r="DD115" s="425"/>
      <c r="DE115" s="426"/>
      <c r="DF115" s="426"/>
      <c r="DG115" s="425"/>
      <c r="DH115" s="424"/>
      <c r="DI115" s="424"/>
      <c r="DJ115" s="425"/>
      <c r="DK115" s="426"/>
      <c r="DL115" s="426"/>
      <c r="DM115" s="425"/>
      <c r="DN115" s="424"/>
      <c r="DO115" s="424"/>
      <c r="DP115" s="425"/>
      <c r="DQ115" s="426"/>
      <c r="DR115" s="426"/>
      <c r="DS115" s="425"/>
      <c r="DT115" s="424"/>
      <c r="DU115" s="424"/>
      <c r="DV115" s="425"/>
      <c r="DW115" s="426"/>
      <c r="DX115" s="426"/>
      <c r="DY115" s="425"/>
      <c r="DZ115" s="424"/>
      <c r="EA115" s="424"/>
    </row>
    <row r="116" spans="2:131">
      <c r="C116" s="96" t="s">
        <v>1002</v>
      </c>
      <c r="D116" s="65"/>
      <c r="E116" s="65"/>
      <c r="F116" s="437" t="s">
        <v>948</v>
      </c>
      <c r="G116" s="436" t="s">
        <v>949</v>
      </c>
      <c r="H116" s="412" t="s">
        <v>950</v>
      </c>
      <c r="I116" s="429"/>
      <c r="J116" s="429">
        <f t="shared" si="3"/>
        <v>0</v>
      </c>
      <c r="K116" s="428">
        <f t="shared" si="4"/>
        <v>0</v>
      </c>
      <c r="L116" s="427"/>
      <c r="M116" s="426"/>
      <c r="N116" s="426"/>
      <c r="O116" s="425"/>
      <c r="P116" s="424"/>
      <c r="Q116" s="424"/>
      <c r="R116" s="425"/>
      <c r="S116" s="426"/>
      <c r="T116" s="426"/>
      <c r="U116" s="425"/>
      <c r="V116" s="424"/>
      <c r="W116" s="424"/>
      <c r="X116" s="425"/>
      <c r="Y116" s="426"/>
      <c r="Z116" s="426"/>
      <c r="AA116" s="425"/>
      <c r="AB116" s="424"/>
      <c r="AC116" s="424"/>
      <c r="AD116" s="425"/>
      <c r="AE116" s="426"/>
      <c r="AF116" s="426"/>
      <c r="AG116" s="425"/>
      <c r="AH116" s="424"/>
      <c r="AI116" s="424"/>
      <c r="AJ116" s="425"/>
      <c r="AK116" s="426"/>
      <c r="AL116" s="426"/>
      <c r="AM116" s="425"/>
      <c r="AN116" s="424"/>
      <c r="AO116" s="424"/>
      <c r="AP116" s="425"/>
      <c r="AQ116" s="426"/>
      <c r="AR116" s="426"/>
      <c r="AS116" s="425"/>
      <c r="AT116" s="424"/>
      <c r="AU116" s="424"/>
      <c r="AV116" s="425"/>
      <c r="AW116" s="426"/>
      <c r="AX116" s="426"/>
      <c r="AY116" s="425"/>
      <c r="AZ116" s="424"/>
      <c r="BA116" s="424"/>
      <c r="BB116" s="425"/>
      <c r="BC116" s="426"/>
      <c r="BD116" s="426"/>
      <c r="BE116" s="425"/>
      <c r="BF116" s="424"/>
      <c r="BG116" s="424"/>
      <c r="BH116" s="425"/>
      <c r="BI116" s="426"/>
      <c r="BJ116" s="426"/>
      <c r="BK116" s="425"/>
      <c r="BL116" s="424"/>
      <c r="BM116" s="424"/>
      <c r="BN116" s="425"/>
      <c r="BO116" s="426"/>
      <c r="BP116" s="426"/>
      <c r="BQ116" s="425"/>
      <c r="BR116" s="424"/>
      <c r="BS116" s="424"/>
      <c r="BT116" s="425"/>
      <c r="BU116" s="426"/>
      <c r="BV116" s="426"/>
      <c r="BW116" s="425"/>
      <c r="BX116" s="424"/>
      <c r="BY116" s="424"/>
      <c r="BZ116" s="425"/>
      <c r="CA116" s="426"/>
      <c r="CB116" s="426"/>
      <c r="CC116" s="425"/>
      <c r="CD116" s="424"/>
      <c r="CE116" s="424"/>
      <c r="CF116" s="425"/>
      <c r="CG116" s="426"/>
      <c r="CH116" s="426"/>
      <c r="CI116" s="425"/>
      <c r="CJ116" s="424"/>
      <c r="CK116" s="424"/>
      <c r="CL116" s="425"/>
      <c r="CM116" s="426"/>
      <c r="CN116" s="426"/>
      <c r="CO116" s="425"/>
      <c r="CP116" s="424"/>
      <c r="CQ116" s="424"/>
      <c r="CR116" s="425"/>
      <c r="CS116" s="426"/>
      <c r="CT116" s="426"/>
      <c r="CU116" s="425"/>
      <c r="CV116" s="424"/>
      <c r="CW116" s="424"/>
      <c r="CX116" s="425"/>
      <c r="CY116" s="426"/>
      <c r="CZ116" s="426"/>
      <c r="DA116" s="425"/>
      <c r="DB116" s="424"/>
      <c r="DC116" s="424"/>
      <c r="DD116" s="425"/>
      <c r="DE116" s="426"/>
      <c r="DF116" s="426"/>
      <c r="DG116" s="425"/>
      <c r="DH116" s="424"/>
      <c r="DI116" s="424"/>
      <c r="DJ116" s="425"/>
      <c r="DK116" s="426"/>
      <c r="DL116" s="426"/>
      <c r="DM116" s="425"/>
      <c r="DN116" s="424"/>
      <c r="DO116" s="424"/>
      <c r="DP116" s="425"/>
      <c r="DQ116" s="426"/>
      <c r="DR116" s="426"/>
      <c r="DS116" s="425"/>
      <c r="DT116" s="424"/>
      <c r="DU116" s="424"/>
      <c r="DV116" s="425"/>
      <c r="DW116" s="426"/>
      <c r="DX116" s="426"/>
      <c r="DY116" s="425"/>
      <c r="DZ116" s="424"/>
      <c r="EA116" s="424"/>
    </row>
    <row r="117" spans="2:131">
      <c r="D117" s="446"/>
      <c r="E117" s="1" t="s">
        <v>1003</v>
      </c>
      <c r="F117" s="432">
        <f>'MF Unit Material'!Y220</f>
        <v>386.5</v>
      </c>
      <c r="G117" s="431">
        <f>'MF Unit Material'!Z220</f>
        <v>6.5</v>
      </c>
      <c r="H117" s="158">
        <f>'MF Unit Material'!AA220</f>
        <v>2512.25</v>
      </c>
      <c r="I117" s="430">
        <f>F117-J117</f>
        <v>386.5</v>
      </c>
      <c r="J117" s="429">
        <f t="shared" si="3"/>
        <v>0</v>
      </c>
      <c r="K117" s="428">
        <f t="shared" si="4"/>
        <v>0</v>
      </c>
      <c r="L117" s="427"/>
      <c r="M117" s="426"/>
      <c r="N117" s="426"/>
      <c r="O117" s="425"/>
      <c r="P117" s="424"/>
      <c r="Q117" s="424"/>
      <c r="R117" s="425"/>
      <c r="S117" s="426"/>
      <c r="T117" s="426"/>
      <c r="U117" s="425"/>
      <c r="V117" s="424"/>
      <c r="W117" s="424"/>
      <c r="X117" s="425"/>
      <c r="Y117" s="426"/>
      <c r="Z117" s="426"/>
      <c r="AA117" s="425"/>
      <c r="AB117" s="424"/>
      <c r="AC117" s="424"/>
      <c r="AD117" s="425"/>
      <c r="AE117" s="426"/>
      <c r="AF117" s="426"/>
      <c r="AG117" s="425"/>
      <c r="AH117" s="424"/>
      <c r="AI117" s="424"/>
      <c r="AJ117" s="425"/>
      <c r="AK117" s="426"/>
      <c r="AL117" s="426"/>
      <c r="AM117" s="425"/>
      <c r="AN117" s="424"/>
      <c r="AO117" s="424"/>
      <c r="AP117" s="425"/>
      <c r="AQ117" s="426"/>
      <c r="AR117" s="426"/>
      <c r="AS117" s="425"/>
      <c r="AT117" s="424"/>
      <c r="AU117" s="424"/>
      <c r="AV117" s="425"/>
      <c r="AW117" s="426"/>
      <c r="AX117" s="426"/>
      <c r="AY117" s="425"/>
      <c r="AZ117" s="424"/>
      <c r="BA117" s="424"/>
      <c r="BB117" s="425"/>
      <c r="BC117" s="426"/>
      <c r="BD117" s="426"/>
      <c r="BE117" s="425"/>
      <c r="BF117" s="424"/>
      <c r="BG117" s="424"/>
      <c r="BH117" s="425"/>
      <c r="BI117" s="426"/>
      <c r="BJ117" s="426"/>
      <c r="BK117" s="425"/>
      <c r="BL117" s="424"/>
      <c r="BM117" s="424"/>
      <c r="BN117" s="425"/>
      <c r="BO117" s="426"/>
      <c r="BP117" s="426"/>
      <c r="BQ117" s="425"/>
      <c r="BR117" s="424"/>
      <c r="BS117" s="424"/>
      <c r="BT117" s="425"/>
      <c r="BU117" s="426"/>
      <c r="BV117" s="426"/>
      <c r="BW117" s="425"/>
      <c r="BX117" s="424"/>
      <c r="BY117" s="424"/>
      <c r="BZ117" s="425"/>
      <c r="CA117" s="426"/>
      <c r="CB117" s="426"/>
      <c r="CC117" s="425"/>
      <c r="CD117" s="424"/>
      <c r="CE117" s="424"/>
      <c r="CF117" s="425"/>
      <c r="CG117" s="426"/>
      <c r="CH117" s="426"/>
      <c r="CI117" s="425"/>
      <c r="CJ117" s="424"/>
      <c r="CK117" s="424"/>
      <c r="CL117" s="425"/>
      <c r="CM117" s="426"/>
      <c r="CN117" s="426"/>
      <c r="CO117" s="425"/>
      <c r="CP117" s="424"/>
      <c r="CQ117" s="424"/>
      <c r="CR117" s="425"/>
      <c r="CS117" s="426"/>
      <c r="CT117" s="426"/>
      <c r="CU117" s="425"/>
      <c r="CV117" s="424"/>
      <c r="CW117" s="424"/>
      <c r="CX117" s="425"/>
      <c r="CY117" s="426"/>
      <c r="CZ117" s="426"/>
      <c r="DA117" s="425"/>
      <c r="DB117" s="424"/>
      <c r="DC117" s="424"/>
      <c r="DD117" s="425"/>
      <c r="DE117" s="426"/>
      <c r="DF117" s="426"/>
      <c r="DG117" s="425"/>
      <c r="DH117" s="424"/>
      <c r="DI117" s="424"/>
      <c r="DJ117" s="425"/>
      <c r="DK117" s="426"/>
      <c r="DL117" s="426"/>
      <c r="DM117" s="425"/>
      <c r="DN117" s="424"/>
      <c r="DO117" s="424"/>
      <c r="DP117" s="425"/>
      <c r="DQ117" s="426"/>
      <c r="DR117" s="426"/>
      <c r="DS117" s="425"/>
      <c r="DT117" s="424"/>
      <c r="DU117" s="424"/>
      <c r="DV117" s="425"/>
      <c r="DW117" s="426"/>
      <c r="DX117" s="426"/>
      <c r="DY117" s="425"/>
      <c r="DZ117" s="424"/>
      <c r="EA117" s="424"/>
    </row>
    <row r="118" spans="2:131">
      <c r="C118" s="423" t="s">
        <v>988</v>
      </c>
      <c r="D118" s="1"/>
      <c r="E118" s="16" t="s">
        <v>961</v>
      </c>
      <c r="F118" s="422">
        <f>'MF Unit Material'!Y222</f>
        <v>386.5</v>
      </c>
      <c r="G118" s="421">
        <f>'MF Unit Material'!Z222</f>
        <v>0</v>
      </c>
      <c r="H118" s="420">
        <f>'MF Unit Material'!AA222</f>
        <v>2512.25</v>
      </c>
      <c r="I118" s="429"/>
      <c r="J118" s="429">
        <f t="shared" si="3"/>
        <v>0</v>
      </c>
      <c r="K118" s="428">
        <f t="shared" si="4"/>
        <v>0</v>
      </c>
      <c r="L118" s="427"/>
      <c r="M118" s="426"/>
      <c r="N118" s="426"/>
      <c r="O118" s="425"/>
      <c r="P118" s="424"/>
      <c r="Q118" s="424"/>
      <c r="R118" s="425"/>
      <c r="S118" s="426"/>
      <c r="T118" s="426"/>
      <c r="U118" s="425"/>
      <c r="V118" s="424"/>
      <c r="W118" s="424"/>
      <c r="X118" s="425"/>
      <c r="Y118" s="426"/>
      <c r="Z118" s="426"/>
      <c r="AA118" s="425"/>
      <c r="AB118" s="424"/>
      <c r="AC118" s="424"/>
      <c r="AD118" s="425"/>
      <c r="AE118" s="426"/>
      <c r="AF118" s="426"/>
      <c r="AG118" s="425"/>
      <c r="AH118" s="424"/>
      <c r="AI118" s="424"/>
      <c r="AJ118" s="425"/>
      <c r="AK118" s="426"/>
      <c r="AL118" s="426"/>
      <c r="AM118" s="425"/>
      <c r="AN118" s="424"/>
      <c r="AO118" s="424"/>
      <c r="AP118" s="425"/>
      <c r="AQ118" s="426"/>
      <c r="AR118" s="426"/>
      <c r="AS118" s="425"/>
      <c r="AT118" s="424"/>
      <c r="AU118" s="424"/>
      <c r="AV118" s="425"/>
      <c r="AW118" s="426"/>
      <c r="AX118" s="426"/>
      <c r="AY118" s="425"/>
      <c r="AZ118" s="424"/>
      <c r="BA118" s="424"/>
      <c r="BB118" s="425"/>
      <c r="BC118" s="426"/>
      <c r="BD118" s="426"/>
      <c r="BE118" s="425"/>
      <c r="BF118" s="424"/>
      <c r="BG118" s="424"/>
      <c r="BH118" s="425"/>
      <c r="BI118" s="426"/>
      <c r="BJ118" s="426"/>
      <c r="BK118" s="425"/>
      <c r="BL118" s="424"/>
      <c r="BM118" s="424"/>
      <c r="BN118" s="425"/>
      <c r="BO118" s="426"/>
      <c r="BP118" s="426"/>
      <c r="BQ118" s="425"/>
      <c r="BR118" s="424"/>
      <c r="BS118" s="424"/>
      <c r="BT118" s="425"/>
      <c r="BU118" s="426"/>
      <c r="BV118" s="426"/>
      <c r="BW118" s="425"/>
      <c r="BX118" s="424"/>
      <c r="BY118" s="424"/>
      <c r="BZ118" s="425"/>
      <c r="CA118" s="426"/>
      <c r="CB118" s="426"/>
      <c r="CC118" s="425"/>
      <c r="CD118" s="424"/>
      <c r="CE118" s="424"/>
      <c r="CF118" s="425"/>
      <c r="CG118" s="426"/>
      <c r="CH118" s="426"/>
      <c r="CI118" s="425"/>
      <c r="CJ118" s="424"/>
      <c r="CK118" s="424"/>
      <c r="CL118" s="425"/>
      <c r="CM118" s="426"/>
      <c r="CN118" s="426"/>
      <c r="CO118" s="425"/>
      <c r="CP118" s="424"/>
      <c r="CQ118" s="424"/>
      <c r="CR118" s="425"/>
      <c r="CS118" s="426"/>
      <c r="CT118" s="426"/>
      <c r="CU118" s="425"/>
      <c r="CV118" s="424"/>
      <c r="CW118" s="424"/>
      <c r="CX118" s="425"/>
      <c r="CY118" s="426"/>
      <c r="CZ118" s="426"/>
      <c r="DA118" s="425"/>
      <c r="DB118" s="424"/>
      <c r="DC118" s="424"/>
      <c r="DD118" s="425"/>
      <c r="DE118" s="426"/>
      <c r="DF118" s="426"/>
      <c r="DG118" s="425"/>
      <c r="DH118" s="424"/>
      <c r="DI118" s="424"/>
      <c r="DJ118" s="425"/>
      <c r="DK118" s="426"/>
      <c r="DL118" s="426"/>
      <c r="DM118" s="425"/>
      <c r="DN118" s="424"/>
      <c r="DO118" s="424"/>
      <c r="DP118" s="425"/>
      <c r="DQ118" s="426"/>
      <c r="DR118" s="426"/>
      <c r="DS118" s="425"/>
      <c r="DT118" s="424"/>
      <c r="DU118" s="424"/>
      <c r="DV118" s="425"/>
      <c r="DW118" s="426"/>
      <c r="DX118" s="426"/>
      <c r="DY118" s="425"/>
      <c r="DZ118" s="424"/>
      <c r="EA118" s="424"/>
    </row>
    <row r="119" spans="2:131">
      <c r="B119" s="438" t="s">
        <v>1004</v>
      </c>
      <c r="C119" s="96" t="s">
        <v>1005</v>
      </c>
      <c r="D119" s="65"/>
      <c r="E119" s="65"/>
      <c r="F119" s="437" t="s">
        <v>948</v>
      </c>
      <c r="G119" s="436" t="s">
        <v>949</v>
      </c>
      <c r="H119" s="412" t="s">
        <v>950</v>
      </c>
      <c r="I119" s="429"/>
      <c r="J119" s="429">
        <f t="shared" si="3"/>
        <v>0</v>
      </c>
      <c r="K119" s="428">
        <f t="shared" si="4"/>
        <v>0</v>
      </c>
      <c r="L119" s="427"/>
      <c r="M119" s="426"/>
      <c r="N119" s="426"/>
      <c r="O119" s="425"/>
      <c r="P119" s="424"/>
      <c r="Q119" s="424"/>
      <c r="R119" s="425"/>
      <c r="S119" s="426"/>
      <c r="T119" s="426"/>
      <c r="U119" s="425"/>
      <c r="V119" s="424"/>
      <c r="W119" s="424"/>
      <c r="X119" s="425"/>
      <c r="Y119" s="426"/>
      <c r="Z119" s="426"/>
      <c r="AA119" s="425"/>
      <c r="AB119" s="424"/>
      <c r="AC119" s="424"/>
      <c r="AD119" s="425"/>
      <c r="AE119" s="426"/>
      <c r="AF119" s="426"/>
      <c r="AG119" s="425"/>
      <c r="AH119" s="424"/>
      <c r="AI119" s="424"/>
      <c r="AJ119" s="425"/>
      <c r="AK119" s="426"/>
      <c r="AL119" s="426"/>
      <c r="AM119" s="425"/>
      <c r="AN119" s="424"/>
      <c r="AO119" s="424"/>
      <c r="AP119" s="425"/>
      <c r="AQ119" s="426"/>
      <c r="AR119" s="426"/>
      <c r="AS119" s="425"/>
      <c r="AT119" s="424"/>
      <c r="AU119" s="424"/>
      <c r="AV119" s="425"/>
      <c r="AW119" s="426"/>
      <c r="AX119" s="426"/>
      <c r="AY119" s="425"/>
      <c r="AZ119" s="424"/>
      <c r="BA119" s="424"/>
      <c r="BB119" s="425"/>
      <c r="BC119" s="426"/>
      <c r="BD119" s="426"/>
      <c r="BE119" s="425"/>
      <c r="BF119" s="424"/>
      <c r="BG119" s="424"/>
      <c r="BH119" s="425"/>
      <c r="BI119" s="426"/>
      <c r="BJ119" s="426"/>
      <c r="BK119" s="425"/>
      <c r="BL119" s="424"/>
      <c r="BM119" s="424"/>
      <c r="BN119" s="425"/>
      <c r="BO119" s="426"/>
      <c r="BP119" s="426"/>
      <c r="BQ119" s="425"/>
      <c r="BR119" s="424"/>
      <c r="BS119" s="424"/>
      <c r="BT119" s="425"/>
      <c r="BU119" s="426"/>
      <c r="BV119" s="426"/>
      <c r="BW119" s="425"/>
      <c r="BX119" s="424"/>
      <c r="BY119" s="424"/>
      <c r="BZ119" s="425"/>
      <c r="CA119" s="426"/>
      <c r="CB119" s="426"/>
      <c r="CC119" s="425"/>
      <c r="CD119" s="424"/>
      <c r="CE119" s="424"/>
      <c r="CF119" s="425"/>
      <c r="CG119" s="426"/>
      <c r="CH119" s="426"/>
      <c r="CI119" s="425"/>
      <c r="CJ119" s="424"/>
      <c r="CK119" s="424"/>
      <c r="CL119" s="425"/>
      <c r="CM119" s="426"/>
      <c r="CN119" s="426"/>
      <c r="CO119" s="425"/>
      <c r="CP119" s="424"/>
      <c r="CQ119" s="424"/>
      <c r="CR119" s="425"/>
      <c r="CS119" s="426"/>
      <c r="CT119" s="426"/>
      <c r="CU119" s="425"/>
      <c r="CV119" s="424"/>
      <c r="CW119" s="424"/>
      <c r="CX119" s="425"/>
      <c r="CY119" s="426"/>
      <c r="CZ119" s="426"/>
      <c r="DA119" s="425"/>
      <c r="DB119" s="424"/>
      <c r="DC119" s="424"/>
      <c r="DD119" s="425"/>
      <c r="DE119" s="426"/>
      <c r="DF119" s="426"/>
      <c r="DG119" s="425"/>
      <c r="DH119" s="424"/>
      <c r="DI119" s="424"/>
      <c r="DJ119" s="425"/>
      <c r="DK119" s="426"/>
      <c r="DL119" s="426"/>
      <c r="DM119" s="425"/>
      <c r="DN119" s="424"/>
      <c r="DO119" s="424"/>
      <c r="DP119" s="425"/>
      <c r="DQ119" s="426"/>
      <c r="DR119" s="426"/>
      <c r="DS119" s="425"/>
      <c r="DT119" s="424"/>
      <c r="DU119" s="424"/>
      <c r="DV119" s="425"/>
      <c r="DW119" s="426"/>
      <c r="DX119" s="426"/>
      <c r="DY119" s="425"/>
      <c r="DZ119" s="424"/>
      <c r="EA119" s="424"/>
    </row>
    <row r="120" spans="2:131">
      <c r="C120" s="127"/>
      <c r="D120" s="75"/>
      <c r="E120" s="162" t="s">
        <v>1006</v>
      </c>
      <c r="F120" s="432">
        <f>'MF Unit Material'!Y252</f>
        <v>501.22680000000008</v>
      </c>
      <c r="G120" s="431">
        <f>'MF Unit Material'!Z252</f>
        <v>0</v>
      </c>
      <c r="H120" s="158">
        <f>'MF Unit Material'!AA252</f>
        <v>0</v>
      </c>
      <c r="I120" s="430">
        <f>F120-J120</f>
        <v>501.22680000000008</v>
      </c>
      <c r="J120" s="429">
        <f t="shared" si="3"/>
        <v>0</v>
      </c>
      <c r="K120" s="428">
        <f t="shared" si="4"/>
        <v>0</v>
      </c>
      <c r="L120" s="427"/>
      <c r="M120" s="426"/>
      <c r="N120" s="426"/>
      <c r="O120" s="425"/>
      <c r="P120" s="424"/>
      <c r="Q120" s="424"/>
      <c r="R120" s="425"/>
      <c r="S120" s="426"/>
      <c r="T120" s="426"/>
      <c r="U120" s="425"/>
      <c r="V120" s="424"/>
      <c r="W120" s="424"/>
      <c r="X120" s="425"/>
      <c r="Y120" s="426"/>
      <c r="Z120" s="426"/>
      <c r="AA120" s="425"/>
      <c r="AB120" s="424"/>
      <c r="AC120" s="424"/>
      <c r="AD120" s="425"/>
      <c r="AE120" s="426"/>
      <c r="AF120" s="426"/>
      <c r="AG120" s="425"/>
      <c r="AH120" s="424"/>
      <c r="AI120" s="424"/>
      <c r="AJ120" s="425"/>
      <c r="AK120" s="426"/>
      <c r="AL120" s="426"/>
      <c r="AM120" s="425"/>
      <c r="AN120" s="424"/>
      <c r="AO120" s="424"/>
      <c r="AP120" s="425"/>
      <c r="AQ120" s="426"/>
      <c r="AR120" s="426"/>
      <c r="AS120" s="425"/>
      <c r="AT120" s="424"/>
      <c r="AU120" s="424"/>
      <c r="AV120" s="425"/>
      <c r="AW120" s="426"/>
      <c r="AX120" s="426"/>
      <c r="AY120" s="425"/>
      <c r="AZ120" s="424"/>
      <c r="BA120" s="424"/>
      <c r="BB120" s="425"/>
      <c r="BC120" s="426"/>
      <c r="BD120" s="426"/>
      <c r="BE120" s="425"/>
      <c r="BF120" s="424"/>
      <c r="BG120" s="424"/>
      <c r="BH120" s="425"/>
      <c r="BI120" s="426"/>
      <c r="BJ120" s="426"/>
      <c r="BK120" s="425"/>
      <c r="BL120" s="424"/>
      <c r="BM120" s="424"/>
      <c r="BN120" s="425"/>
      <c r="BO120" s="426"/>
      <c r="BP120" s="426"/>
      <c r="BQ120" s="425"/>
      <c r="BR120" s="424"/>
      <c r="BS120" s="424"/>
      <c r="BT120" s="425"/>
      <c r="BU120" s="426"/>
      <c r="BV120" s="426"/>
      <c r="BW120" s="425"/>
      <c r="BX120" s="424"/>
      <c r="BY120" s="424"/>
      <c r="BZ120" s="425"/>
      <c r="CA120" s="426"/>
      <c r="CB120" s="426"/>
      <c r="CC120" s="425"/>
      <c r="CD120" s="424"/>
      <c r="CE120" s="424"/>
      <c r="CF120" s="425"/>
      <c r="CG120" s="426"/>
      <c r="CH120" s="426"/>
      <c r="CI120" s="425"/>
      <c r="CJ120" s="424"/>
      <c r="CK120" s="424"/>
      <c r="CL120" s="425"/>
      <c r="CM120" s="426"/>
      <c r="CN120" s="426"/>
      <c r="CO120" s="425"/>
      <c r="CP120" s="424"/>
      <c r="CQ120" s="424"/>
      <c r="CR120" s="425"/>
      <c r="CS120" s="426"/>
      <c r="CT120" s="426"/>
      <c r="CU120" s="425"/>
      <c r="CV120" s="424"/>
      <c r="CW120" s="424"/>
      <c r="CX120" s="425"/>
      <c r="CY120" s="426"/>
      <c r="CZ120" s="426"/>
      <c r="DA120" s="425"/>
      <c r="DB120" s="424"/>
      <c r="DC120" s="424"/>
      <c r="DD120" s="425"/>
      <c r="DE120" s="426"/>
      <c r="DF120" s="426"/>
      <c r="DG120" s="425"/>
      <c r="DH120" s="424"/>
      <c r="DI120" s="424"/>
      <c r="DJ120" s="425"/>
      <c r="DK120" s="426"/>
      <c r="DL120" s="426"/>
      <c r="DM120" s="425"/>
      <c r="DN120" s="424"/>
      <c r="DO120" s="424"/>
      <c r="DP120" s="425"/>
      <c r="DQ120" s="426"/>
      <c r="DR120" s="426"/>
      <c r="DS120" s="425"/>
      <c r="DT120" s="424"/>
      <c r="DU120" s="424"/>
      <c r="DV120" s="425"/>
      <c r="DW120" s="426"/>
      <c r="DX120" s="426"/>
      <c r="DY120" s="425"/>
      <c r="DZ120" s="424"/>
      <c r="EA120" s="424"/>
    </row>
    <row r="121" spans="2:131">
      <c r="D121" s="446"/>
      <c r="E121" s="460" t="s">
        <v>1007</v>
      </c>
      <c r="F121" s="432">
        <f>'MF Unit Material'!Y253</f>
        <v>375.92009999999999</v>
      </c>
      <c r="G121" s="431">
        <f>'MF Unit Material'!Z253</f>
        <v>35</v>
      </c>
      <c r="H121" s="158">
        <f>'MF Unit Material'!AA253</f>
        <v>13157.2035</v>
      </c>
      <c r="I121" s="430">
        <f>F121-J121</f>
        <v>375.92009999999999</v>
      </c>
      <c r="J121" s="429">
        <f t="shared" si="3"/>
        <v>0</v>
      </c>
      <c r="K121" s="428">
        <f t="shared" si="4"/>
        <v>0</v>
      </c>
      <c r="L121" s="427"/>
      <c r="M121" s="426"/>
      <c r="N121" s="426"/>
      <c r="O121" s="425"/>
      <c r="P121" s="424"/>
      <c r="Q121" s="424"/>
      <c r="R121" s="425"/>
      <c r="S121" s="426"/>
      <c r="T121" s="426"/>
      <c r="U121" s="425"/>
      <c r="V121" s="424"/>
      <c r="W121" s="424"/>
      <c r="X121" s="425"/>
      <c r="Y121" s="426"/>
      <c r="Z121" s="426"/>
      <c r="AA121" s="425"/>
      <c r="AB121" s="424"/>
      <c r="AC121" s="424"/>
      <c r="AD121" s="425"/>
      <c r="AE121" s="426"/>
      <c r="AF121" s="426"/>
      <c r="AG121" s="425"/>
      <c r="AH121" s="424"/>
      <c r="AI121" s="424"/>
      <c r="AJ121" s="425"/>
      <c r="AK121" s="426"/>
      <c r="AL121" s="426"/>
      <c r="AM121" s="425"/>
      <c r="AN121" s="424"/>
      <c r="AO121" s="424"/>
      <c r="AP121" s="425"/>
      <c r="AQ121" s="426"/>
      <c r="AR121" s="426"/>
      <c r="AS121" s="425"/>
      <c r="AT121" s="424"/>
      <c r="AU121" s="424"/>
      <c r="AV121" s="425"/>
      <c r="AW121" s="426"/>
      <c r="AX121" s="426"/>
      <c r="AY121" s="425"/>
      <c r="AZ121" s="424"/>
      <c r="BA121" s="424"/>
      <c r="BB121" s="425"/>
      <c r="BC121" s="426"/>
      <c r="BD121" s="426"/>
      <c r="BE121" s="425"/>
      <c r="BF121" s="424"/>
      <c r="BG121" s="424"/>
      <c r="BH121" s="425"/>
      <c r="BI121" s="426"/>
      <c r="BJ121" s="426"/>
      <c r="BK121" s="425"/>
      <c r="BL121" s="424"/>
      <c r="BM121" s="424"/>
      <c r="BN121" s="425"/>
      <c r="BO121" s="426"/>
      <c r="BP121" s="426"/>
      <c r="BQ121" s="425"/>
      <c r="BR121" s="424"/>
      <c r="BS121" s="424"/>
      <c r="BT121" s="425"/>
      <c r="BU121" s="426"/>
      <c r="BV121" s="426"/>
      <c r="BW121" s="425"/>
      <c r="BX121" s="424"/>
      <c r="BY121" s="424"/>
      <c r="BZ121" s="425"/>
      <c r="CA121" s="426"/>
      <c r="CB121" s="426"/>
      <c r="CC121" s="425"/>
      <c r="CD121" s="424"/>
      <c r="CE121" s="424"/>
      <c r="CF121" s="425"/>
      <c r="CG121" s="426"/>
      <c r="CH121" s="426"/>
      <c r="CI121" s="425"/>
      <c r="CJ121" s="424"/>
      <c r="CK121" s="424"/>
      <c r="CL121" s="425"/>
      <c r="CM121" s="426"/>
      <c r="CN121" s="426"/>
      <c r="CO121" s="425"/>
      <c r="CP121" s="424"/>
      <c r="CQ121" s="424"/>
      <c r="CR121" s="425"/>
      <c r="CS121" s="426"/>
      <c r="CT121" s="426"/>
      <c r="CU121" s="425"/>
      <c r="CV121" s="424"/>
      <c r="CW121" s="424"/>
      <c r="CX121" s="425"/>
      <c r="CY121" s="426"/>
      <c r="CZ121" s="426"/>
      <c r="DA121" s="425"/>
      <c r="DB121" s="424"/>
      <c r="DC121" s="424"/>
      <c r="DD121" s="425"/>
      <c r="DE121" s="426"/>
      <c r="DF121" s="426"/>
      <c r="DG121" s="425"/>
      <c r="DH121" s="424"/>
      <c r="DI121" s="424"/>
      <c r="DJ121" s="425"/>
      <c r="DK121" s="426"/>
      <c r="DL121" s="426"/>
      <c r="DM121" s="425"/>
      <c r="DN121" s="424"/>
      <c r="DO121" s="424"/>
      <c r="DP121" s="425"/>
      <c r="DQ121" s="426"/>
      <c r="DR121" s="426"/>
      <c r="DS121" s="425"/>
      <c r="DT121" s="424"/>
      <c r="DU121" s="424"/>
      <c r="DV121" s="425"/>
      <c r="DW121" s="426"/>
      <c r="DX121" s="426"/>
      <c r="DY121" s="425"/>
      <c r="DZ121" s="424"/>
      <c r="EA121" s="424"/>
    </row>
    <row r="122" spans="2:131">
      <c r="D122" s="1"/>
      <c r="E122" s="459" t="s">
        <v>1008</v>
      </c>
      <c r="F122" s="432">
        <f>'MF Unit Material'!Y254</f>
        <v>125.30670000000002</v>
      </c>
      <c r="G122" s="431">
        <f>'MF Unit Material'!Z254</f>
        <v>42</v>
      </c>
      <c r="H122" s="158">
        <f>'MF Unit Material'!AA254</f>
        <v>5262.8814000000011</v>
      </c>
      <c r="I122" s="430">
        <f>F122-J122</f>
        <v>125.30670000000002</v>
      </c>
      <c r="J122" s="429">
        <f t="shared" si="3"/>
        <v>0</v>
      </c>
      <c r="K122" s="428">
        <f t="shared" si="4"/>
        <v>0</v>
      </c>
      <c r="L122" s="427"/>
      <c r="M122" s="426"/>
      <c r="N122" s="426"/>
      <c r="O122" s="425"/>
      <c r="P122" s="424"/>
      <c r="Q122" s="424"/>
      <c r="R122" s="425"/>
      <c r="S122" s="426"/>
      <c r="T122" s="426"/>
      <c r="U122" s="425"/>
      <c r="V122" s="424"/>
      <c r="W122" s="424"/>
      <c r="X122" s="425"/>
      <c r="Y122" s="426"/>
      <c r="Z122" s="426"/>
      <c r="AA122" s="425"/>
      <c r="AB122" s="424"/>
      <c r="AC122" s="424"/>
      <c r="AD122" s="425"/>
      <c r="AE122" s="426"/>
      <c r="AF122" s="426"/>
      <c r="AG122" s="425"/>
      <c r="AH122" s="424"/>
      <c r="AI122" s="424"/>
      <c r="AJ122" s="425"/>
      <c r="AK122" s="426"/>
      <c r="AL122" s="426"/>
      <c r="AM122" s="425"/>
      <c r="AN122" s="424"/>
      <c r="AO122" s="424"/>
      <c r="AP122" s="425"/>
      <c r="AQ122" s="426"/>
      <c r="AR122" s="426"/>
      <c r="AS122" s="425"/>
      <c r="AT122" s="424"/>
      <c r="AU122" s="424"/>
      <c r="AV122" s="425"/>
      <c r="AW122" s="426"/>
      <c r="AX122" s="426"/>
      <c r="AY122" s="425"/>
      <c r="AZ122" s="424"/>
      <c r="BA122" s="424"/>
      <c r="BB122" s="425"/>
      <c r="BC122" s="426"/>
      <c r="BD122" s="426"/>
      <c r="BE122" s="425"/>
      <c r="BF122" s="424"/>
      <c r="BG122" s="424"/>
      <c r="BH122" s="425"/>
      <c r="BI122" s="426"/>
      <c r="BJ122" s="426"/>
      <c r="BK122" s="425"/>
      <c r="BL122" s="424"/>
      <c r="BM122" s="424"/>
      <c r="BN122" s="425"/>
      <c r="BO122" s="426"/>
      <c r="BP122" s="426"/>
      <c r="BQ122" s="425"/>
      <c r="BR122" s="424"/>
      <c r="BS122" s="424"/>
      <c r="BT122" s="425"/>
      <c r="BU122" s="426"/>
      <c r="BV122" s="426"/>
      <c r="BW122" s="425"/>
      <c r="BX122" s="424"/>
      <c r="BY122" s="424"/>
      <c r="BZ122" s="425"/>
      <c r="CA122" s="426"/>
      <c r="CB122" s="426"/>
      <c r="CC122" s="425"/>
      <c r="CD122" s="424"/>
      <c r="CE122" s="424"/>
      <c r="CF122" s="425"/>
      <c r="CG122" s="426"/>
      <c r="CH122" s="426"/>
      <c r="CI122" s="425"/>
      <c r="CJ122" s="424"/>
      <c r="CK122" s="424"/>
      <c r="CL122" s="425"/>
      <c r="CM122" s="426"/>
      <c r="CN122" s="426"/>
      <c r="CO122" s="425"/>
      <c r="CP122" s="424"/>
      <c r="CQ122" s="424"/>
      <c r="CR122" s="425"/>
      <c r="CS122" s="426"/>
      <c r="CT122" s="426"/>
      <c r="CU122" s="425"/>
      <c r="CV122" s="424"/>
      <c r="CW122" s="424"/>
      <c r="CX122" s="425"/>
      <c r="CY122" s="426"/>
      <c r="CZ122" s="426"/>
      <c r="DA122" s="425"/>
      <c r="DB122" s="424"/>
      <c r="DC122" s="424"/>
      <c r="DD122" s="425"/>
      <c r="DE122" s="426"/>
      <c r="DF122" s="426"/>
      <c r="DG122" s="425"/>
      <c r="DH122" s="424"/>
      <c r="DI122" s="424"/>
      <c r="DJ122" s="425"/>
      <c r="DK122" s="426"/>
      <c r="DL122" s="426"/>
      <c r="DM122" s="425"/>
      <c r="DN122" s="424"/>
      <c r="DO122" s="424"/>
      <c r="DP122" s="425"/>
      <c r="DQ122" s="426"/>
      <c r="DR122" s="426"/>
      <c r="DS122" s="425"/>
      <c r="DT122" s="424"/>
      <c r="DU122" s="424"/>
      <c r="DV122" s="425"/>
      <c r="DW122" s="426"/>
      <c r="DX122" s="426"/>
      <c r="DY122" s="425"/>
      <c r="DZ122" s="424"/>
      <c r="EA122" s="424"/>
    </row>
    <row r="123" spans="2:131">
      <c r="C123" s="423"/>
      <c r="D123" s="1"/>
      <c r="E123" s="458" t="s">
        <v>1009</v>
      </c>
      <c r="F123" s="422">
        <f>'MF Unit Material'!Y256</f>
        <v>375.92009999999999</v>
      </c>
      <c r="G123" s="421">
        <f>'MF Unit Material'!Z256</f>
        <v>0</v>
      </c>
      <c r="H123" s="420">
        <f>'MF Unit Material'!AA256</f>
        <v>13157.203500000001</v>
      </c>
      <c r="I123" s="429"/>
      <c r="J123" s="429">
        <f t="shared" si="3"/>
        <v>0</v>
      </c>
      <c r="K123" s="428">
        <f t="shared" si="4"/>
        <v>0</v>
      </c>
      <c r="L123" s="427"/>
      <c r="M123" s="426"/>
      <c r="N123" s="426"/>
      <c r="O123" s="425"/>
      <c r="P123" s="424"/>
      <c r="Q123" s="424"/>
      <c r="R123" s="425"/>
      <c r="S123" s="426"/>
      <c r="T123" s="426"/>
      <c r="U123" s="425"/>
      <c r="V123" s="424"/>
      <c r="W123" s="424"/>
      <c r="X123" s="425"/>
      <c r="Y123" s="426"/>
      <c r="Z123" s="426"/>
      <c r="AA123" s="425"/>
      <c r="AB123" s="424"/>
      <c r="AC123" s="424"/>
      <c r="AD123" s="425"/>
      <c r="AE123" s="426"/>
      <c r="AF123" s="426"/>
      <c r="AG123" s="425"/>
      <c r="AH123" s="424"/>
      <c r="AI123" s="424"/>
      <c r="AJ123" s="425"/>
      <c r="AK123" s="426"/>
      <c r="AL123" s="426"/>
      <c r="AM123" s="425"/>
      <c r="AN123" s="424"/>
      <c r="AO123" s="424"/>
      <c r="AP123" s="425"/>
      <c r="AQ123" s="426"/>
      <c r="AR123" s="426"/>
      <c r="AS123" s="425"/>
      <c r="AT123" s="424"/>
      <c r="AU123" s="424"/>
      <c r="AV123" s="425"/>
      <c r="AW123" s="426"/>
      <c r="AX123" s="426"/>
      <c r="AY123" s="425"/>
      <c r="AZ123" s="424"/>
      <c r="BA123" s="424"/>
      <c r="BB123" s="425"/>
      <c r="BC123" s="426"/>
      <c r="BD123" s="426"/>
      <c r="BE123" s="425"/>
      <c r="BF123" s="424"/>
      <c r="BG123" s="424"/>
      <c r="BH123" s="425"/>
      <c r="BI123" s="426"/>
      <c r="BJ123" s="426"/>
      <c r="BK123" s="425"/>
      <c r="BL123" s="424"/>
      <c r="BM123" s="424"/>
      <c r="BN123" s="425"/>
      <c r="BO123" s="426"/>
      <c r="BP123" s="426"/>
      <c r="BQ123" s="425"/>
      <c r="BR123" s="424"/>
      <c r="BS123" s="424"/>
      <c r="BT123" s="425"/>
      <c r="BU123" s="426"/>
      <c r="BV123" s="426"/>
      <c r="BW123" s="425"/>
      <c r="BX123" s="424"/>
      <c r="BY123" s="424"/>
      <c r="BZ123" s="425"/>
      <c r="CA123" s="426"/>
      <c r="CB123" s="426"/>
      <c r="CC123" s="425"/>
      <c r="CD123" s="424"/>
      <c r="CE123" s="424"/>
      <c r="CF123" s="425"/>
      <c r="CG123" s="426"/>
      <c r="CH123" s="426"/>
      <c r="CI123" s="425"/>
      <c r="CJ123" s="424"/>
      <c r="CK123" s="424"/>
      <c r="CL123" s="425"/>
      <c r="CM123" s="426"/>
      <c r="CN123" s="426"/>
      <c r="CO123" s="425"/>
      <c r="CP123" s="424"/>
      <c r="CQ123" s="424"/>
      <c r="CR123" s="425"/>
      <c r="CS123" s="426"/>
      <c r="CT123" s="426"/>
      <c r="CU123" s="425"/>
      <c r="CV123" s="424"/>
      <c r="CW123" s="424"/>
      <c r="CX123" s="425"/>
      <c r="CY123" s="426"/>
      <c r="CZ123" s="426"/>
      <c r="DA123" s="425"/>
      <c r="DB123" s="424"/>
      <c r="DC123" s="424"/>
      <c r="DD123" s="425"/>
      <c r="DE123" s="426"/>
      <c r="DF123" s="426"/>
      <c r="DG123" s="425"/>
      <c r="DH123" s="424"/>
      <c r="DI123" s="424"/>
      <c r="DJ123" s="425"/>
      <c r="DK123" s="426"/>
      <c r="DL123" s="426"/>
      <c r="DM123" s="425"/>
      <c r="DN123" s="424"/>
      <c r="DO123" s="424"/>
      <c r="DP123" s="425"/>
      <c r="DQ123" s="426"/>
      <c r="DR123" s="426"/>
      <c r="DS123" s="425"/>
      <c r="DT123" s="424"/>
      <c r="DU123" s="424"/>
      <c r="DV123" s="425"/>
      <c r="DW123" s="426"/>
      <c r="DX123" s="426"/>
      <c r="DY123" s="425"/>
      <c r="DZ123" s="424"/>
      <c r="EA123" s="424"/>
    </row>
    <row r="124" spans="2:131">
      <c r="C124" s="423"/>
      <c r="D124" s="101"/>
      <c r="E124" s="457" t="s">
        <v>1010</v>
      </c>
      <c r="F124" s="422">
        <f>'MF Unit Material'!Y258</f>
        <v>125.30670000000002</v>
      </c>
      <c r="G124" s="421">
        <f>'MF Unit Material'!Z258</f>
        <v>0</v>
      </c>
      <c r="H124" s="420">
        <f>'MF Unit Material'!AA258</f>
        <v>5262.8814000000002</v>
      </c>
      <c r="I124" s="429"/>
      <c r="J124" s="429">
        <f t="shared" si="3"/>
        <v>0</v>
      </c>
      <c r="K124" s="428">
        <f t="shared" si="4"/>
        <v>0</v>
      </c>
      <c r="L124" s="427"/>
      <c r="M124" s="426"/>
      <c r="N124" s="426"/>
      <c r="O124" s="425"/>
      <c r="P124" s="424"/>
      <c r="Q124" s="424"/>
      <c r="R124" s="425"/>
      <c r="S124" s="426"/>
      <c r="T124" s="426"/>
      <c r="U124" s="425"/>
      <c r="V124" s="424"/>
      <c r="W124" s="424"/>
      <c r="X124" s="425"/>
      <c r="Y124" s="426"/>
      <c r="Z124" s="426"/>
      <c r="AA124" s="425"/>
      <c r="AB124" s="424"/>
      <c r="AC124" s="424"/>
      <c r="AD124" s="425"/>
      <c r="AE124" s="426"/>
      <c r="AF124" s="426"/>
      <c r="AG124" s="425"/>
      <c r="AH124" s="424"/>
      <c r="AI124" s="424"/>
      <c r="AJ124" s="425"/>
      <c r="AK124" s="426"/>
      <c r="AL124" s="426"/>
      <c r="AM124" s="425"/>
      <c r="AN124" s="424"/>
      <c r="AO124" s="424"/>
      <c r="AP124" s="425"/>
      <c r="AQ124" s="426"/>
      <c r="AR124" s="426"/>
      <c r="AS124" s="425"/>
      <c r="AT124" s="424"/>
      <c r="AU124" s="424"/>
      <c r="AV124" s="425"/>
      <c r="AW124" s="426"/>
      <c r="AX124" s="426"/>
      <c r="AY124" s="425"/>
      <c r="AZ124" s="424"/>
      <c r="BA124" s="424"/>
      <c r="BB124" s="425"/>
      <c r="BC124" s="426"/>
      <c r="BD124" s="426"/>
      <c r="BE124" s="425"/>
      <c r="BF124" s="424"/>
      <c r="BG124" s="424"/>
      <c r="BH124" s="425"/>
      <c r="BI124" s="426"/>
      <c r="BJ124" s="426"/>
      <c r="BK124" s="425"/>
      <c r="BL124" s="424"/>
      <c r="BM124" s="424"/>
      <c r="BN124" s="425"/>
      <c r="BO124" s="426"/>
      <c r="BP124" s="426"/>
      <c r="BQ124" s="425"/>
      <c r="BR124" s="424"/>
      <c r="BS124" s="424"/>
      <c r="BT124" s="425"/>
      <c r="BU124" s="426"/>
      <c r="BV124" s="426"/>
      <c r="BW124" s="425"/>
      <c r="BX124" s="424"/>
      <c r="BY124" s="424"/>
      <c r="BZ124" s="425"/>
      <c r="CA124" s="426"/>
      <c r="CB124" s="426"/>
      <c r="CC124" s="425"/>
      <c r="CD124" s="424"/>
      <c r="CE124" s="424"/>
      <c r="CF124" s="425"/>
      <c r="CG124" s="426"/>
      <c r="CH124" s="426"/>
      <c r="CI124" s="425"/>
      <c r="CJ124" s="424"/>
      <c r="CK124" s="424"/>
      <c r="CL124" s="425"/>
      <c r="CM124" s="426"/>
      <c r="CN124" s="426"/>
      <c r="CO124" s="425"/>
      <c r="CP124" s="424"/>
      <c r="CQ124" s="424"/>
      <c r="CR124" s="425"/>
      <c r="CS124" s="426"/>
      <c r="CT124" s="426"/>
      <c r="CU124" s="425"/>
      <c r="CV124" s="424"/>
      <c r="CW124" s="424"/>
      <c r="CX124" s="425"/>
      <c r="CY124" s="426"/>
      <c r="CZ124" s="426"/>
      <c r="DA124" s="425"/>
      <c r="DB124" s="424"/>
      <c r="DC124" s="424"/>
      <c r="DD124" s="425"/>
      <c r="DE124" s="426"/>
      <c r="DF124" s="426"/>
      <c r="DG124" s="425"/>
      <c r="DH124" s="424"/>
      <c r="DI124" s="424"/>
      <c r="DJ124" s="425"/>
      <c r="DK124" s="426"/>
      <c r="DL124" s="426"/>
      <c r="DM124" s="425"/>
      <c r="DN124" s="424"/>
      <c r="DO124" s="424"/>
      <c r="DP124" s="425"/>
      <c r="DQ124" s="426"/>
      <c r="DR124" s="426"/>
      <c r="DS124" s="425"/>
      <c r="DT124" s="424"/>
      <c r="DU124" s="424"/>
      <c r="DV124" s="425"/>
      <c r="DW124" s="426"/>
      <c r="DX124" s="426"/>
      <c r="DY124" s="425"/>
      <c r="DZ124" s="424"/>
      <c r="EA124" s="424"/>
    </row>
    <row r="125" spans="2:131">
      <c r="C125" s="96" t="s">
        <v>1011</v>
      </c>
      <c r="D125" s="65"/>
      <c r="E125" s="65"/>
      <c r="F125" s="437" t="s">
        <v>948</v>
      </c>
      <c r="G125" s="436" t="s">
        <v>949</v>
      </c>
      <c r="H125" s="412" t="s">
        <v>950</v>
      </c>
      <c r="I125" s="429"/>
      <c r="J125" s="429">
        <f t="shared" si="3"/>
        <v>0</v>
      </c>
      <c r="K125" s="428">
        <f t="shared" si="4"/>
        <v>0</v>
      </c>
      <c r="L125" s="427"/>
      <c r="M125" s="426"/>
      <c r="N125" s="426"/>
      <c r="O125" s="425"/>
      <c r="P125" s="424"/>
      <c r="Q125" s="424"/>
      <c r="R125" s="425"/>
      <c r="S125" s="426"/>
      <c r="T125" s="426"/>
      <c r="U125" s="425"/>
      <c r="V125" s="424"/>
      <c r="W125" s="424"/>
      <c r="X125" s="425"/>
      <c r="Y125" s="426"/>
      <c r="Z125" s="426"/>
      <c r="AA125" s="425"/>
      <c r="AB125" s="424"/>
      <c r="AC125" s="424"/>
      <c r="AD125" s="425"/>
      <c r="AE125" s="426"/>
      <c r="AF125" s="426"/>
      <c r="AG125" s="425"/>
      <c r="AH125" s="424"/>
      <c r="AI125" s="424"/>
      <c r="AJ125" s="425"/>
      <c r="AK125" s="426"/>
      <c r="AL125" s="426"/>
      <c r="AM125" s="425"/>
      <c r="AN125" s="424"/>
      <c r="AO125" s="424"/>
      <c r="AP125" s="425"/>
      <c r="AQ125" s="426"/>
      <c r="AR125" s="426"/>
      <c r="AS125" s="425"/>
      <c r="AT125" s="424"/>
      <c r="AU125" s="424"/>
      <c r="AV125" s="425"/>
      <c r="AW125" s="426"/>
      <c r="AX125" s="426"/>
      <c r="AY125" s="425"/>
      <c r="AZ125" s="424"/>
      <c r="BA125" s="424"/>
      <c r="BB125" s="425"/>
      <c r="BC125" s="426"/>
      <c r="BD125" s="426"/>
      <c r="BE125" s="425"/>
      <c r="BF125" s="424"/>
      <c r="BG125" s="424"/>
      <c r="BH125" s="425"/>
      <c r="BI125" s="426"/>
      <c r="BJ125" s="426"/>
      <c r="BK125" s="425"/>
      <c r="BL125" s="424"/>
      <c r="BM125" s="424"/>
      <c r="BN125" s="425"/>
      <c r="BO125" s="426"/>
      <c r="BP125" s="426"/>
      <c r="BQ125" s="425"/>
      <c r="BR125" s="424"/>
      <c r="BS125" s="424"/>
      <c r="BT125" s="425"/>
      <c r="BU125" s="426"/>
      <c r="BV125" s="426"/>
      <c r="BW125" s="425"/>
      <c r="BX125" s="424"/>
      <c r="BY125" s="424"/>
      <c r="BZ125" s="425"/>
      <c r="CA125" s="426"/>
      <c r="CB125" s="426"/>
      <c r="CC125" s="425"/>
      <c r="CD125" s="424"/>
      <c r="CE125" s="424"/>
      <c r="CF125" s="425"/>
      <c r="CG125" s="426"/>
      <c r="CH125" s="426"/>
      <c r="CI125" s="425"/>
      <c r="CJ125" s="424"/>
      <c r="CK125" s="424"/>
      <c r="CL125" s="425"/>
      <c r="CM125" s="426"/>
      <c r="CN125" s="426"/>
      <c r="CO125" s="425"/>
      <c r="CP125" s="424"/>
      <c r="CQ125" s="424"/>
      <c r="CR125" s="425"/>
      <c r="CS125" s="426"/>
      <c r="CT125" s="426"/>
      <c r="CU125" s="425"/>
      <c r="CV125" s="424"/>
      <c r="CW125" s="424"/>
      <c r="CX125" s="425"/>
      <c r="CY125" s="426"/>
      <c r="CZ125" s="426"/>
      <c r="DA125" s="425"/>
      <c r="DB125" s="424"/>
      <c r="DC125" s="424"/>
      <c r="DD125" s="425"/>
      <c r="DE125" s="426"/>
      <c r="DF125" s="426"/>
      <c r="DG125" s="425"/>
      <c r="DH125" s="424"/>
      <c r="DI125" s="424"/>
      <c r="DJ125" s="425"/>
      <c r="DK125" s="426"/>
      <c r="DL125" s="426"/>
      <c r="DM125" s="425"/>
      <c r="DN125" s="424"/>
      <c r="DO125" s="424"/>
      <c r="DP125" s="425"/>
      <c r="DQ125" s="426"/>
      <c r="DR125" s="426"/>
      <c r="DS125" s="425"/>
      <c r="DT125" s="424"/>
      <c r="DU125" s="424"/>
      <c r="DV125" s="425"/>
      <c r="DW125" s="426"/>
      <c r="DX125" s="426"/>
      <c r="DY125" s="425"/>
      <c r="DZ125" s="424"/>
      <c r="EA125" s="424"/>
    </row>
    <row r="126" spans="2:131">
      <c r="C126" s="198" t="s">
        <v>1012</v>
      </c>
      <c r="D126" s="456" t="s">
        <v>1013</v>
      </c>
      <c r="E126" s="198" t="s">
        <v>968</v>
      </c>
      <c r="F126" s="432">
        <f>'MF Unit Material'!Y260</f>
        <v>412</v>
      </c>
      <c r="G126" s="431">
        <f>'MF Unit Material'!Z260</f>
        <v>28.5</v>
      </c>
      <c r="H126" s="158">
        <f>'MF Unit Material'!AA260</f>
        <v>11742</v>
      </c>
      <c r="I126" s="430">
        <f t="shared" ref="I126:I140" si="5">F126-J126</f>
        <v>412</v>
      </c>
      <c r="J126" s="429">
        <f t="shared" si="3"/>
        <v>0</v>
      </c>
      <c r="K126" s="428">
        <f t="shared" si="4"/>
        <v>0</v>
      </c>
      <c r="L126" s="427"/>
      <c r="M126" s="426"/>
      <c r="N126" s="426"/>
      <c r="O126" s="425"/>
      <c r="P126" s="424"/>
      <c r="Q126" s="424"/>
      <c r="R126" s="425"/>
      <c r="S126" s="426"/>
      <c r="T126" s="426"/>
      <c r="U126" s="425"/>
      <c r="V126" s="424"/>
      <c r="W126" s="424"/>
      <c r="X126" s="425"/>
      <c r="Y126" s="426"/>
      <c r="Z126" s="426"/>
      <c r="AA126" s="425"/>
      <c r="AB126" s="424"/>
      <c r="AC126" s="424"/>
      <c r="AD126" s="425"/>
      <c r="AE126" s="426"/>
      <c r="AF126" s="426"/>
      <c r="AG126" s="425"/>
      <c r="AH126" s="424"/>
      <c r="AI126" s="424"/>
      <c r="AJ126" s="425"/>
      <c r="AK126" s="426"/>
      <c r="AL126" s="426"/>
      <c r="AM126" s="425"/>
      <c r="AN126" s="424"/>
      <c r="AO126" s="424"/>
      <c r="AP126" s="425"/>
      <c r="AQ126" s="426"/>
      <c r="AR126" s="426"/>
      <c r="AS126" s="425"/>
      <c r="AT126" s="424"/>
      <c r="AU126" s="424"/>
      <c r="AV126" s="425"/>
      <c r="AW126" s="426"/>
      <c r="AX126" s="426"/>
      <c r="AY126" s="425"/>
      <c r="AZ126" s="424"/>
      <c r="BA126" s="424"/>
      <c r="BB126" s="425"/>
      <c r="BC126" s="426"/>
      <c r="BD126" s="426"/>
      <c r="BE126" s="425"/>
      <c r="BF126" s="424"/>
      <c r="BG126" s="424"/>
      <c r="BH126" s="425"/>
      <c r="BI126" s="426"/>
      <c r="BJ126" s="426"/>
      <c r="BK126" s="425"/>
      <c r="BL126" s="424"/>
      <c r="BM126" s="424"/>
      <c r="BN126" s="425"/>
      <c r="BO126" s="426"/>
      <c r="BP126" s="426"/>
      <c r="BQ126" s="425"/>
      <c r="BR126" s="424"/>
      <c r="BS126" s="424"/>
      <c r="BT126" s="425"/>
      <c r="BU126" s="426"/>
      <c r="BV126" s="426"/>
      <c r="BW126" s="425"/>
      <c r="BX126" s="424"/>
      <c r="BY126" s="424"/>
      <c r="BZ126" s="425"/>
      <c r="CA126" s="426"/>
      <c r="CB126" s="426"/>
      <c r="CC126" s="425"/>
      <c r="CD126" s="424"/>
      <c r="CE126" s="424"/>
      <c r="CF126" s="425"/>
      <c r="CG126" s="426"/>
      <c r="CH126" s="426"/>
      <c r="CI126" s="425"/>
      <c r="CJ126" s="424"/>
      <c r="CK126" s="424"/>
      <c r="CL126" s="425"/>
      <c r="CM126" s="426"/>
      <c r="CN126" s="426"/>
      <c r="CO126" s="425"/>
      <c r="CP126" s="424"/>
      <c r="CQ126" s="424"/>
      <c r="CR126" s="425"/>
      <c r="CS126" s="426"/>
      <c r="CT126" s="426"/>
      <c r="CU126" s="425"/>
      <c r="CV126" s="424"/>
      <c r="CW126" s="424"/>
      <c r="CX126" s="425"/>
      <c r="CY126" s="426"/>
      <c r="CZ126" s="426"/>
      <c r="DA126" s="425"/>
      <c r="DB126" s="424"/>
      <c r="DC126" s="424"/>
      <c r="DD126" s="425"/>
      <c r="DE126" s="426"/>
      <c r="DF126" s="426"/>
      <c r="DG126" s="425"/>
      <c r="DH126" s="424"/>
      <c r="DI126" s="424"/>
      <c r="DJ126" s="425"/>
      <c r="DK126" s="426"/>
      <c r="DL126" s="426"/>
      <c r="DM126" s="425"/>
      <c r="DN126" s="424"/>
      <c r="DO126" s="424"/>
      <c r="DP126" s="425"/>
      <c r="DQ126" s="426"/>
      <c r="DR126" s="426"/>
      <c r="DS126" s="425"/>
      <c r="DT126" s="424"/>
      <c r="DU126" s="424"/>
      <c r="DV126" s="425"/>
      <c r="DW126" s="426"/>
      <c r="DX126" s="426"/>
      <c r="DY126" s="425"/>
      <c r="DZ126" s="424"/>
      <c r="EA126" s="424"/>
    </row>
    <row r="127" spans="2:131">
      <c r="C127" s="200" t="s">
        <v>1014</v>
      </c>
      <c r="D127" s="455" t="s">
        <v>1015</v>
      </c>
      <c r="E127" s="200" t="s">
        <v>968</v>
      </c>
      <c r="F127" s="432">
        <f>'MF Unit Material'!Y261</f>
        <v>348</v>
      </c>
      <c r="G127" s="431">
        <f>'MF Unit Material'!Z261</f>
        <v>24.5</v>
      </c>
      <c r="H127" s="158">
        <f>'MF Unit Material'!AA261</f>
        <v>8526</v>
      </c>
      <c r="I127" s="430">
        <f t="shared" si="5"/>
        <v>348</v>
      </c>
      <c r="J127" s="429">
        <f t="shared" si="3"/>
        <v>0</v>
      </c>
      <c r="K127" s="428">
        <f t="shared" si="4"/>
        <v>0</v>
      </c>
      <c r="L127" s="427"/>
      <c r="M127" s="426"/>
      <c r="N127" s="426"/>
      <c r="O127" s="425"/>
      <c r="P127" s="424"/>
      <c r="Q127" s="424"/>
      <c r="R127" s="425"/>
      <c r="S127" s="426"/>
      <c r="T127" s="426"/>
      <c r="U127" s="425"/>
      <c r="V127" s="424"/>
      <c r="W127" s="424"/>
      <c r="X127" s="425"/>
      <c r="Y127" s="426"/>
      <c r="Z127" s="426"/>
      <c r="AA127" s="425"/>
      <c r="AB127" s="424"/>
      <c r="AC127" s="424"/>
      <c r="AD127" s="425"/>
      <c r="AE127" s="426"/>
      <c r="AF127" s="426"/>
      <c r="AG127" s="425"/>
      <c r="AH127" s="424"/>
      <c r="AI127" s="424"/>
      <c r="AJ127" s="425"/>
      <c r="AK127" s="426"/>
      <c r="AL127" s="426"/>
      <c r="AM127" s="425"/>
      <c r="AN127" s="424"/>
      <c r="AO127" s="424"/>
      <c r="AP127" s="425"/>
      <c r="AQ127" s="426"/>
      <c r="AR127" s="426"/>
      <c r="AS127" s="425"/>
      <c r="AT127" s="424"/>
      <c r="AU127" s="424"/>
      <c r="AV127" s="425"/>
      <c r="AW127" s="426"/>
      <c r="AX127" s="426"/>
      <c r="AY127" s="425"/>
      <c r="AZ127" s="424"/>
      <c r="BA127" s="424"/>
      <c r="BB127" s="425"/>
      <c r="BC127" s="426"/>
      <c r="BD127" s="426"/>
      <c r="BE127" s="425"/>
      <c r="BF127" s="424"/>
      <c r="BG127" s="424"/>
      <c r="BH127" s="425"/>
      <c r="BI127" s="426"/>
      <c r="BJ127" s="426"/>
      <c r="BK127" s="425"/>
      <c r="BL127" s="424"/>
      <c r="BM127" s="424"/>
      <c r="BN127" s="425"/>
      <c r="BO127" s="426"/>
      <c r="BP127" s="426"/>
      <c r="BQ127" s="425"/>
      <c r="BR127" s="424"/>
      <c r="BS127" s="424"/>
      <c r="BT127" s="425"/>
      <c r="BU127" s="426"/>
      <c r="BV127" s="426"/>
      <c r="BW127" s="425"/>
      <c r="BX127" s="424"/>
      <c r="BY127" s="424"/>
      <c r="BZ127" s="425"/>
      <c r="CA127" s="426"/>
      <c r="CB127" s="426"/>
      <c r="CC127" s="425"/>
      <c r="CD127" s="424"/>
      <c r="CE127" s="424"/>
      <c r="CF127" s="425"/>
      <c r="CG127" s="426"/>
      <c r="CH127" s="426"/>
      <c r="CI127" s="425"/>
      <c r="CJ127" s="424"/>
      <c r="CK127" s="424"/>
      <c r="CL127" s="425"/>
      <c r="CM127" s="426"/>
      <c r="CN127" s="426"/>
      <c r="CO127" s="425"/>
      <c r="CP127" s="424"/>
      <c r="CQ127" s="424"/>
      <c r="CR127" s="425"/>
      <c r="CS127" s="426"/>
      <c r="CT127" s="426"/>
      <c r="CU127" s="425"/>
      <c r="CV127" s="424"/>
      <c r="CW127" s="424"/>
      <c r="CX127" s="425"/>
      <c r="CY127" s="426"/>
      <c r="CZ127" s="426"/>
      <c r="DA127" s="425"/>
      <c r="DB127" s="424"/>
      <c r="DC127" s="424"/>
      <c r="DD127" s="425"/>
      <c r="DE127" s="426"/>
      <c r="DF127" s="426"/>
      <c r="DG127" s="425"/>
      <c r="DH127" s="424"/>
      <c r="DI127" s="424"/>
      <c r="DJ127" s="425"/>
      <c r="DK127" s="426"/>
      <c r="DL127" s="426"/>
      <c r="DM127" s="425"/>
      <c r="DN127" s="424"/>
      <c r="DO127" s="424"/>
      <c r="DP127" s="425"/>
      <c r="DQ127" s="426"/>
      <c r="DR127" s="426"/>
      <c r="DS127" s="425"/>
      <c r="DT127" s="424"/>
      <c r="DU127" s="424"/>
      <c r="DV127" s="425"/>
      <c r="DW127" s="426"/>
      <c r="DX127" s="426"/>
      <c r="DY127" s="425"/>
      <c r="DZ127" s="424"/>
      <c r="EA127" s="424"/>
    </row>
    <row r="128" spans="2:131">
      <c r="C128" s="200" t="s">
        <v>1016</v>
      </c>
      <c r="D128" s="455" t="s">
        <v>1017</v>
      </c>
      <c r="E128" s="200" t="s">
        <v>968</v>
      </c>
      <c r="F128" s="432">
        <f>'MF Unit Material'!Y262</f>
        <v>67</v>
      </c>
      <c r="G128" s="431">
        <f>'MF Unit Material'!Z262</f>
        <v>23</v>
      </c>
      <c r="H128" s="158">
        <f>'MF Unit Material'!AA262</f>
        <v>1541</v>
      </c>
      <c r="I128" s="430">
        <f t="shared" si="5"/>
        <v>67</v>
      </c>
      <c r="J128" s="429">
        <f t="shared" si="3"/>
        <v>0</v>
      </c>
      <c r="K128" s="428">
        <f t="shared" si="4"/>
        <v>0</v>
      </c>
      <c r="L128" s="427"/>
      <c r="M128" s="426"/>
      <c r="N128" s="426"/>
      <c r="O128" s="425"/>
      <c r="P128" s="424"/>
      <c r="Q128" s="424"/>
      <c r="R128" s="425"/>
      <c r="S128" s="426"/>
      <c r="T128" s="426"/>
      <c r="U128" s="425"/>
      <c r="V128" s="424"/>
      <c r="W128" s="424"/>
      <c r="X128" s="425"/>
      <c r="Y128" s="426"/>
      <c r="Z128" s="426"/>
      <c r="AA128" s="425"/>
      <c r="AB128" s="424"/>
      <c r="AC128" s="424"/>
      <c r="AD128" s="425"/>
      <c r="AE128" s="426"/>
      <c r="AF128" s="426"/>
      <c r="AG128" s="425"/>
      <c r="AH128" s="424"/>
      <c r="AI128" s="424"/>
      <c r="AJ128" s="425"/>
      <c r="AK128" s="426"/>
      <c r="AL128" s="426"/>
      <c r="AM128" s="425"/>
      <c r="AN128" s="424"/>
      <c r="AO128" s="424"/>
      <c r="AP128" s="425"/>
      <c r="AQ128" s="426"/>
      <c r="AR128" s="426"/>
      <c r="AS128" s="425"/>
      <c r="AT128" s="424"/>
      <c r="AU128" s="424"/>
      <c r="AV128" s="425"/>
      <c r="AW128" s="426"/>
      <c r="AX128" s="426"/>
      <c r="AY128" s="425"/>
      <c r="AZ128" s="424"/>
      <c r="BA128" s="424"/>
      <c r="BB128" s="425"/>
      <c r="BC128" s="426"/>
      <c r="BD128" s="426"/>
      <c r="BE128" s="425"/>
      <c r="BF128" s="424"/>
      <c r="BG128" s="424"/>
      <c r="BH128" s="425"/>
      <c r="BI128" s="426"/>
      <c r="BJ128" s="426"/>
      <c r="BK128" s="425"/>
      <c r="BL128" s="424"/>
      <c r="BM128" s="424"/>
      <c r="BN128" s="425"/>
      <c r="BO128" s="426"/>
      <c r="BP128" s="426"/>
      <c r="BQ128" s="425"/>
      <c r="BR128" s="424"/>
      <c r="BS128" s="424"/>
      <c r="BT128" s="425"/>
      <c r="BU128" s="426"/>
      <c r="BV128" s="426"/>
      <c r="BW128" s="425"/>
      <c r="BX128" s="424"/>
      <c r="BY128" s="424"/>
      <c r="BZ128" s="425"/>
      <c r="CA128" s="426"/>
      <c r="CB128" s="426"/>
      <c r="CC128" s="425"/>
      <c r="CD128" s="424"/>
      <c r="CE128" s="424"/>
      <c r="CF128" s="425"/>
      <c r="CG128" s="426"/>
      <c r="CH128" s="426"/>
      <c r="CI128" s="425"/>
      <c r="CJ128" s="424"/>
      <c r="CK128" s="424"/>
      <c r="CL128" s="425"/>
      <c r="CM128" s="426"/>
      <c r="CN128" s="426"/>
      <c r="CO128" s="425"/>
      <c r="CP128" s="424"/>
      <c r="CQ128" s="424"/>
      <c r="CR128" s="425"/>
      <c r="CS128" s="426"/>
      <c r="CT128" s="426"/>
      <c r="CU128" s="425"/>
      <c r="CV128" s="424"/>
      <c r="CW128" s="424"/>
      <c r="CX128" s="425"/>
      <c r="CY128" s="426"/>
      <c r="CZ128" s="426"/>
      <c r="DA128" s="425"/>
      <c r="DB128" s="424"/>
      <c r="DC128" s="424"/>
      <c r="DD128" s="425"/>
      <c r="DE128" s="426"/>
      <c r="DF128" s="426"/>
      <c r="DG128" s="425"/>
      <c r="DH128" s="424"/>
      <c r="DI128" s="424"/>
      <c r="DJ128" s="425"/>
      <c r="DK128" s="426"/>
      <c r="DL128" s="426"/>
      <c r="DM128" s="425"/>
      <c r="DN128" s="424"/>
      <c r="DO128" s="424"/>
      <c r="DP128" s="425"/>
      <c r="DQ128" s="426"/>
      <c r="DR128" s="426"/>
      <c r="DS128" s="425"/>
      <c r="DT128" s="424"/>
      <c r="DU128" s="424"/>
      <c r="DV128" s="425"/>
      <c r="DW128" s="426"/>
      <c r="DX128" s="426"/>
      <c r="DY128" s="425"/>
      <c r="DZ128" s="424"/>
      <c r="EA128" s="424"/>
    </row>
    <row r="129" spans="3:131">
      <c r="C129" s="200" t="s">
        <v>1018</v>
      </c>
      <c r="D129" s="455" t="s">
        <v>1019</v>
      </c>
      <c r="E129" s="200" t="s">
        <v>968</v>
      </c>
      <c r="F129" s="432">
        <f>'MF Unit Material'!Y263</f>
        <v>0</v>
      </c>
      <c r="G129" s="431" t="str">
        <f>'MF Unit Material'!Z263</f>
        <v/>
      </c>
      <c r="H129" s="158">
        <f>'MF Unit Material'!AA263</f>
        <v>0</v>
      </c>
      <c r="I129" s="430">
        <f t="shared" si="5"/>
        <v>0</v>
      </c>
      <c r="J129" s="429">
        <f t="shared" si="3"/>
        <v>0</v>
      </c>
      <c r="K129" s="428">
        <f t="shared" si="4"/>
        <v>0</v>
      </c>
      <c r="L129" s="427"/>
      <c r="M129" s="426"/>
      <c r="N129" s="426"/>
      <c r="O129" s="425"/>
      <c r="P129" s="424"/>
      <c r="Q129" s="424"/>
      <c r="R129" s="425"/>
      <c r="S129" s="426"/>
      <c r="T129" s="426"/>
      <c r="U129" s="425"/>
      <c r="V129" s="424"/>
      <c r="W129" s="424"/>
      <c r="X129" s="425"/>
      <c r="Y129" s="426"/>
      <c r="Z129" s="426"/>
      <c r="AA129" s="425"/>
      <c r="AB129" s="424"/>
      <c r="AC129" s="424"/>
      <c r="AD129" s="425"/>
      <c r="AE129" s="426"/>
      <c r="AF129" s="426"/>
      <c r="AG129" s="425"/>
      <c r="AH129" s="424"/>
      <c r="AI129" s="424"/>
      <c r="AJ129" s="425"/>
      <c r="AK129" s="426"/>
      <c r="AL129" s="426"/>
      <c r="AM129" s="425"/>
      <c r="AN129" s="424"/>
      <c r="AO129" s="424"/>
      <c r="AP129" s="425"/>
      <c r="AQ129" s="426"/>
      <c r="AR129" s="426"/>
      <c r="AS129" s="425"/>
      <c r="AT129" s="424"/>
      <c r="AU129" s="424"/>
      <c r="AV129" s="425"/>
      <c r="AW129" s="426"/>
      <c r="AX129" s="426"/>
      <c r="AY129" s="425"/>
      <c r="AZ129" s="424"/>
      <c r="BA129" s="424"/>
      <c r="BB129" s="425"/>
      <c r="BC129" s="426"/>
      <c r="BD129" s="426"/>
      <c r="BE129" s="425"/>
      <c r="BF129" s="424"/>
      <c r="BG129" s="424"/>
      <c r="BH129" s="425"/>
      <c r="BI129" s="426"/>
      <c r="BJ129" s="426"/>
      <c r="BK129" s="425"/>
      <c r="BL129" s="424"/>
      <c r="BM129" s="424"/>
      <c r="BN129" s="425"/>
      <c r="BO129" s="426"/>
      <c r="BP129" s="426"/>
      <c r="BQ129" s="425"/>
      <c r="BR129" s="424"/>
      <c r="BS129" s="424"/>
      <c r="BT129" s="425"/>
      <c r="BU129" s="426"/>
      <c r="BV129" s="426"/>
      <c r="BW129" s="425"/>
      <c r="BX129" s="424"/>
      <c r="BY129" s="424"/>
      <c r="BZ129" s="425"/>
      <c r="CA129" s="426"/>
      <c r="CB129" s="426"/>
      <c r="CC129" s="425"/>
      <c r="CD129" s="424"/>
      <c r="CE129" s="424"/>
      <c r="CF129" s="425"/>
      <c r="CG129" s="426"/>
      <c r="CH129" s="426"/>
      <c r="CI129" s="425"/>
      <c r="CJ129" s="424"/>
      <c r="CK129" s="424"/>
      <c r="CL129" s="425"/>
      <c r="CM129" s="426"/>
      <c r="CN129" s="426"/>
      <c r="CO129" s="425"/>
      <c r="CP129" s="424"/>
      <c r="CQ129" s="424"/>
      <c r="CR129" s="425"/>
      <c r="CS129" s="426"/>
      <c r="CT129" s="426"/>
      <c r="CU129" s="425"/>
      <c r="CV129" s="424"/>
      <c r="CW129" s="424"/>
      <c r="CX129" s="425"/>
      <c r="CY129" s="426"/>
      <c r="CZ129" s="426"/>
      <c r="DA129" s="425"/>
      <c r="DB129" s="424"/>
      <c r="DC129" s="424"/>
      <c r="DD129" s="425"/>
      <c r="DE129" s="426"/>
      <c r="DF129" s="426"/>
      <c r="DG129" s="425"/>
      <c r="DH129" s="424"/>
      <c r="DI129" s="424"/>
      <c r="DJ129" s="425"/>
      <c r="DK129" s="426"/>
      <c r="DL129" s="426"/>
      <c r="DM129" s="425"/>
      <c r="DN129" s="424"/>
      <c r="DO129" s="424"/>
      <c r="DP129" s="425"/>
      <c r="DQ129" s="426"/>
      <c r="DR129" s="426"/>
      <c r="DS129" s="425"/>
      <c r="DT129" s="424"/>
      <c r="DU129" s="424"/>
      <c r="DV129" s="425"/>
      <c r="DW129" s="426"/>
      <c r="DX129" s="426"/>
      <c r="DY129" s="425"/>
      <c r="DZ129" s="424"/>
      <c r="EA129" s="424"/>
    </row>
    <row r="130" spans="3:131">
      <c r="C130" s="200" t="s">
        <v>1020</v>
      </c>
      <c r="D130" s="455" t="s">
        <v>1021</v>
      </c>
      <c r="E130" s="200" t="s">
        <v>968</v>
      </c>
      <c r="F130" s="432">
        <f>'MF Unit Material'!Y264</f>
        <v>393</v>
      </c>
      <c r="G130" s="431">
        <f>'MF Unit Material'!Z264</f>
        <v>21.5</v>
      </c>
      <c r="H130" s="158">
        <f>'MF Unit Material'!AA264</f>
        <v>8449.5</v>
      </c>
      <c r="I130" s="430">
        <f t="shared" si="5"/>
        <v>393</v>
      </c>
      <c r="J130" s="429">
        <f t="shared" si="3"/>
        <v>0</v>
      </c>
      <c r="K130" s="428">
        <f t="shared" si="4"/>
        <v>0</v>
      </c>
      <c r="L130" s="427"/>
      <c r="M130" s="426"/>
      <c r="N130" s="426"/>
      <c r="O130" s="425"/>
      <c r="P130" s="424"/>
      <c r="Q130" s="424"/>
      <c r="R130" s="425"/>
      <c r="S130" s="426"/>
      <c r="T130" s="426"/>
      <c r="U130" s="425"/>
      <c r="V130" s="424"/>
      <c r="W130" s="424"/>
      <c r="X130" s="425"/>
      <c r="Y130" s="426"/>
      <c r="Z130" s="426"/>
      <c r="AA130" s="425"/>
      <c r="AB130" s="424"/>
      <c r="AC130" s="424"/>
      <c r="AD130" s="425"/>
      <c r="AE130" s="426"/>
      <c r="AF130" s="426"/>
      <c r="AG130" s="425"/>
      <c r="AH130" s="424"/>
      <c r="AI130" s="424"/>
      <c r="AJ130" s="425"/>
      <c r="AK130" s="426"/>
      <c r="AL130" s="426"/>
      <c r="AM130" s="425"/>
      <c r="AN130" s="424"/>
      <c r="AO130" s="424"/>
      <c r="AP130" s="425"/>
      <c r="AQ130" s="426"/>
      <c r="AR130" s="426"/>
      <c r="AS130" s="425"/>
      <c r="AT130" s="424"/>
      <c r="AU130" s="424"/>
      <c r="AV130" s="425"/>
      <c r="AW130" s="426"/>
      <c r="AX130" s="426"/>
      <c r="AY130" s="425"/>
      <c r="AZ130" s="424"/>
      <c r="BA130" s="424"/>
      <c r="BB130" s="425"/>
      <c r="BC130" s="426"/>
      <c r="BD130" s="426"/>
      <c r="BE130" s="425"/>
      <c r="BF130" s="424"/>
      <c r="BG130" s="424"/>
      <c r="BH130" s="425"/>
      <c r="BI130" s="426"/>
      <c r="BJ130" s="426"/>
      <c r="BK130" s="425"/>
      <c r="BL130" s="424"/>
      <c r="BM130" s="424"/>
      <c r="BN130" s="425"/>
      <c r="BO130" s="426"/>
      <c r="BP130" s="426"/>
      <c r="BQ130" s="425"/>
      <c r="BR130" s="424"/>
      <c r="BS130" s="424"/>
      <c r="BT130" s="425"/>
      <c r="BU130" s="426"/>
      <c r="BV130" s="426"/>
      <c r="BW130" s="425"/>
      <c r="BX130" s="424"/>
      <c r="BY130" s="424"/>
      <c r="BZ130" s="425"/>
      <c r="CA130" s="426"/>
      <c r="CB130" s="426"/>
      <c r="CC130" s="425"/>
      <c r="CD130" s="424"/>
      <c r="CE130" s="424"/>
      <c r="CF130" s="425"/>
      <c r="CG130" s="426"/>
      <c r="CH130" s="426"/>
      <c r="CI130" s="425"/>
      <c r="CJ130" s="424"/>
      <c r="CK130" s="424"/>
      <c r="CL130" s="425"/>
      <c r="CM130" s="426"/>
      <c r="CN130" s="426"/>
      <c r="CO130" s="425"/>
      <c r="CP130" s="424"/>
      <c r="CQ130" s="424"/>
      <c r="CR130" s="425"/>
      <c r="CS130" s="426"/>
      <c r="CT130" s="426"/>
      <c r="CU130" s="425"/>
      <c r="CV130" s="424"/>
      <c r="CW130" s="424"/>
      <c r="CX130" s="425"/>
      <c r="CY130" s="426"/>
      <c r="CZ130" s="426"/>
      <c r="DA130" s="425"/>
      <c r="DB130" s="424"/>
      <c r="DC130" s="424"/>
      <c r="DD130" s="425"/>
      <c r="DE130" s="426"/>
      <c r="DF130" s="426"/>
      <c r="DG130" s="425"/>
      <c r="DH130" s="424"/>
      <c r="DI130" s="424"/>
      <c r="DJ130" s="425"/>
      <c r="DK130" s="426"/>
      <c r="DL130" s="426"/>
      <c r="DM130" s="425"/>
      <c r="DN130" s="424"/>
      <c r="DO130" s="424"/>
      <c r="DP130" s="425"/>
      <c r="DQ130" s="426"/>
      <c r="DR130" s="426"/>
      <c r="DS130" s="425"/>
      <c r="DT130" s="424"/>
      <c r="DU130" s="424"/>
      <c r="DV130" s="425"/>
      <c r="DW130" s="426"/>
      <c r="DX130" s="426"/>
      <c r="DY130" s="425"/>
      <c r="DZ130" s="424"/>
      <c r="EA130" s="424"/>
    </row>
    <row r="131" spans="3:131">
      <c r="C131" s="200" t="s">
        <v>1022</v>
      </c>
      <c r="D131" s="455" t="s">
        <v>1023</v>
      </c>
      <c r="E131" s="200" t="s">
        <v>968</v>
      </c>
      <c r="F131" s="432">
        <f>'MF Unit Material'!Y265</f>
        <v>365</v>
      </c>
      <c r="G131" s="431">
        <f>'MF Unit Material'!Z265</f>
        <v>33</v>
      </c>
      <c r="H131" s="158">
        <f>'MF Unit Material'!AA265</f>
        <v>12045</v>
      </c>
      <c r="I131" s="430">
        <f t="shared" si="5"/>
        <v>365</v>
      </c>
      <c r="J131" s="429">
        <f t="shared" si="3"/>
        <v>0</v>
      </c>
      <c r="K131" s="428">
        <f t="shared" si="4"/>
        <v>0</v>
      </c>
      <c r="L131" s="427"/>
      <c r="M131" s="426"/>
      <c r="N131" s="426"/>
      <c r="O131" s="425"/>
      <c r="P131" s="424"/>
      <c r="Q131" s="424"/>
      <c r="R131" s="425"/>
      <c r="S131" s="426"/>
      <c r="T131" s="426"/>
      <c r="U131" s="425"/>
      <c r="V131" s="424"/>
      <c r="W131" s="424"/>
      <c r="X131" s="425"/>
      <c r="Y131" s="426"/>
      <c r="Z131" s="426"/>
      <c r="AA131" s="425"/>
      <c r="AB131" s="424"/>
      <c r="AC131" s="424"/>
      <c r="AD131" s="425"/>
      <c r="AE131" s="426"/>
      <c r="AF131" s="426"/>
      <c r="AG131" s="425"/>
      <c r="AH131" s="424"/>
      <c r="AI131" s="424"/>
      <c r="AJ131" s="425"/>
      <c r="AK131" s="426"/>
      <c r="AL131" s="426"/>
      <c r="AM131" s="425"/>
      <c r="AN131" s="424"/>
      <c r="AO131" s="424"/>
      <c r="AP131" s="425"/>
      <c r="AQ131" s="426"/>
      <c r="AR131" s="426"/>
      <c r="AS131" s="425"/>
      <c r="AT131" s="424"/>
      <c r="AU131" s="424"/>
      <c r="AV131" s="425"/>
      <c r="AW131" s="426"/>
      <c r="AX131" s="426"/>
      <c r="AY131" s="425"/>
      <c r="AZ131" s="424"/>
      <c r="BA131" s="424"/>
      <c r="BB131" s="425"/>
      <c r="BC131" s="426"/>
      <c r="BD131" s="426"/>
      <c r="BE131" s="425"/>
      <c r="BF131" s="424"/>
      <c r="BG131" s="424"/>
      <c r="BH131" s="425"/>
      <c r="BI131" s="426"/>
      <c r="BJ131" s="426"/>
      <c r="BK131" s="425"/>
      <c r="BL131" s="424"/>
      <c r="BM131" s="424"/>
      <c r="BN131" s="425"/>
      <c r="BO131" s="426"/>
      <c r="BP131" s="426"/>
      <c r="BQ131" s="425"/>
      <c r="BR131" s="424"/>
      <c r="BS131" s="424"/>
      <c r="BT131" s="425"/>
      <c r="BU131" s="426"/>
      <c r="BV131" s="426"/>
      <c r="BW131" s="425"/>
      <c r="BX131" s="424"/>
      <c r="BY131" s="424"/>
      <c r="BZ131" s="425"/>
      <c r="CA131" s="426"/>
      <c r="CB131" s="426"/>
      <c r="CC131" s="425"/>
      <c r="CD131" s="424"/>
      <c r="CE131" s="424"/>
      <c r="CF131" s="425"/>
      <c r="CG131" s="426"/>
      <c r="CH131" s="426"/>
      <c r="CI131" s="425"/>
      <c r="CJ131" s="424"/>
      <c r="CK131" s="424"/>
      <c r="CL131" s="425"/>
      <c r="CM131" s="426"/>
      <c r="CN131" s="426"/>
      <c r="CO131" s="425"/>
      <c r="CP131" s="424"/>
      <c r="CQ131" s="424"/>
      <c r="CR131" s="425"/>
      <c r="CS131" s="426"/>
      <c r="CT131" s="426"/>
      <c r="CU131" s="425"/>
      <c r="CV131" s="424"/>
      <c r="CW131" s="424"/>
      <c r="CX131" s="425"/>
      <c r="CY131" s="426"/>
      <c r="CZ131" s="426"/>
      <c r="DA131" s="425"/>
      <c r="DB131" s="424"/>
      <c r="DC131" s="424"/>
      <c r="DD131" s="425"/>
      <c r="DE131" s="426"/>
      <c r="DF131" s="426"/>
      <c r="DG131" s="425"/>
      <c r="DH131" s="424"/>
      <c r="DI131" s="424"/>
      <c r="DJ131" s="425"/>
      <c r="DK131" s="426"/>
      <c r="DL131" s="426"/>
      <c r="DM131" s="425"/>
      <c r="DN131" s="424"/>
      <c r="DO131" s="424"/>
      <c r="DP131" s="425"/>
      <c r="DQ131" s="426"/>
      <c r="DR131" s="426"/>
      <c r="DS131" s="425"/>
      <c r="DT131" s="424"/>
      <c r="DU131" s="424"/>
      <c r="DV131" s="425"/>
      <c r="DW131" s="426"/>
      <c r="DX131" s="426"/>
      <c r="DY131" s="425"/>
      <c r="DZ131" s="424"/>
      <c r="EA131" s="424"/>
    </row>
    <row r="132" spans="3:131">
      <c r="C132" s="200" t="s">
        <v>1024</v>
      </c>
      <c r="D132" s="455">
        <v>5</v>
      </c>
      <c r="E132" s="200" t="s">
        <v>968</v>
      </c>
      <c r="F132" s="432">
        <f>'MF Unit Material'!Y266</f>
        <v>365</v>
      </c>
      <c r="G132" s="431">
        <f>'MF Unit Material'!Z266</f>
        <v>20</v>
      </c>
      <c r="H132" s="158">
        <f>'MF Unit Material'!AA266</f>
        <v>7300</v>
      </c>
      <c r="I132" s="430">
        <f t="shared" si="5"/>
        <v>365</v>
      </c>
      <c r="J132" s="429">
        <f t="shared" si="3"/>
        <v>0</v>
      </c>
      <c r="K132" s="428">
        <f t="shared" si="4"/>
        <v>0</v>
      </c>
      <c r="L132" s="427"/>
      <c r="M132" s="426"/>
      <c r="N132" s="426"/>
      <c r="O132" s="425"/>
      <c r="P132" s="424"/>
      <c r="Q132" s="424"/>
      <c r="R132" s="425"/>
      <c r="S132" s="426"/>
      <c r="T132" s="426"/>
      <c r="U132" s="425"/>
      <c r="V132" s="424"/>
      <c r="W132" s="424"/>
      <c r="X132" s="425"/>
      <c r="Y132" s="426"/>
      <c r="Z132" s="426"/>
      <c r="AA132" s="425"/>
      <c r="AB132" s="424"/>
      <c r="AC132" s="424"/>
      <c r="AD132" s="425"/>
      <c r="AE132" s="426"/>
      <c r="AF132" s="426"/>
      <c r="AG132" s="425"/>
      <c r="AH132" s="424"/>
      <c r="AI132" s="424"/>
      <c r="AJ132" s="425"/>
      <c r="AK132" s="426"/>
      <c r="AL132" s="426"/>
      <c r="AM132" s="425"/>
      <c r="AN132" s="424"/>
      <c r="AO132" s="424"/>
      <c r="AP132" s="425"/>
      <c r="AQ132" s="426"/>
      <c r="AR132" s="426"/>
      <c r="AS132" s="425"/>
      <c r="AT132" s="424"/>
      <c r="AU132" s="424"/>
      <c r="AV132" s="425"/>
      <c r="AW132" s="426"/>
      <c r="AX132" s="426"/>
      <c r="AY132" s="425"/>
      <c r="AZ132" s="424"/>
      <c r="BA132" s="424"/>
      <c r="BB132" s="425"/>
      <c r="BC132" s="426"/>
      <c r="BD132" s="426"/>
      <c r="BE132" s="425"/>
      <c r="BF132" s="424"/>
      <c r="BG132" s="424"/>
      <c r="BH132" s="425"/>
      <c r="BI132" s="426"/>
      <c r="BJ132" s="426"/>
      <c r="BK132" s="425"/>
      <c r="BL132" s="424"/>
      <c r="BM132" s="424"/>
      <c r="BN132" s="425"/>
      <c r="BO132" s="426"/>
      <c r="BP132" s="426"/>
      <c r="BQ132" s="425"/>
      <c r="BR132" s="424"/>
      <c r="BS132" s="424"/>
      <c r="BT132" s="425"/>
      <c r="BU132" s="426"/>
      <c r="BV132" s="426"/>
      <c r="BW132" s="425"/>
      <c r="BX132" s="424"/>
      <c r="BY132" s="424"/>
      <c r="BZ132" s="425"/>
      <c r="CA132" s="426"/>
      <c r="CB132" s="426"/>
      <c r="CC132" s="425"/>
      <c r="CD132" s="424"/>
      <c r="CE132" s="424"/>
      <c r="CF132" s="425"/>
      <c r="CG132" s="426"/>
      <c r="CH132" s="426"/>
      <c r="CI132" s="425"/>
      <c r="CJ132" s="424"/>
      <c r="CK132" s="424"/>
      <c r="CL132" s="425"/>
      <c r="CM132" s="426"/>
      <c r="CN132" s="426"/>
      <c r="CO132" s="425"/>
      <c r="CP132" s="424"/>
      <c r="CQ132" s="424"/>
      <c r="CR132" s="425"/>
      <c r="CS132" s="426"/>
      <c r="CT132" s="426"/>
      <c r="CU132" s="425"/>
      <c r="CV132" s="424"/>
      <c r="CW132" s="424"/>
      <c r="CX132" s="425"/>
      <c r="CY132" s="426"/>
      <c r="CZ132" s="426"/>
      <c r="DA132" s="425"/>
      <c r="DB132" s="424"/>
      <c r="DC132" s="424"/>
      <c r="DD132" s="425"/>
      <c r="DE132" s="426"/>
      <c r="DF132" s="426"/>
      <c r="DG132" s="425"/>
      <c r="DH132" s="424"/>
      <c r="DI132" s="424"/>
      <c r="DJ132" s="425"/>
      <c r="DK132" s="426"/>
      <c r="DL132" s="426"/>
      <c r="DM132" s="425"/>
      <c r="DN132" s="424"/>
      <c r="DO132" s="424"/>
      <c r="DP132" s="425"/>
      <c r="DQ132" s="426"/>
      <c r="DR132" s="426"/>
      <c r="DS132" s="425"/>
      <c r="DT132" s="424"/>
      <c r="DU132" s="424"/>
      <c r="DV132" s="425"/>
      <c r="DW132" s="426"/>
      <c r="DX132" s="426"/>
      <c r="DY132" s="425"/>
      <c r="DZ132" s="424"/>
      <c r="EA132" s="424"/>
    </row>
    <row r="133" spans="3:131">
      <c r="C133" s="200" t="s">
        <v>1025</v>
      </c>
      <c r="D133" s="455"/>
      <c r="E133" s="200" t="s">
        <v>968</v>
      </c>
      <c r="F133" s="432">
        <f>'MF Unit Material'!Y267</f>
        <v>0</v>
      </c>
      <c r="G133" s="431" t="str">
        <f>'MF Unit Material'!Z267</f>
        <v/>
      </c>
      <c r="H133" s="158">
        <f>'MF Unit Material'!AA267</f>
        <v>0</v>
      </c>
      <c r="I133" s="430">
        <f t="shared" si="5"/>
        <v>0</v>
      </c>
      <c r="J133" s="429">
        <f t="shared" ref="J133:J196" si="6">SUMIFS($L133:$EA133,$L$4:$EA$4,"=" &amp; "Qty")</f>
        <v>0</v>
      </c>
      <c r="K133" s="428">
        <f t="shared" ref="K133:K196" si="7">SUMIFS($L133:$EA133,$L$4:$EA$4,"=" &amp; "Total ($)")</f>
        <v>0</v>
      </c>
      <c r="L133" s="427"/>
      <c r="M133" s="426"/>
      <c r="N133" s="426"/>
      <c r="O133" s="425"/>
      <c r="P133" s="424"/>
      <c r="Q133" s="424"/>
      <c r="R133" s="425"/>
      <c r="S133" s="426"/>
      <c r="T133" s="426"/>
      <c r="U133" s="425"/>
      <c r="V133" s="424"/>
      <c r="W133" s="424"/>
      <c r="X133" s="425"/>
      <c r="Y133" s="426"/>
      <c r="Z133" s="426"/>
      <c r="AA133" s="425"/>
      <c r="AB133" s="424"/>
      <c r="AC133" s="424"/>
      <c r="AD133" s="425"/>
      <c r="AE133" s="426"/>
      <c r="AF133" s="426"/>
      <c r="AG133" s="425"/>
      <c r="AH133" s="424"/>
      <c r="AI133" s="424"/>
      <c r="AJ133" s="425"/>
      <c r="AK133" s="426"/>
      <c r="AL133" s="426"/>
      <c r="AM133" s="425"/>
      <c r="AN133" s="424"/>
      <c r="AO133" s="424"/>
      <c r="AP133" s="425"/>
      <c r="AQ133" s="426"/>
      <c r="AR133" s="426"/>
      <c r="AS133" s="425"/>
      <c r="AT133" s="424"/>
      <c r="AU133" s="424"/>
      <c r="AV133" s="425"/>
      <c r="AW133" s="426"/>
      <c r="AX133" s="426"/>
      <c r="AY133" s="425"/>
      <c r="AZ133" s="424"/>
      <c r="BA133" s="424"/>
      <c r="BB133" s="425"/>
      <c r="BC133" s="426"/>
      <c r="BD133" s="426"/>
      <c r="BE133" s="425"/>
      <c r="BF133" s="424"/>
      <c r="BG133" s="424"/>
      <c r="BH133" s="425"/>
      <c r="BI133" s="426"/>
      <c r="BJ133" s="426"/>
      <c r="BK133" s="425"/>
      <c r="BL133" s="424"/>
      <c r="BM133" s="424"/>
      <c r="BN133" s="425"/>
      <c r="BO133" s="426"/>
      <c r="BP133" s="426"/>
      <c r="BQ133" s="425"/>
      <c r="BR133" s="424"/>
      <c r="BS133" s="424"/>
      <c r="BT133" s="425"/>
      <c r="BU133" s="426"/>
      <c r="BV133" s="426"/>
      <c r="BW133" s="425"/>
      <c r="BX133" s="424"/>
      <c r="BY133" s="424"/>
      <c r="BZ133" s="425"/>
      <c r="CA133" s="426"/>
      <c r="CB133" s="426"/>
      <c r="CC133" s="425"/>
      <c r="CD133" s="424"/>
      <c r="CE133" s="424"/>
      <c r="CF133" s="425"/>
      <c r="CG133" s="426"/>
      <c r="CH133" s="426"/>
      <c r="CI133" s="425"/>
      <c r="CJ133" s="424"/>
      <c r="CK133" s="424"/>
      <c r="CL133" s="425"/>
      <c r="CM133" s="426"/>
      <c r="CN133" s="426"/>
      <c r="CO133" s="425"/>
      <c r="CP133" s="424"/>
      <c r="CQ133" s="424"/>
      <c r="CR133" s="425"/>
      <c r="CS133" s="426"/>
      <c r="CT133" s="426"/>
      <c r="CU133" s="425"/>
      <c r="CV133" s="424"/>
      <c r="CW133" s="424"/>
      <c r="CX133" s="425"/>
      <c r="CY133" s="426"/>
      <c r="CZ133" s="426"/>
      <c r="DA133" s="425"/>
      <c r="DB133" s="424"/>
      <c r="DC133" s="424"/>
      <c r="DD133" s="425"/>
      <c r="DE133" s="426"/>
      <c r="DF133" s="426"/>
      <c r="DG133" s="425"/>
      <c r="DH133" s="424"/>
      <c r="DI133" s="424"/>
      <c r="DJ133" s="425"/>
      <c r="DK133" s="426"/>
      <c r="DL133" s="426"/>
      <c r="DM133" s="425"/>
      <c r="DN133" s="424"/>
      <c r="DO133" s="424"/>
      <c r="DP133" s="425"/>
      <c r="DQ133" s="426"/>
      <c r="DR133" s="426"/>
      <c r="DS133" s="425"/>
      <c r="DT133" s="424"/>
      <c r="DU133" s="424"/>
      <c r="DV133" s="425"/>
      <c r="DW133" s="426"/>
      <c r="DX133" s="426"/>
      <c r="DY133" s="425"/>
      <c r="DZ133" s="424"/>
      <c r="EA133" s="424"/>
    </row>
    <row r="134" spans="3:131">
      <c r="C134" s="200" t="s">
        <v>1026</v>
      </c>
      <c r="D134" s="455"/>
      <c r="E134" s="200" t="s">
        <v>968</v>
      </c>
      <c r="F134" s="432">
        <f>'MF Unit Material'!Y268</f>
        <v>0</v>
      </c>
      <c r="G134" s="431" t="str">
        <f>'MF Unit Material'!Z268</f>
        <v/>
      </c>
      <c r="H134" s="158">
        <f>'MF Unit Material'!AA268</f>
        <v>0</v>
      </c>
      <c r="I134" s="430">
        <f t="shared" si="5"/>
        <v>0</v>
      </c>
      <c r="J134" s="429">
        <f t="shared" si="6"/>
        <v>0</v>
      </c>
      <c r="K134" s="428">
        <f t="shared" si="7"/>
        <v>0</v>
      </c>
      <c r="L134" s="427"/>
      <c r="M134" s="426"/>
      <c r="N134" s="426"/>
      <c r="O134" s="425"/>
      <c r="P134" s="424"/>
      <c r="Q134" s="424"/>
      <c r="R134" s="425"/>
      <c r="S134" s="426"/>
      <c r="T134" s="426"/>
      <c r="U134" s="425"/>
      <c r="V134" s="424"/>
      <c r="W134" s="424"/>
      <c r="X134" s="425"/>
      <c r="Y134" s="426"/>
      <c r="Z134" s="426"/>
      <c r="AA134" s="425"/>
      <c r="AB134" s="424"/>
      <c r="AC134" s="424"/>
      <c r="AD134" s="425"/>
      <c r="AE134" s="426"/>
      <c r="AF134" s="426"/>
      <c r="AG134" s="425"/>
      <c r="AH134" s="424"/>
      <c r="AI134" s="424"/>
      <c r="AJ134" s="425"/>
      <c r="AK134" s="426"/>
      <c r="AL134" s="426"/>
      <c r="AM134" s="425"/>
      <c r="AN134" s="424"/>
      <c r="AO134" s="424"/>
      <c r="AP134" s="425"/>
      <c r="AQ134" s="426"/>
      <c r="AR134" s="426"/>
      <c r="AS134" s="425"/>
      <c r="AT134" s="424"/>
      <c r="AU134" s="424"/>
      <c r="AV134" s="425"/>
      <c r="AW134" s="426"/>
      <c r="AX134" s="426"/>
      <c r="AY134" s="425"/>
      <c r="AZ134" s="424"/>
      <c r="BA134" s="424"/>
      <c r="BB134" s="425"/>
      <c r="BC134" s="426"/>
      <c r="BD134" s="426"/>
      <c r="BE134" s="425"/>
      <c r="BF134" s="424"/>
      <c r="BG134" s="424"/>
      <c r="BH134" s="425"/>
      <c r="BI134" s="426"/>
      <c r="BJ134" s="426"/>
      <c r="BK134" s="425"/>
      <c r="BL134" s="424"/>
      <c r="BM134" s="424"/>
      <c r="BN134" s="425"/>
      <c r="BO134" s="426"/>
      <c r="BP134" s="426"/>
      <c r="BQ134" s="425"/>
      <c r="BR134" s="424"/>
      <c r="BS134" s="424"/>
      <c r="BT134" s="425"/>
      <c r="BU134" s="426"/>
      <c r="BV134" s="426"/>
      <c r="BW134" s="425"/>
      <c r="BX134" s="424"/>
      <c r="BY134" s="424"/>
      <c r="BZ134" s="425"/>
      <c r="CA134" s="426"/>
      <c r="CB134" s="426"/>
      <c r="CC134" s="425"/>
      <c r="CD134" s="424"/>
      <c r="CE134" s="424"/>
      <c r="CF134" s="425"/>
      <c r="CG134" s="426"/>
      <c r="CH134" s="426"/>
      <c r="CI134" s="425"/>
      <c r="CJ134" s="424"/>
      <c r="CK134" s="424"/>
      <c r="CL134" s="425"/>
      <c r="CM134" s="426"/>
      <c r="CN134" s="426"/>
      <c r="CO134" s="425"/>
      <c r="CP134" s="424"/>
      <c r="CQ134" s="424"/>
      <c r="CR134" s="425"/>
      <c r="CS134" s="426"/>
      <c r="CT134" s="426"/>
      <c r="CU134" s="425"/>
      <c r="CV134" s="424"/>
      <c r="CW134" s="424"/>
      <c r="CX134" s="425"/>
      <c r="CY134" s="426"/>
      <c r="CZ134" s="426"/>
      <c r="DA134" s="425"/>
      <c r="DB134" s="424"/>
      <c r="DC134" s="424"/>
      <c r="DD134" s="425"/>
      <c r="DE134" s="426"/>
      <c r="DF134" s="426"/>
      <c r="DG134" s="425"/>
      <c r="DH134" s="424"/>
      <c r="DI134" s="424"/>
      <c r="DJ134" s="425"/>
      <c r="DK134" s="426"/>
      <c r="DL134" s="426"/>
      <c r="DM134" s="425"/>
      <c r="DN134" s="424"/>
      <c r="DO134" s="424"/>
      <c r="DP134" s="425"/>
      <c r="DQ134" s="426"/>
      <c r="DR134" s="426"/>
      <c r="DS134" s="425"/>
      <c r="DT134" s="424"/>
      <c r="DU134" s="424"/>
      <c r="DV134" s="425"/>
      <c r="DW134" s="426"/>
      <c r="DX134" s="426"/>
      <c r="DY134" s="425"/>
      <c r="DZ134" s="424"/>
      <c r="EA134" s="424"/>
    </row>
    <row r="135" spans="3:131">
      <c r="C135" s="200" t="s">
        <v>1027</v>
      </c>
      <c r="D135" s="455"/>
      <c r="E135" s="200" t="s">
        <v>968</v>
      </c>
      <c r="F135" s="432">
        <f>'MF Unit Material'!Y269</f>
        <v>0</v>
      </c>
      <c r="G135" s="431" t="str">
        <f>'MF Unit Material'!Z269</f>
        <v/>
      </c>
      <c r="H135" s="158">
        <f>'MF Unit Material'!AA269</f>
        <v>0</v>
      </c>
      <c r="I135" s="430">
        <f t="shared" si="5"/>
        <v>0</v>
      </c>
      <c r="J135" s="429">
        <f t="shared" si="6"/>
        <v>0</v>
      </c>
      <c r="K135" s="428">
        <f t="shared" si="7"/>
        <v>0</v>
      </c>
      <c r="L135" s="427"/>
      <c r="M135" s="426"/>
      <c r="N135" s="426"/>
      <c r="O135" s="425"/>
      <c r="P135" s="424"/>
      <c r="Q135" s="424"/>
      <c r="R135" s="425"/>
      <c r="S135" s="426"/>
      <c r="T135" s="426"/>
      <c r="U135" s="425"/>
      <c r="V135" s="424"/>
      <c r="W135" s="424"/>
      <c r="X135" s="425"/>
      <c r="Y135" s="426"/>
      <c r="Z135" s="426"/>
      <c r="AA135" s="425"/>
      <c r="AB135" s="424"/>
      <c r="AC135" s="424"/>
      <c r="AD135" s="425"/>
      <c r="AE135" s="426"/>
      <c r="AF135" s="426"/>
      <c r="AG135" s="425"/>
      <c r="AH135" s="424"/>
      <c r="AI135" s="424"/>
      <c r="AJ135" s="425"/>
      <c r="AK135" s="426"/>
      <c r="AL135" s="426"/>
      <c r="AM135" s="425"/>
      <c r="AN135" s="424"/>
      <c r="AO135" s="424"/>
      <c r="AP135" s="425"/>
      <c r="AQ135" s="426"/>
      <c r="AR135" s="426"/>
      <c r="AS135" s="425"/>
      <c r="AT135" s="424"/>
      <c r="AU135" s="424"/>
      <c r="AV135" s="425"/>
      <c r="AW135" s="426"/>
      <c r="AX135" s="426"/>
      <c r="AY135" s="425"/>
      <c r="AZ135" s="424"/>
      <c r="BA135" s="424"/>
      <c r="BB135" s="425"/>
      <c r="BC135" s="426"/>
      <c r="BD135" s="426"/>
      <c r="BE135" s="425"/>
      <c r="BF135" s="424"/>
      <c r="BG135" s="424"/>
      <c r="BH135" s="425"/>
      <c r="BI135" s="426"/>
      <c r="BJ135" s="426"/>
      <c r="BK135" s="425"/>
      <c r="BL135" s="424"/>
      <c r="BM135" s="424"/>
      <c r="BN135" s="425"/>
      <c r="BO135" s="426"/>
      <c r="BP135" s="426"/>
      <c r="BQ135" s="425"/>
      <c r="BR135" s="424"/>
      <c r="BS135" s="424"/>
      <c r="BT135" s="425"/>
      <c r="BU135" s="426"/>
      <c r="BV135" s="426"/>
      <c r="BW135" s="425"/>
      <c r="BX135" s="424"/>
      <c r="BY135" s="424"/>
      <c r="BZ135" s="425"/>
      <c r="CA135" s="426"/>
      <c r="CB135" s="426"/>
      <c r="CC135" s="425"/>
      <c r="CD135" s="424"/>
      <c r="CE135" s="424"/>
      <c r="CF135" s="425"/>
      <c r="CG135" s="426"/>
      <c r="CH135" s="426"/>
      <c r="CI135" s="425"/>
      <c r="CJ135" s="424"/>
      <c r="CK135" s="424"/>
      <c r="CL135" s="425"/>
      <c r="CM135" s="426"/>
      <c r="CN135" s="426"/>
      <c r="CO135" s="425"/>
      <c r="CP135" s="424"/>
      <c r="CQ135" s="424"/>
      <c r="CR135" s="425"/>
      <c r="CS135" s="426"/>
      <c r="CT135" s="426"/>
      <c r="CU135" s="425"/>
      <c r="CV135" s="424"/>
      <c r="CW135" s="424"/>
      <c r="CX135" s="425"/>
      <c r="CY135" s="426"/>
      <c r="CZ135" s="426"/>
      <c r="DA135" s="425"/>
      <c r="DB135" s="424"/>
      <c r="DC135" s="424"/>
      <c r="DD135" s="425"/>
      <c r="DE135" s="426"/>
      <c r="DF135" s="426"/>
      <c r="DG135" s="425"/>
      <c r="DH135" s="424"/>
      <c r="DI135" s="424"/>
      <c r="DJ135" s="425"/>
      <c r="DK135" s="426"/>
      <c r="DL135" s="426"/>
      <c r="DM135" s="425"/>
      <c r="DN135" s="424"/>
      <c r="DO135" s="424"/>
      <c r="DP135" s="425"/>
      <c r="DQ135" s="426"/>
      <c r="DR135" s="426"/>
      <c r="DS135" s="425"/>
      <c r="DT135" s="424"/>
      <c r="DU135" s="424"/>
      <c r="DV135" s="425"/>
      <c r="DW135" s="426"/>
      <c r="DX135" s="426"/>
      <c r="DY135" s="425"/>
      <c r="DZ135" s="424"/>
      <c r="EA135" s="424"/>
    </row>
    <row r="136" spans="3:131">
      <c r="C136" s="200" t="s">
        <v>1028</v>
      </c>
      <c r="D136" s="455"/>
      <c r="E136" s="200" t="s">
        <v>968</v>
      </c>
      <c r="F136" s="432">
        <f>'MF Unit Material'!Y270</f>
        <v>0</v>
      </c>
      <c r="G136" s="431" t="str">
        <f>'MF Unit Material'!Z270</f>
        <v/>
      </c>
      <c r="H136" s="158">
        <f>'MF Unit Material'!AA270</f>
        <v>0</v>
      </c>
      <c r="I136" s="430">
        <f t="shared" si="5"/>
        <v>0</v>
      </c>
      <c r="J136" s="429">
        <f t="shared" si="6"/>
        <v>0</v>
      </c>
      <c r="K136" s="428">
        <f t="shared" si="7"/>
        <v>0</v>
      </c>
      <c r="L136" s="427"/>
      <c r="M136" s="426"/>
      <c r="N136" s="426"/>
      <c r="O136" s="425"/>
      <c r="P136" s="424"/>
      <c r="Q136" s="424"/>
      <c r="R136" s="425"/>
      <c r="S136" s="426"/>
      <c r="T136" s="426"/>
      <c r="U136" s="425"/>
      <c r="V136" s="424"/>
      <c r="W136" s="424"/>
      <c r="X136" s="425"/>
      <c r="Y136" s="426"/>
      <c r="Z136" s="426"/>
      <c r="AA136" s="425"/>
      <c r="AB136" s="424"/>
      <c r="AC136" s="424"/>
      <c r="AD136" s="425"/>
      <c r="AE136" s="426"/>
      <c r="AF136" s="426"/>
      <c r="AG136" s="425"/>
      <c r="AH136" s="424"/>
      <c r="AI136" s="424"/>
      <c r="AJ136" s="425"/>
      <c r="AK136" s="426"/>
      <c r="AL136" s="426"/>
      <c r="AM136" s="425"/>
      <c r="AN136" s="424"/>
      <c r="AO136" s="424"/>
      <c r="AP136" s="425"/>
      <c r="AQ136" s="426"/>
      <c r="AR136" s="426"/>
      <c r="AS136" s="425"/>
      <c r="AT136" s="424"/>
      <c r="AU136" s="424"/>
      <c r="AV136" s="425"/>
      <c r="AW136" s="426"/>
      <c r="AX136" s="426"/>
      <c r="AY136" s="425"/>
      <c r="AZ136" s="424"/>
      <c r="BA136" s="424"/>
      <c r="BB136" s="425"/>
      <c r="BC136" s="426"/>
      <c r="BD136" s="426"/>
      <c r="BE136" s="425"/>
      <c r="BF136" s="424"/>
      <c r="BG136" s="424"/>
      <c r="BH136" s="425"/>
      <c r="BI136" s="426"/>
      <c r="BJ136" s="426"/>
      <c r="BK136" s="425"/>
      <c r="BL136" s="424"/>
      <c r="BM136" s="424"/>
      <c r="BN136" s="425"/>
      <c r="BO136" s="426"/>
      <c r="BP136" s="426"/>
      <c r="BQ136" s="425"/>
      <c r="BR136" s="424"/>
      <c r="BS136" s="424"/>
      <c r="BT136" s="425"/>
      <c r="BU136" s="426"/>
      <c r="BV136" s="426"/>
      <c r="BW136" s="425"/>
      <c r="BX136" s="424"/>
      <c r="BY136" s="424"/>
      <c r="BZ136" s="425"/>
      <c r="CA136" s="426"/>
      <c r="CB136" s="426"/>
      <c r="CC136" s="425"/>
      <c r="CD136" s="424"/>
      <c r="CE136" s="424"/>
      <c r="CF136" s="425"/>
      <c r="CG136" s="426"/>
      <c r="CH136" s="426"/>
      <c r="CI136" s="425"/>
      <c r="CJ136" s="424"/>
      <c r="CK136" s="424"/>
      <c r="CL136" s="425"/>
      <c r="CM136" s="426"/>
      <c r="CN136" s="426"/>
      <c r="CO136" s="425"/>
      <c r="CP136" s="424"/>
      <c r="CQ136" s="424"/>
      <c r="CR136" s="425"/>
      <c r="CS136" s="426"/>
      <c r="CT136" s="426"/>
      <c r="CU136" s="425"/>
      <c r="CV136" s="424"/>
      <c r="CW136" s="424"/>
      <c r="CX136" s="425"/>
      <c r="CY136" s="426"/>
      <c r="CZ136" s="426"/>
      <c r="DA136" s="425"/>
      <c r="DB136" s="424"/>
      <c r="DC136" s="424"/>
      <c r="DD136" s="425"/>
      <c r="DE136" s="426"/>
      <c r="DF136" s="426"/>
      <c r="DG136" s="425"/>
      <c r="DH136" s="424"/>
      <c r="DI136" s="424"/>
      <c r="DJ136" s="425"/>
      <c r="DK136" s="426"/>
      <c r="DL136" s="426"/>
      <c r="DM136" s="425"/>
      <c r="DN136" s="424"/>
      <c r="DO136" s="424"/>
      <c r="DP136" s="425"/>
      <c r="DQ136" s="426"/>
      <c r="DR136" s="426"/>
      <c r="DS136" s="425"/>
      <c r="DT136" s="424"/>
      <c r="DU136" s="424"/>
      <c r="DV136" s="425"/>
      <c r="DW136" s="426"/>
      <c r="DX136" s="426"/>
      <c r="DY136" s="425"/>
      <c r="DZ136" s="424"/>
      <c r="EA136" s="424"/>
    </row>
    <row r="137" spans="3:131">
      <c r="C137" s="200" t="s">
        <v>1029</v>
      </c>
      <c r="D137" s="455"/>
      <c r="E137" s="200" t="s">
        <v>968</v>
      </c>
      <c r="F137" s="432">
        <f>'MF Unit Material'!Y271</f>
        <v>0</v>
      </c>
      <c r="G137" s="431" t="str">
        <f>'MF Unit Material'!Z271</f>
        <v/>
      </c>
      <c r="H137" s="158">
        <f>'MF Unit Material'!AA271</f>
        <v>0</v>
      </c>
      <c r="I137" s="430">
        <f t="shared" si="5"/>
        <v>0</v>
      </c>
      <c r="J137" s="429">
        <f t="shared" si="6"/>
        <v>0</v>
      </c>
      <c r="K137" s="428">
        <f t="shared" si="7"/>
        <v>0</v>
      </c>
      <c r="L137" s="427"/>
      <c r="M137" s="426"/>
      <c r="N137" s="426"/>
      <c r="O137" s="425"/>
      <c r="P137" s="424"/>
      <c r="Q137" s="424"/>
      <c r="R137" s="425"/>
      <c r="S137" s="426"/>
      <c r="T137" s="426"/>
      <c r="U137" s="425"/>
      <c r="V137" s="424"/>
      <c r="W137" s="424"/>
      <c r="X137" s="425"/>
      <c r="Y137" s="426"/>
      <c r="Z137" s="426"/>
      <c r="AA137" s="425"/>
      <c r="AB137" s="424"/>
      <c r="AC137" s="424"/>
      <c r="AD137" s="425"/>
      <c r="AE137" s="426"/>
      <c r="AF137" s="426"/>
      <c r="AG137" s="425"/>
      <c r="AH137" s="424"/>
      <c r="AI137" s="424"/>
      <c r="AJ137" s="425"/>
      <c r="AK137" s="426"/>
      <c r="AL137" s="426"/>
      <c r="AM137" s="425"/>
      <c r="AN137" s="424"/>
      <c r="AO137" s="424"/>
      <c r="AP137" s="425"/>
      <c r="AQ137" s="426"/>
      <c r="AR137" s="426"/>
      <c r="AS137" s="425"/>
      <c r="AT137" s="424"/>
      <c r="AU137" s="424"/>
      <c r="AV137" s="425"/>
      <c r="AW137" s="426"/>
      <c r="AX137" s="426"/>
      <c r="AY137" s="425"/>
      <c r="AZ137" s="424"/>
      <c r="BA137" s="424"/>
      <c r="BB137" s="425"/>
      <c r="BC137" s="426"/>
      <c r="BD137" s="426"/>
      <c r="BE137" s="425"/>
      <c r="BF137" s="424"/>
      <c r="BG137" s="424"/>
      <c r="BH137" s="425"/>
      <c r="BI137" s="426"/>
      <c r="BJ137" s="426"/>
      <c r="BK137" s="425"/>
      <c r="BL137" s="424"/>
      <c r="BM137" s="424"/>
      <c r="BN137" s="425"/>
      <c r="BO137" s="426"/>
      <c r="BP137" s="426"/>
      <c r="BQ137" s="425"/>
      <c r="BR137" s="424"/>
      <c r="BS137" s="424"/>
      <c r="BT137" s="425"/>
      <c r="BU137" s="426"/>
      <c r="BV137" s="426"/>
      <c r="BW137" s="425"/>
      <c r="BX137" s="424"/>
      <c r="BY137" s="424"/>
      <c r="BZ137" s="425"/>
      <c r="CA137" s="426"/>
      <c r="CB137" s="426"/>
      <c r="CC137" s="425"/>
      <c r="CD137" s="424"/>
      <c r="CE137" s="424"/>
      <c r="CF137" s="425"/>
      <c r="CG137" s="426"/>
      <c r="CH137" s="426"/>
      <c r="CI137" s="425"/>
      <c r="CJ137" s="424"/>
      <c r="CK137" s="424"/>
      <c r="CL137" s="425"/>
      <c r="CM137" s="426"/>
      <c r="CN137" s="426"/>
      <c r="CO137" s="425"/>
      <c r="CP137" s="424"/>
      <c r="CQ137" s="424"/>
      <c r="CR137" s="425"/>
      <c r="CS137" s="426"/>
      <c r="CT137" s="426"/>
      <c r="CU137" s="425"/>
      <c r="CV137" s="424"/>
      <c r="CW137" s="424"/>
      <c r="CX137" s="425"/>
      <c r="CY137" s="426"/>
      <c r="CZ137" s="426"/>
      <c r="DA137" s="425"/>
      <c r="DB137" s="424"/>
      <c r="DC137" s="424"/>
      <c r="DD137" s="425"/>
      <c r="DE137" s="426"/>
      <c r="DF137" s="426"/>
      <c r="DG137" s="425"/>
      <c r="DH137" s="424"/>
      <c r="DI137" s="424"/>
      <c r="DJ137" s="425"/>
      <c r="DK137" s="426"/>
      <c r="DL137" s="426"/>
      <c r="DM137" s="425"/>
      <c r="DN137" s="424"/>
      <c r="DO137" s="424"/>
      <c r="DP137" s="425"/>
      <c r="DQ137" s="426"/>
      <c r="DR137" s="426"/>
      <c r="DS137" s="425"/>
      <c r="DT137" s="424"/>
      <c r="DU137" s="424"/>
      <c r="DV137" s="425"/>
      <c r="DW137" s="426"/>
      <c r="DX137" s="426"/>
      <c r="DY137" s="425"/>
      <c r="DZ137" s="424"/>
      <c r="EA137" s="424"/>
    </row>
    <row r="138" spans="3:131">
      <c r="C138" s="200" t="s">
        <v>1030</v>
      </c>
      <c r="D138" s="455"/>
      <c r="E138" s="200" t="s">
        <v>968</v>
      </c>
      <c r="F138" s="432">
        <f>'MF Unit Material'!Y272</f>
        <v>0</v>
      </c>
      <c r="G138" s="431" t="str">
        <f>'MF Unit Material'!Z272</f>
        <v/>
      </c>
      <c r="H138" s="158">
        <f>'MF Unit Material'!AA272</f>
        <v>0</v>
      </c>
      <c r="I138" s="430">
        <f t="shared" si="5"/>
        <v>0</v>
      </c>
      <c r="J138" s="429">
        <f t="shared" si="6"/>
        <v>0</v>
      </c>
      <c r="K138" s="428">
        <f t="shared" si="7"/>
        <v>0</v>
      </c>
      <c r="L138" s="427"/>
      <c r="M138" s="426"/>
      <c r="N138" s="426"/>
      <c r="O138" s="425"/>
      <c r="P138" s="424"/>
      <c r="Q138" s="424"/>
      <c r="R138" s="425"/>
      <c r="S138" s="426"/>
      <c r="T138" s="426"/>
      <c r="U138" s="425"/>
      <c r="V138" s="424"/>
      <c r="W138" s="424"/>
      <c r="X138" s="425"/>
      <c r="Y138" s="426"/>
      <c r="Z138" s="426"/>
      <c r="AA138" s="425"/>
      <c r="AB138" s="424"/>
      <c r="AC138" s="424"/>
      <c r="AD138" s="425"/>
      <c r="AE138" s="426"/>
      <c r="AF138" s="426"/>
      <c r="AG138" s="425"/>
      <c r="AH138" s="424"/>
      <c r="AI138" s="424"/>
      <c r="AJ138" s="425"/>
      <c r="AK138" s="426"/>
      <c r="AL138" s="426"/>
      <c r="AM138" s="425"/>
      <c r="AN138" s="424"/>
      <c r="AO138" s="424"/>
      <c r="AP138" s="425"/>
      <c r="AQ138" s="426"/>
      <c r="AR138" s="426"/>
      <c r="AS138" s="425"/>
      <c r="AT138" s="424"/>
      <c r="AU138" s="424"/>
      <c r="AV138" s="425"/>
      <c r="AW138" s="426"/>
      <c r="AX138" s="426"/>
      <c r="AY138" s="425"/>
      <c r="AZ138" s="424"/>
      <c r="BA138" s="424"/>
      <c r="BB138" s="425"/>
      <c r="BC138" s="426"/>
      <c r="BD138" s="426"/>
      <c r="BE138" s="425"/>
      <c r="BF138" s="424"/>
      <c r="BG138" s="424"/>
      <c r="BH138" s="425"/>
      <c r="BI138" s="426"/>
      <c r="BJ138" s="426"/>
      <c r="BK138" s="425"/>
      <c r="BL138" s="424"/>
      <c r="BM138" s="424"/>
      <c r="BN138" s="425"/>
      <c r="BO138" s="426"/>
      <c r="BP138" s="426"/>
      <c r="BQ138" s="425"/>
      <c r="BR138" s="424"/>
      <c r="BS138" s="424"/>
      <c r="BT138" s="425"/>
      <c r="BU138" s="426"/>
      <c r="BV138" s="426"/>
      <c r="BW138" s="425"/>
      <c r="BX138" s="424"/>
      <c r="BY138" s="424"/>
      <c r="BZ138" s="425"/>
      <c r="CA138" s="426"/>
      <c r="CB138" s="426"/>
      <c r="CC138" s="425"/>
      <c r="CD138" s="424"/>
      <c r="CE138" s="424"/>
      <c r="CF138" s="425"/>
      <c r="CG138" s="426"/>
      <c r="CH138" s="426"/>
      <c r="CI138" s="425"/>
      <c r="CJ138" s="424"/>
      <c r="CK138" s="424"/>
      <c r="CL138" s="425"/>
      <c r="CM138" s="426"/>
      <c r="CN138" s="426"/>
      <c r="CO138" s="425"/>
      <c r="CP138" s="424"/>
      <c r="CQ138" s="424"/>
      <c r="CR138" s="425"/>
      <c r="CS138" s="426"/>
      <c r="CT138" s="426"/>
      <c r="CU138" s="425"/>
      <c r="CV138" s="424"/>
      <c r="CW138" s="424"/>
      <c r="CX138" s="425"/>
      <c r="CY138" s="426"/>
      <c r="CZ138" s="426"/>
      <c r="DA138" s="425"/>
      <c r="DB138" s="424"/>
      <c r="DC138" s="424"/>
      <c r="DD138" s="425"/>
      <c r="DE138" s="426"/>
      <c r="DF138" s="426"/>
      <c r="DG138" s="425"/>
      <c r="DH138" s="424"/>
      <c r="DI138" s="424"/>
      <c r="DJ138" s="425"/>
      <c r="DK138" s="426"/>
      <c r="DL138" s="426"/>
      <c r="DM138" s="425"/>
      <c r="DN138" s="424"/>
      <c r="DO138" s="424"/>
      <c r="DP138" s="425"/>
      <c r="DQ138" s="426"/>
      <c r="DR138" s="426"/>
      <c r="DS138" s="425"/>
      <c r="DT138" s="424"/>
      <c r="DU138" s="424"/>
      <c r="DV138" s="425"/>
      <c r="DW138" s="426"/>
      <c r="DX138" s="426"/>
      <c r="DY138" s="425"/>
      <c r="DZ138" s="424"/>
      <c r="EA138" s="424"/>
    </row>
    <row r="139" spans="3:131">
      <c r="C139" s="200" t="s">
        <v>1031</v>
      </c>
      <c r="D139" s="455"/>
      <c r="E139" s="200" t="s">
        <v>968</v>
      </c>
      <c r="F139" s="432">
        <f>'MF Unit Material'!Y273</f>
        <v>0</v>
      </c>
      <c r="G139" s="431" t="str">
        <f>'MF Unit Material'!Z273</f>
        <v/>
      </c>
      <c r="H139" s="158">
        <f>'MF Unit Material'!AA273</f>
        <v>0</v>
      </c>
      <c r="I139" s="430">
        <f t="shared" si="5"/>
        <v>0</v>
      </c>
      <c r="J139" s="429">
        <f t="shared" si="6"/>
        <v>0</v>
      </c>
      <c r="K139" s="428">
        <f t="shared" si="7"/>
        <v>0</v>
      </c>
      <c r="L139" s="427"/>
      <c r="M139" s="426"/>
      <c r="N139" s="426"/>
      <c r="O139" s="425"/>
      <c r="P139" s="424"/>
      <c r="Q139" s="424"/>
      <c r="R139" s="425"/>
      <c r="S139" s="426"/>
      <c r="T139" s="426"/>
      <c r="U139" s="425"/>
      <c r="V139" s="424"/>
      <c r="W139" s="424"/>
      <c r="X139" s="425"/>
      <c r="Y139" s="426"/>
      <c r="Z139" s="426"/>
      <c r="AA139" s="425"/>
      <c r="AB139" s="424"/>
      <c r="AC139" s="424"/>
      <c r="AD139" s="425"/>
      <c r="AE139" s="426"/>
      <c r="AF139" s="426"/>
      <c r="AG139" s="425"/>
      <c r="AH139" s="424"/>
      <c r="AI139" s="424"/>
      <c r="AJ139" s="425"/>
      <c r="AK139" s="426"/>
      <c r="AL139" s="426"/>
      <c r="AM139" s="425"/>
      <c r="AN139" s="424"/>
      <c r="AO139" s="424"/>
      <c r="AP139" s="425"/>
      <c r="AQ139" s="426"/>
      <c r="AR139" s="426"/>
      <c r="AS139" s="425"/>
      <c r="AT139" s="424"/>
      <c r="AU139" s="424"/>
      <c r="AV139" s="425"/>
      <c r="AW139" s="426"/>
      <c r="AX139" s="426"/>
      <c r="AY139" s="425"/>
      <c r="AZ139" s="424"/>
      <c r="BA139" s="424"/>
      <c r="BB139" s="425"/>
      <c r="BC139" s="426"/>
      <c r="BD139" s="426"/>
      <c r="BE139" s="425"/>
      <c r="BF139" s="424"/>
      <c r="BG139" s="424"/>
      <c r="BH139" s="425"/>
      <c r="BI139" s="426"/>
      <c r="BJ139" s="426"/>
      <c r="BK139" s="425"/>
      <c r="BL139" s="424"/>
      <c r="BM139" s="424"/>
      <c r="BN139" s="425"/>
      <c r="BO139" s="426"/>
      <c r="BP139" s="426"/>
      <c r="BQ139" s="425"/>
      <c r="BR139" s="424"/>
      <c r="BS139" s="424"/>
      <c r="BT139" s="425"/>
      <c r="BU139" s="426"/>
      <c r="BV139" s="426"/>
      <c r="BW139" s="425"/>
      <c r="BX139" s="424"/>
      <c r="BY139" s="424"/>
      <c r="BZ139" s="425"/>
      <c r="CA139" s="426"/>
      <c r="CB139" s="426"/>
      <c r="CC139" s="425"/>
      <c r="CD139" s="424"/>
      <c r="CE139" s="424"/>
      <c r="CF139" s="425"/>
      <c r="CG139" s="426"/>
      <c r="CH139" s="426"/>
      <c r="CI139" s="425"/>
      <c r="CJ139" s="424"/>
      <c r="CK139" s="424"/>
      <c r="CL139" s="425"/>
      <c r="CM139" s="426"/>
      <c r="CN139" s="426"/>
      <c r="CO139" s="425"/>
      <c r="CP139" s="424"/>
      <c r="CQ139" s="424"/>
      <c r="CR139" s="425"/>
      <c r="CS139" s="426"/>
      <c r="CT139" s="426"/>
      <c r="CU139" s="425"/>
      <c r="CV139" s="424"/>
      <c r="CW139" s="424"/>
      <c r="CX139" s="425"/>
      <c r="CY139" s="426"/>
      <c r="CZ139" s="426"/>
      <c r="DA139" s="425"/>
      <c r="DB139" s="424"/>
      <c r="DC139" s="424"/>
      <c r="DD139" s="425"/>
      <c r="DE139" s="426"/>
      <c r="DF139" s="426"/>
      <c r="DG139" s="425"/>
      <c r="DH139" s="424"/>
      <c r="DI139" s="424"/>
      <c r="DJ139" s="425"/>
      <c r="DK139" s="426"/>
      <c r="DL139" s="426"/>
      <c r="DM139" s="425"/>
      <c r="DN139" s="424"/>
      <c r="DO139" s="424"/>
      <c r="DP139" s="425"/>
      <c r="DQ139" s="426"/>
      <c r="DR139" s="426"/>
      <c r="DS139" s="425"/>
      <c r="DT139" s="424"/>
      <c r="DU139" s="424"/>
      <c r="DV139" s="425"/>
      <c r="DW139" s="426"/>
      <c r="DX139" s="426"/>
      <c r="DY139" s="425"/>
      <c r="DZ139" s="424"/>
      <c r="EA139" s="424"/>
    </row>
    <row r="140" spans="3:131">
      <c r="C140" s="200" t="s">
        <v>1032</v>
      </c>
      <c r="D140" s="454"/>
      <c r="E140" s="200" t="s">
        <v>968</v>
      </c>
      <c r="F140" s="451">
        <f>'MF Unit Material'!Y274</f>
        <v>0</v>
      </c>
      <c r="G140" s="421" t="str">
        <f>'MF Unit Material'!Z274</f>
        <v/>
      </c>
      <c r="H140" s="450">
        <f>'MF Unit Material'!AA274</f>
        <v>0</v>
      </c>
      <c r="I140" s="430">
        <f t="shared" si="5"/>
        <v>0</v>
      </c>
      <c r="J140" s="429">
        <f t="shared" si="6"/>
        <v>0</v>
      </c>
      <c r="K140" s="428">
        <f t="shared" si="7"/>
        <v>0</v>
      </c>
      <c r="L140" s="427"/>
      <c r="M140" s="426"/>
      <c r="N140" s="426"/>
      <c r="O140" s="425"/>
      <c r="P140" s="424"/>
      <c r="Q140" s="424"/>
      <c r="R140" s="425"/>
      <c r="S140" s="426"/>
      <c r="T140" s="426"/>
      <c r="U140" s="425"/>
      <c r="V140" s="424"/>
      <c r="W140" s="424"/>
      <c r="X140" s="425"/>
      <c r="Y140" s="426"/>
      <c r="Z140" s="426"/>
      <c r="AA140" s="425"/>
      <c r="AB140" s="424"/>
      <c r="AC140" s="424"/>
      <c r="AD140" s="425"/>
      <c r="AE140" s="426"/>
      <c r="AF140" s="426"/>
      <c r="AG140" s="425"/>
      <c r="AH140" s="424"/>
      <c r="AI140" s="424"/>
      <c r="AJ140" s="425"/>
      <c r="AK140" s="426"/>
      <c r="AL140" s="426"/>
      <c r="AM140" s="425"/>
      <c r="AN140" s="424"/>
      <c r="AO140" s="424"/>
      <c r="AP140" s="425"/>
      <c r="AQ140" s="426"/>
      <c r="AR140" s="426"/>
      <c r="AS140" s="425"/>
      <c r="AT140" s="424"/>
      <c r="AU140" s="424"/>
      <c r="AV140" s="425"/>
      <c r="AW140" s="426"/>
      <c r="AX140" s="426"/>
      <c r="AY140" s="425"/>
      <c r="AZ140" s="424"/>
      <c r="BA140" s="424"/>
      <c r="BB140" s="425"/>
      <c r="BC140" s="426"/>
      <c r="BD140" s="426"/>
      <c r="BE140" s="425"/>
      <c r="BF140" s="424"/>
      <c r="BG140" s="424"/>
      <c r="BH140" s="425"/>
      <c r="BI140" s="426"/>
      <c r="BJ140" s="426"/>
      <c r="BK140" s="425"/>
      <c r="BL140" s="424"/>
      <c r="BM140" s="424"/>
      <c r="BN140" s="425"/>
      <c r="BO140" s="426"/>
      <c r="BP140" s="426"/>
      <c r="BQ140" s="425"/>
      <c r="BR140" s="424"/>
      <c r="BS140" s="424"/>
      <c r="BT140" s="425"/>
      <c r="BU140" s="426"/>
      <c r="BV140" s="426"/>
      <c r="BW140" s="425"/>
      <c r="BX140" s="424"/>
      <c r="BY140" s="424"/>
      <c r="BZ140" s="425"/>
      <c r="CA140" s="426"/>
      <c r="CB140" s="426"/>
      <c r="CC140" s="425"/>
      <c r="CD140" s="424"/>
      <c r="CE140" s="424"/>
      <c r="CF140" s="425"/>
      <c r="CG140" s="426"/>
      <c r="CH140" s="426"/>
      <c r="CI140" s="425"/>
      <c r="CJ140" s="424"/>
      <c r="CK140" s="424"/>
      <c r="CL140" s="425"/>
      <c r="CM140" s="426"/>
      <c r="CN140" s="426"/>
      <c r="CO140" s="425"/>
      <c r="CP140" s="424"/>
      <c r="CQ140" s="424"/>
      <c r="CR140" s="425"/>
      <c r="CS140" s="426"/>
      <c r="CT140" s="426"/>
      <c r="CU140" s="425"/>
      <c r="CV140" s="424"/>
      <c r="CW140" s="424"/>
      <c r="CX140" s="425"/>
      <c r="CY140" s="426"/>
      <c r="CZ140" s="426"/>
      <c r="DA140" s="425"/>
      <c r="DB140" s="424"/>
      <c r="DC140" s="424"/>
      <c r="DD140" s="425"/>
      <c r="DE140" s="426"/>
      <c r="DF140" s="426"/>
      <c r="DG140" s="425"/>
      <c r="DH140" s="424"/>
      <c r="DI140" s="424"/>
      <c r="DJ140" s="425"/>
      <c r="DK140" s="426"/>
      <c r="DL140" s="426"/>
      <c r="DM140" s="425"/>
      <c r="DN140" s="424"/>
      <c r="DO140" s="424"/>
      <c r="DP140" s="425"/>
      <c r="DQ140" s="426"/>
      <c r="DR140" s="426"/>
      <c r="DS140" s="425"/>
      <c r="DT140" s="424"/>
      <c r="DU140" s="424"/>
      <c r="DV140" s="425"/>
      <c r="DW140" s="426"/>
      <c r="DX140" s="426"/>
      <c r="DY140" s="425"/>
      <c r="DZ140" s="424"/>
      <c r="EA140" s="424"/>
    </row>
    <row r="141" spans="3:131">
      <c r="C141" s="423"/>
      <c r="D141" s="1"/>
      <c r="E141" s="16" t="s">
        <v>961</v>
      </c>
      <c r="F141" s="422">
        <f>'MF Unit Material'!Y276</f>
        <v>1950</v>
      </c>
      <c r="G141" s="421">
        <f>'MF Unit Material'!Z276</f>
        <v>0</v>
      </c>
      <c r="H141" s="420">
        <f>'MF Unit Material'!AA276</f>
        <v>49603.5</v>
      </c>
      <c r="I141" s="429"/>
      <c r="J141" s="429">
        <f t="shared" si="6"/>
        <v>0</v>
      </c>
      <c r="K141" s="428">
        <f t="shared" si="7"/>
        <v>0</v>
      </c>
      <c r="L141" s="427"/>
      <c r="M141" s="426"/>
      <c r="N141" s="426"/>
      <c r="O141" s="425"/>
      <c r="P141" s="424"/>
      <c r="Q141" s="424"/>
      <c r="R141" s="425"/>
      <c r="S141" s="426"/>
      <c r="T141" s="426"/>
      <c r="U141" s="425"/>
      <c r="V141" s="424"/>
      <c r="W141" s="424"/>
      <c r="X141" s="425"/>
      <c r="Y141" s="426"/>
      <c r="Z141" s="426"/>
      <c r="AA141" s="425"/>
      <c r="AB141" s="424"/>
      <c r="AC141" s="424"/>
      <c r="AD141" s="425"/>
      <c r="AE141" s="426"/>
      <c r="AF141" s="426"/>
      <c r="AG141" s="425"/>
      <c r="AH141" s="424"/>
      <c r="AI141" s="424"/>
      <c r="AJ141" s="425"/>
      <c r="AK141" s="426"/>
      <c r="AL141" s="426"/>
      <c r="AM141" s="425"/>
      <c r="AN141" s="424"/>
      <c r="AO141" s="424"/>
      <c r="AP141" s="425"/>
      <c r="AQ141" s="426"/>
      <c r="AR141" s="426"/>
      <c r="AS141" s="425"/>
      <c r="AT141" s="424"/>
      <c r="AU141" s="424"/>
      <c r="AV141" s="425"/>
      <c r="AW141" s="426"/>
      <c r="AX141" s="426"/>
      <c r="AY141" s="425"/>
      <c r="AZ141" s="424"/>
      <c r="BA141" s="424"/>
      <c r="BB141" s="425"/>
      <c r="BC141" s="426"/>
      <c r="BD141" s="426"/>
      <c r="BE141" s="425"/>
      <c r="BF141" s="424"/>
      <c r="BG141" s="424"/>
      <c r="BH141" s="425"/>
      <c r="BI141" s="426"/>
      <c r="BJ141" s="426"/>
      <c r="BK141" s="425"/>
      <c r="BL141" s="424"/>
      <c r="BM141" s="424"/>
      <c r="BN141" s="425"/>
      <c r="BO141" s="426"/>
      <c r="BP141" s="426"/>
      <c r="BQ141" s="425"/>
      <c r="BR141" s="424"/>
      <c r="BS141" s="424"/>
      <c r="BT141" s="425"/>
      <c r="BU141" s="426"/>
      <c r="BV141" s="426"/>
      <c r="BW141" s="425"/>
      <c r="BX141" s="424"/>
      <c r="BY141" s="424"/>
      <c r="BZ141" s="425"/>
      <c r="CA141" s="426"/>
      <c r="CB141" s="426"/>
      <c r="CC141" s="425"/>
      <c r="CD141" s="424"/>
      <c r="CE141" s="424"/>
      <c r="CF141" s="425"/>
      <c r="CG141" s="426"/>
      <c r="CH141" s="426"/>
      <c r="CI141" s="425"/>
      <c r="CJ141" s="424"/>
      <c r="CK141" s="424"/>
      <c r="CL141" s="425"/>
      <c r="CM141" s="426"/>
      <c r="CN141" s="426"/>
      <c r="CO141" s="425"/>
      <c r="CP141" s="424"/>
      <c r="CQ141" s="424"/>
      <c r="CR141" s="425"/>
      <c r="CS141" s="426"/>
      <c r="CT141" s="426"/>
      <c r="CU141" s="425"/>
      <c r="CV141" s="424"/>
      <c r="CW141" s="424"/>
      <c r="CX141" s="425"/>
      <c r="CY141" s="426"/>
      <c r="CZ141" s="426"/>
      <c r="DA141" s="425"/>
      <c r="DB141" s="424"/>
      <c r="DC141" s="424"/>
      <c r="DD141" s="425"/>
      <c r="DE141" s="426"/>
      <c r="DF141" s="426"/>
      <c r="DG141" s="425"/>
      <c r="DH141" s="424"/>
      <c r="DI141" s="424"/>
      <c r="DJ141" s="425"/>
      <c r="DK141" s="426"/>
      <c r="DL141" s="426"/>
      <c r="DM141" s="425"/>
      <c r="DN141" s="424"/>
      <c r="DO141" s="424"/>
      <c r="DP141" s="425"/>
      <c r="DQ141" s="426"/>
      <c r="DR141" s="426"/>
      <c r="DS141" s="425"/>
      <c r="DT141" s="424"/>
      <c r="DU141" s="424"/>
      <c r="DV141" s="425"/>
      <c r="DW141" s="426"/>
      <c r="DX141" s="426"/>
      <c r="DY141" s="425"/>
      <c r="DZ141" s="424"/>
      <c r="EA141" s="424"/>
    </row>
    <row r="142" spans="3:131">
      <c r="C142" s="96" t="s">
        <v>1033</v>
      </c>
      <c r="D142" s="65"/>
      <c r="E142" s="65"/>
      <c r="F142" s="437" t="s">
        <v>948</v>
      </c>
      <c r="G142" s="436" t="s">
        <v>949</v>
      </c>
      <c r="H142" s="412" t="s">
        <v>950</v>
      </c>
      <c r="I142" s="429"/>
      <c r="J142" s="429">
        <f t="shared" si="6"/>
        <v>0</v>
      </c>
      <c r="K142" s="428">
        <f t="shared" si="7"/>
        <v>0</v>
      </c>
      <c r="L142" s="427"/>
      <c r="M142" s="426"/>
      <c r="N142" s="426"/>
      <c r="O142" s="425"/>
      <c r="P142" s="424"/>
      <c r="Q142" s="424"/>
      <c r="R142" s="425"/>
      <c r="S142" s="426"/>
      <c r="T142" s="426"/>
      <c r="U142" s="425"/>
      <c r="V142" s="424"/>
      <c r="W142" s="424"/>
      <c r="X142" s="425"/>
      <c r="Y142" s="426"/>
      <c r="Z142" s="426"/>
      <c r="AA142" s="425"/>
      <c r="AB142" s="424"/>
      <c r="AC142" s="424"/>
      <c r="AD142" s="425"/>
      <c r="AE142" s="426"/>
      <c r="AF142" s="426"/>
      <c r="AG142" s="425"/>
      <c r="AH142" s="424"/>
      <c r="AI142" s="424"/>
      <c r="AJ142" s="425"/>
      <c r="AK142" s="426"/>
      <c r="AL142" s="426"/>
      <c r="AM142" s="425"/>
      <c r="AN142" s="424"/>
      <c r="AO142" s="424"/>
      <c r="AP142" s="425"/>
      <c r="AQ142" s="426"/>
      <c r="AR142" s="426"/>
      <c r="AS142" s="425"/>
      <c r="AT142" s="424"/>
      <c r="AU142" s="424"/>
      <c r="AV142" s="425"/>
      <c r="AW142" s="426"/>
      <c r="AX142" s="426"/>
      <c r="AY142" s="425"/>
      <c r="AZ142" s="424"/>
      <c r="BA142" s="424"/>
      <c r="BB142" s="425"/>
      <c r="BC142" s="426"/>
      <c r="BD142" s="426"/>
      <c r="BE142" s="425"/>
      <c r="BF142" s="424"/>
      <c r="BG142" s="424"/>
      <c r="BH142" s="425"/>
      <c r="BI142" s="426"/>
      <c r="BJ142" s="426"/>
      <c r="BK142" s="425"/>
      <c r="BL142" s="424"/>
      <c r="BM142" s="424"/>
      <c r="BN142" s="425"/>
      <c r="BO142" s="426"/>
      <c r="BP142" s="426"/>
      <c r="BQ142" s="425"/>
      <c r="BR142" s="424"/>
      <c r="BS142" s="424"/>
      <c r="BT142" s="425"/>
      <c r="BU142" s="426"/>
      <c r="BV142" s="426"/>
      <c r="BW142" s="425"/>
      <c r="BX142" s="424"/>
      <c r="BY142" s="424"/>
      <c r="BZ142" s="425"/>
      <c r="CA142" s="426"/>
      <c r="CB142" s="426"/>
      <c r="CC142" s="425"/>
      <c r="CD142" s="424"/>
      <c r="CE142" s="424"/>
      <c r="CF142" s="425"/>
      <c r="CG142" s="426"/>
      <c r="CH142" s="426"/>
      <c r="CI142" s="425"/>
      <c r="CJ142" s="424"/>
      <c r="CK142" s="424"/>
      <c r="CL142" s="425"/>
      <c r="CM142" s="426"/>
      <c r="CN142" s="426"/>
      <c r="CO142" s="425"/>
      <c r="CP142" s="424"/>
      <c r="CQ142" s="424"/>
      <c r="CR142" s="425"/>
      <c r="CS142" s="426"/>
      <c r="CT142" s="426"/>
      <c r="CU142" s="425"/>
      <c r="CV142" s="424"/>
      <c r="CW142" s="424"/>
      <c r="CX142" s="425"/>
      <c r="CY142" s="426"/>
      <c r="CZ142" s="426"/>
      <c r="DA142" s="425"/>
      <c r="DB142" s="424"/>
      <c r="DC142" s="424"/>
      <c r="DD142" s="425"/>
      <c r="DE142" s="426"/>
      <c r="DF142" s="426"/>
      <c r="DG142" s="425"/>
      <c r="DH142" s="424"/>
      <c r="DI142" s="424"/>
      <c r="DJ142" s="425"/>
      <c r="DK142" s="426"/>
      <c r="DL142" s="426"/>
      <c r="DM142" s="425"/>
      <c r="DN142" s="424"/>
      <c r="DO142" s="424"/>
      <c r="DP142" s="425"/>
      <c r="DQ142" s="426"/>
      <c r="DR142" s="426"/>
      <c r="DS142" s="425"/>
      <c r="DT142" s="424"/>
      <c r="DU142" s="424"/>
      <c r="DV142" s="425"/>
      <c r="DW142" s="426"/>
      <c r="DX142" s="426"/>
      <c r="DY142" s="425"/>
      <c r="DZ142" s="424"/>
      <c r="EA142" s="424"/>
    </row>
    <row r="143" spans="3:131">
      <c r="D143" s="446"/>
      <c r="E143" s="1" t="s">
        <v>968</v>
      </c>
      <c r="F143" s="432">
        <f>'MF Unit Material'!Y278</f>
        <v>365</v>
      </c>
      <c r="G143" s="431">
        <f>'MF Unit Material'!Z278</f>
        <v>13</v>
      </c>
      <c r="H143" s="158">
        <f>'MF Unit Material'!AA278</f>
        <v>4745</v>
      </c>
      <c r="I143" s="430">
        <f>F143-J143</f>
        <v>365</v>
      </c>
      <c r="J143" s="429">
        <f t="shared" si="6"/>
        <v>0</v>
      </c>
      <c r="K143" s="428">
        <f t="shared" si="7"/>
        <v>0</v>
      </c>
      <c r="L143" s="427"/>
      <c r="M143" s="426"/>
      <c r="N143" s="426"/>
      <c r="O143" s="425"/>
      <c r="P143" s="424"/>
      <c r="Q143" s="424"/>
      <c r="R143" s="425"/>
      <c r="S143" s="426"/>
      <c r="T143" s="426"/>
      <c r="U143" s="425"/>
      <c r="V143" s="424"/>
      <c r="W143" s="424"/>
      <c r="X143" s="425"/>
      <c r="Y143" s="426"/>
      <c r="Z143" s="426"/>
      <c r="AA143" s="425"/>
      <c r="AB143" s="424"/>
      <c r="AC143" s="424"/>
      <c r="AD143" s="425"/>
      <c r="AE143" s="426"/>
      <c r="AF143" s="426"/>
      <c r="AG143" s="425"/>
      <c r="AH143" s="424"/>
      <c r="AI143" s="424"/>
      <c r="AJ143" s="425"/>
      <c r="AK143" s="426"/>
      <c r="AL143" s="426"/>
      <c r="AM143" s="425"/>
      <c r="AN143" s="424"/>
      <c r="AO143" s="424"/>
      <c r="AP143" s="425"/>
      <c r="AQ143" s="426"/>
      <c r="AR143" s="426"/>
      <c r="AS143" s="425"/>
      <c r="AT143" s="424"/>
      <c r="AU143" s="424"/>
      <c r="AV143" s="425"/>
      <c r="AW143" s="426"/>
      <c r="AX143" s="426"/>
      <c r="AY143" s="425"/>
      <c r="AZ143" s="424"/>
      <c r="BA143" s="424"/>
      <c r="BB143" s="425"/>
      <c r="BC143" s="426"/>
      <c r="BD143" s="426"/>
      <c r="BE143" s="425"/>
      <c r="BF143" s="424"/>
      <c r="BG143" s="424"/>
      <c r="BH143" s="425"/>
      <c r="BI143" s="426"/>
      <c r="BJ143" s="426"/>
      <c r="BK143" s="425"/>
      <c r="BL143" s="424"/>
      <c r="BM143" s="424"/>
      <c r="BN143" s="425"/>
      <c r="BO143" s="426"/>
      <c r="BP143" s="426"/>
      <c r="BQ143" s="425"/>
      <c r="BR143" s="424"/>
      <c r="BS143" s="424"/>
      <c r="BT143" s="425"/>
      <c r="BU143" s="426"/>
      <c r="BV143" s="426"/>
      <c r="BW143" s="425"/>
      <c r="BX143" s="424"/>
      <c r="BY143" s="424"/>
      <c r="BZ143" s="425"/>
      <c r="CA143" s="426"/>
      <c r="CB143" s="426"/>
      <c r="CC143" s="425"/>
      <c r="CD143" s="424"/>
      <c r="CE143" s="424"/>
      <c r="CF143" s="425"/>
      <c r="CG143" s="426"/>
      <c r="CH143" s="426"/>
      <c r="CI143" s="425"/>
      <c r="CJ143" s="424"/>
      <c r="CK143" s="424"/>
      <c r="CL143" s="425"/>
      <c r="CM143" s="426"/>
      <c r="CN143" s="426"/>
      <c r="CO143" s="425"/>
      <c r="CP143" s="424"/>
      <c r="CQ143" s="424"/>
      <c r="CR143" s="425"/>
      <c r="CS143" s="426"/>
      <c r="CT143" s="426"/>
      <c r="CU143" s="425"/>
      <c r="CV143" s="424"/>
      <c r="CW143" s="424"/>
      <c r="CX143" s="425"/>
      <c r="CY143" s="426"/>
      <c r="CZ143" s="426"/>
      <c r="DA143" s="425"/>
      <c r="DB143" s="424"/>
      <c r="DC143" s="424"/>
      <c r="DD143" s="425"/>
      <c r="DE143" s="426"/>
      <c r="DF143" s="426"/>
      <c r="DG143" s="425"/>
      <c r="DH143" s="424"/>
      <c r="DI143" s="424"/>
      <c r="DJ143" s="425"/>
      <c r="DK143" s="426"/>
      <c r="DL143" s="426"/>
      <c r="DM143" s="425"/>
      <c r="DN143" s="424"/>
      <c r="DO143" s="424"/>
      <c r="DP143" s="425"/>
      <c r="DQ143" s="426"/>
      <c r="DR143" s="426"/>
      <c r="DS143" s="425"/>
      <c r="DT143" s="424"/>
      <c r="DU143" s="424"/>
      <c r="DV143" s="425"/>
      <c r="DW143" s="426"/>
      <c r="DX143" s="426"/>
      <c r="DY143" s="425"/>
      <c r="DZ143" s="424"/>
      <c r="EA143" s="424"/>
    </row>
    <row r="144" spans="3:131">
      <c r="C144" s="423"/>
      <c r="D144" s="1"/>
      <c r="E144" s="16" t="s">
        <v>961</v>
      </c>
      <c r="F144" s="422">
        <f>'MF Unit Material'!Y280</f>
        <v>365</v>
      </c>
      <c r="G144" s="421">
        <f>'MF Unit Material'!Z280</f>
        <v>0</v>
      </c>
      <c r="H144" s="420">
        <f>'MF Unit Material'!AA280</f>
        <v>4745</v>
      </c>
      <c r="I144" s="429"/>
      <c r="J144" s="429">
        <f t="shared" si="6"/>
        <v>0</v>
      </c>
      <c r="K144" s="428">
        <f t="shared" si="7"/>
        <v>0</v>
      </c>
      <c r="L144" s="427"/>
      <c r="M144" s="426"/>
      <c r="N144" s="426"/>
      <c r="O144" s="425"/>
      <c r="P144" s="424"/>
      <c r="Q144" s="424"/>
      <c r="R144" s="425"/>
      <c r="S144" s="426"/>
      <c r="T144" s="426"/>
      <c r="U144" s="425"/>
      <c r="V144" s="424"/>
      <c r="W144" s="424"/>
      <c r="X144" s="425"/>
      <c r="Y144" s="426"/>
      <c r="Z144" s="426"/>
      <c r="AA144" s="425"/>
      <c r="AB144" s="424"/>
      <c r="AC144" s="424"/>
      <c r="AD144" s="425"/>
      <c r="AE144" s="426"/>
      <c r="AF144" s="426"/>
      <c r="AG144" s="425"/>
      <c r="AH144" s="424"/>
      <c r="AI144" s="424"/>
      <c r="AJ144" s="425"/>
      <c r="AK144" s="426"/>
      <c r="AL144" s="426"/>
      <c r="AM144" s="425"/>
      <c r="AN144" s="424"/>
      <c r="AO144" s="424"/>
      <c r="AP144" s="425"/>
      <c r="AQ144" s="426"/>
      <c r="AR144" s="426"/>
      <c r="AS144" s="425"/>
      <c r="AT144" s="424"/>
      <c r="AU144" s="424"/>
      <c r="AV144" s="425"/>
      <c r="AW144" s="426"/>
      <c r="AX144" s="426"/>
      <c r="AY144" s="425"/>
      <c r="AZ144" s="424"/>
      <c r="BA144" s="424"/>
      <c r="BB144" s="425"/>
      <c r="BC144" s="426"/>
      <c r="BD144" s="426"/>
      <c r="BE144" s="425"/>
      <c r="BF144" s="424"/>
      <c r="BG144" s="424"/>
      <c r="BH144" s="425"/>
      <c r="BI144" s="426"/>
      <c r="BJ144" s="426"/>
      <c r="BK144" s="425"/>
      <c r="BL144" s="424"/>
      <c r="BM144" s="424"/>
      <c r="BN144" s="425"/>
      <c r="BO144" s="426"/>
      <c r="BP144" s="426"/>
      <c r="BQ144" s="425"/>
      <c r="BR144" s="424"/>
      <c r="BS144" s="424"/>
      <c r="BT144" s="425"/>
      <c r="BU144" s="426"/>
      <c r="BV144" s="426"/>
      <c r="BW144" s="425"/>
      <c r="BX144" s="424"/>
      <c r="BY144" s="424"/>
      <c r="BZ144" s="425"/>
      <c r="CA144" s="426"/>
      <c r="CB144" s="426"/>
      <c r="CC144" s="425"/>
      <c r="CD144" s="424"/>
      <c r="CE144" s="424"/>
      <c r="CF144" s="425"/>
      <c r="CG144" s="426"/>
      <c r="CH144" s="426"/>
      <c r="CI144" s="425"/>
      <c r="CJ144" s="424"/>
      <c r="CK144" s="424"/>
      <c r="CL144" s="425"/>
      <c r="CM144" s="426"/>
      <c r="CN144" s="426"/>
      <c r="CO144" s="425"/>
      <c r="CP144" s="424"/>
      <c r="CQ144" s="424"/>
      <c r="CR144" s="425"/>
      <c r="CS144" s="426"/>
      <c r="CT144" s="426"/>
      <c r="CU144" s="425"/>
      <c r="CV144" s="424"/>
      <c r="CW144" s="424"/>
      <c r="CX144" s="425"/>
      <c r="CY144" s="426"/>
      <c r="CZ144" s="426"/>
      <c r="DA144" s="425"/>
      <c r="DB144" s="424"/>
      <c r="DC144" s="424"/>
      <c r="DD144" s="425"/>
      <c r="DE144" s="426"/>
      <c r="DF144" s="426"/>
      <c r="DG144" s="425"/>
      <c r="DH144" s="424"/>
      <c r="DI144" s="424"/>
      <c r="DJ144" s="425"/>
      <c r="DK144" s="426"/>
      <c r="DL144" s="426"/>
      <c r="DM144" s="425"/>
      <c r="DN144" s="424"/>
      <c r="DO144" s="424"/>
      <c r="DP144" s="425"/>
      <c r="DQ144" s="426"/>
      <c r="DR144" s="426"/>
      <c r="DS144" s="425"/>
      <c r="DT144" s="424"/>
      <c r="DU144" s="424"/>
      <c r="DV144" s="425"/>
      <c r="DW144" s="426"/>
      <c r="DX144" s="426"/>
      <c r="DY144" s="425"/>
      <c r="DZ144" s="424"/>
      <c r="EA144" s="424"/>
    </row>
    <row r="145" spans="3:131">
      <c r="C145" s="96" t="s">
        <v>1034</v>
      </c>
      <c r="D145" s="65"/>
      <c r="E145" s="65"/>
      <c r="F145" s="437" t="s">
        <v>948</v>
      </c>
      <c r="G145" s="436" t="s">
        <v>949</v>
      </c>
      <c r="H145" s="412" t="s">
        <v>950</v>
      </c>
      <c r="I145" s="429"/>
      <c r="J145" s="429">
        <f t="shared" si="6"/>
        <v>0</v>
      </c>
      <c r="K145" s="428">
        <f t="shared" si="7"/>
        <v>0</v>
      </c>
      <c r="L145" s="427"/>
      <c r="M145" s="426"/>
      <c r="N145" s="426"/>
      <c r="O145" s="425"/>
      <c r="P145" s="424"/>
      <c r="Q145" s="424"/>
      <c r="R145" s="425"/>
      <c r="S145" s="426"/>
      <c r="T145" s="426"/>
      <c r="U145" s="425"/>
      <c r="V145" s="424"/>
      <c r="W145" s="424"/>
      <c r="X145" s="425"/>
      <c r="Y145" s="426"/>
      <c r="Z145" s="426"/>
      <c r="AA145" s="425"/>
      <c r="AB145" s="424"/>
      <c r="AC145" s="424"/>
      <c r="AD145" s="425"/>
      <c r="AE145" s="426"/>
      <c r="AF145" s="426"/>
      <c r="AG145" s="425"/>
      <c r="AH145" s="424"/>
      <c r="AI145" s="424"/>
      <c r="AJ145" s="425"/>
      <c r="AK145" s="426"/>
      <c r="AL145" s="426"/>
      <c r="AM145" s="425"/>
      <c r="AN145" s="424"/>
      <c r="AO145" s="424"/>
      <c r="AP145" s="425"/>
      <c r="AQ145" s="426"/>
      <c r="AR145" s="426"/>
      <c r="AS145" s="425"/>
      <c r="AT145" s="424"/>
      <c r="AU145" s="424"/>
      <c r="AV145" s="425"/>
      <c r="AW145" s="426"/>
      <c r="AX145" s="426"/>
      <c r="AY145" s="425"/>
      <c r="AZ145" s="424"/>
      <c r="BA145" s="424"/>
      <c r="BB145" s="425"/>
      <c r="BC145" s="426"/>
      <c r="BD145" s="426"/>
      <c r="BE145" s="425"/>
      <c r="BF145" s="424"/>
      <c r="BG145" s="424"/>
      <c r="BH145" s="425"/>
      <c r="BI145" s="426"/>
      <c r="BJ145" s="426"/>
      <c r="BK145" s="425"/>
      <c r="BL145" s="424"/>
      <c r="BM145" s="424"/>
      <c r="BN145" s="425"/>
      <c r="BO145" s="426"/>
      <c r="BP145" s="426"/>
      <c r="BQ145" s="425"/>
      <c r="BR145" s="424"/>
      <c r="BS145" s="424"/>
      <c r="BT145" s="425"/>
      <c r="BU145" s="426"/>
      <c r="BV145" s="426"/>
      <c r="BW145" s="425"/>
      <c r="BX145" s="424"/>
      <c r="BY145" s="424"/>
      <c r="BZ145" s="425"/>
      <c r="CA145" s="426"/>
      <c r="CB145" s="426"/>
      <c r="CC145" s="425"/>
      <c r="CD145" s="424"/>
      <c r="CE145" s="424"/>
      <c r="CF145" s="425"/>
      <c r="CG145" s="426"/>
      <c r="CH145" s="426"/>
      <c r="CI145" s="425"/>
      <c r="CJ145" s="424"/>
      <c r="CK145" s="424"/>
      <c r="CL145" s="425"/>
      <c r="CM145" s="426"/>
      <c r="CN145" s="426"/>
      <c r="CO145" s="425"/>
      <c r="CP145" s="424"/>
      <c r="CQ145" s="424"/>
      <c r="CR145" s="425"/>
      <c r="CS145" s="426"/>
      <c r="CT145" s="426"/>
      <c r="CU145" s="425"/>
      <c r="CV145" s="424"/>
      <c r="CW145" s="424"/>
      <c r="CX145" s="425"/>
      <c r="CY145" s="426"/>
      <c r="CZ145" s="426"/>
      <c r="DA145" s="425"/>
      <c r="DB145" s="424"/>
      <c r="DC145" s="424"/>
      <c r="DD145" s="425"/>
      <c r="DE145" s="426"/>
      <c r="DF145" s="426"/>
      <c r="DG145" s="425"/>
      <c r="DH145" s="424"/>
      <c r="DI145" s="424"/>
      <c r="DJ145" s="425"/>
      <c r="DK145" s="426"/>
      <c r="DL145" s="426"/>
      <c r="DM145" s="425"/>
      <c r="DN145" s="424"/>
      <c r="DO145" s="424"/>
      <c r="DP145" s="425"/>
      <c r="DQ145" s="426"/>
      <c r="DR145" s="426"/>
      <c r="DS145" s="425"/>
      <c r="DT145" s="424"/>
      <c r="DU145" s="424"/>
      <c r="DV145" s="425"/>
      <c r="DW145" s="426"/>
      <c r="DX145" s="426"/>
      <c r="DY145" s="425"/>
      <c r="DZ145" s="424"/>
      <c r="EA145" s="424"/>
    </row>
    <row r="146" spans="3:131">
      <c r="C146" s="448" t="s">
        <v>1035</v>
      </c>
      <c r="D146" s="449" t="s">
        <v>1036</v>
      </c>
      <c r="E146" s="448" t="s">
        <v>1037</v>
      </c>
      <c r="F146" s="432">
        <f>'MF Unit Material'!Y305</f>
        <v>3.0959999999999996</v>
      </c>
      <c r="G146" s="431">
        <f>'MF Unit Material'!Z305</f>
        <v>28</v>
      </c>
      <c r="H146" s="158">
        <f>'MF Unit Material'!AA305</f>
        <v>86.687999999999988</v>
      </c>
      <c r="I146" s="430">
        <f t="shared" ref="I146:I156" si="8">F146-J146</f>
        <v>3.0959999999999996</v>
      </c>
      <c r="J146" s="429">
        <f t="shared" si="6"/>
        <v>0</v>
      </c>
      <c r="K146" s="428">
        <f t="shared" si="7"/>
        <v>0</v>
      </c>
      <c r="L146" s="427"/>
      <c r="M146" s="426"/>
      <c r="N146" s="426"/>
      <c r="O146" s="425"/>
      <c r="P146" s="424"/>
      <c r="Q146" s="424"/>
      <c r="R146" s="425"/>
      <c r="S146" s="426"/>
      <c r="T146" s="426"/>
      <c r="U146" s="425"/>
      <c r="V146" s="424"/>
      <c r="W146" s="424"/>
      <c r="X146" s="425"/>
      <c r="Y146" s="426"/>
      <c r="Z146" s="426"/>
      <c r="AA146" s="425"/>
      <c r="AB146" s="424"/>
      <c r="AC146" s="424"/>
      <c r="AD146" s="425"/>
      <c r="AE146" s="426"/>
      <c r="AF146" s="426"/>
      <c r="AG146" s="425"/>
      <c r="AH146" s="424"/>
      <c r="AI146" s="424"/>
      <c r="AJ146" s="425"/>
      <c r="AK146" s="426"/>
      <c r="AL146" s="426"/>
      <c r="AM146" s="425"/>
      <c r="AN146" s="424"/>
      <c r="AO146" s="424"/>
      <c r="AP146" s="425"/>
      <c r="AQ146" s="426"/>
      <c r="AR146" s="426"/>
      <c r="AS146" s="425"/>
      <c r="AT146" s="424"/>
      <c r="AU146" s="424"/>
      <c r="AV146" s="425"/>
      <c r="AW146" s="426"/>
      <c r="AX146" s="426"/>
      <c r="AY146" s="425"/>
      <c r="AZ146" s="424"/>
      <c r="BA146" s="424"/>
      <c r="BB146" s="425"/>
      <c r="BC146" s="426"/>
      <c r="BD146" s="426"/>
      <c r="BE146" s="425"/>
      <c r="BF146" s="424"/>
      <c r="BG146" s="424"/>
      <c r="BH146" s="425"/>
      <c r="BI146" s="426"/>
      <c r="BJ146" s="426"/>
      <c r="BK146" s="425"/>
      <c r="BL146" s="424"/>
      <c r="BM146" s="424"/>
      <c r="BN146" s="425"/>
      <c r="BO146" s="426"/>
      <c r="BP146" s="426"/>
      <c r="BQ146" s="425"/>
      <c r="BR146" s="424"/>
      <c r="BS146" s="424"/>
      <c r="BT146" s="425"/>
      <c r="BU146" s="426"/>
      <c r="BV146" s="426"/>
      <c r="BW146" s="425"/>
      <c r="BX146" s="424"/>
      <c r="BY146" s="424"/>
      <c r="BZ146" s="425"/>
      <c r="CA146" s="426"/>
      <c r="CB146" s="426"/>
      <c r="CC146" s="425"/>
      <c r="CD146" s="424"/>
      <c r="CE146" s="424"/>
      <c r="CF146" s="425"/>
      <c r="CG146" s="426"/>
      <c r="CH146" s="426"/>
      <c r="CI146" s="425"/>
      <c r="CJ146" s="424"/>
      <c r="CK146" s="424"/>
      <c r="CL146" s="425"/>
      <c r="CM146" s="426"/>
      <c r="CN146" s="426"/>
      <c r="CO146" s="425"/>
      <c r="CP146" s="424"/>
      <c r="CQ146" s="424"/>
      <c r="CR146" s="425"/>
      <c r="CS146" s="426"/>
      <c r="CT146" s="426"/>
      <c r="CU146" s="425"/>
      <c r="CV146" s="424"/>
      <c r="CW146" s="424"/>
      <c r="CX146" s="425"/>
      <c r="CY146" s="426"/>
      <c r="CZ146" s="426"/>
      <c r="DA146" s="425"/>
      <c r="DB146" s="424"/>
      <c r="DC146" s="424"/>
      <c r="DD146" s="425"/>
      <c r="DE146" s="426"/>
      <c r="DF146" s="426"/>
      <c r="DG146" s="425"/>
      <c r="DH146" s="424"/>
      <c r="DI146" s="424"/>
      <c r="DJ146" s="425"/>
      <c r="DK146" s="426"/>
      <c r="DL146" s="426"/>
      <c r="DM146" s="425"/>
      <c r="DN146" s="424"/>
      <c r="DO146" s="424"/>
      <c r="DP146" s="425"/>
      <c r="DQ146" s="426"/>
      <c r="DR146" s="426"/>
      <c r="DS146" s="425"/>
      <c r="DT146" s="424"/>
      <c r="DU146" s="424"/>
      <c r="DV146" s="425"/>
      <c r="DW146" s="426"/>
      <c r="DX146" s="426"/>
      <c r="DY146" s="425"/>
      <c r="DZ146" s="424"/>
      <c r="EA146" s="424"/>
    </row>
    <row r="147" spans="3:131">
      <c r="C147" s="200" t="s">
        <v>1038</v>
      </c>
      <c r="D147" s="433" t="s">
        <v>1039</v>
      </c>
      <c r="E147" s="200" t="s">
        <v>1037</v>
      </c>
      <c r="F147" s="432">
        <f>'MF Unit Material'!Y306</f>
        <v>113.11199999999999</v>
      </c>
      <c r="G147" s="431">
        <f>'MF Unit Material'!Z306</f>
        <v>35</v>
      </c>
      <c r="H147" s="158">
        <f>'MF Unit Material'!AA306</f>
        <v>3958.9199999999996</v>
      </c>
      <c r="I147" s="430">
        <f t="shared" si="8"/>
        <v>113.11199999999999</v>
      </c>
      <c r="J147" s="429">
        <f t="shared" si="6"/>
        <v>0</v>
      </c>
      <c r="K147" s="428">
        <f t="shared" si="7"/>
        <v>0</v>
      </c>
      <c r="L147" s="427"/>
      <c r="M147" s="426"/>
      <c r="N147" s="426"/>
      <c r="O147" s="425"/>
      <c r="P147" s="424"/>
      <c r="Q147" s="424"/>
      <c r="R147" s="425"/>
      <c r="S147" s="426"/>
      <c r="T147" s="426"/>
      <c r="U147" s="425"/>
      <c r="V147" s="424"/>
      <c r="W147" s="424"/>
      <c r="X147" s="425"/>
      <c r="Y147" s="426"/>
      <c r="Z147" s="426"/>
      <c r="AA147" s="425"/>
      <c r="AB147" s="424"/>
      <c r="AC147" s="424"/>
      <c r="AD147" s="425"/>
      <c r="AE147" s="426"/>
      <c r="AF147" s="426"/>
      <c r="AG147" s="425"/>
      <c r="AH147" s="424"/>
      <c r="AI147" s="424"/>
      <c r="AJ147" s="425"/>
      <c r="AK147" s="426"/>
      <c r="AL147" s="426"/>
      <c r="AM147" s="425"/>
      <c r="AN147" s="424"/>
      <c r="AO147" s="424"/>
      <c r="AP147" s="425"/>
      <c r="AQ147" s="426"/>
      <c r="AR147" s="426"/>
      <c r="AS147" s="425"/>
      <c r="AT147" s="424"/>
      <c r="AU147" s="424"/>
      <c r="AV147" s="425"/>
      <c r="AW147" s="426"/>
      <c r="AX147" s="426"/>
      <c r="AY147" s="425"/>
      <c r="AZ147" s="424"/>
      <c r="BA147" s="424"/>
      <c r="BB147" s="425"/>
      <c r="BC147" s="426"/>
      <c r="BD147" s="426"/>
      <c r="BE147" s="425"/>
      <c r="BF147" s="424"/>
      <c r="BG147" s="424"/>
      <c r="BH147" s="425"/>
      <c r="BI147" s="426"/>
      <c r="BJ147" s="426"/>
      <c r="BK147" s="425"/>
      <c r="BL147" s="424"/>
      <c r="BM147" s="424"/>
      <c r="BN147" s="425"/>
      <c r="BO147" s="426"/>
      <c r="BP147" s="426"/>
      <c r="BQ147" s="425"/>
      <c r="BR147" s="424"/>
      <c r="BS147" s="424"/>
      <c r="BT147" s="425"/>
      <c r="BU147" s="426"/>
      <c r="BV147" s="426"/>
      <c r="BW147" s="425"/>
      <c r="BX147" s="424"/>
      <c r="BY147" s="424"/>
      <c r="BZ147" s="425"/>
      <c r="CA147" s="426"/>
      <c r="CB147" s="426"/>
      <c r="CC147" s="425"/>
      <c r="CD147" s="424"/>
      <c r="CE147" s="424"/>
      <c r="CF147" s="425"/>
      <c r="CG147" s="426"/>
      <c r="CH147" s="426"/>
      <c r="CI147" s="425"/>
      <c r="CJ147" s="424"/>
      <c r="CK147" s="424"/>
      <c r="CL147" s="425"/>
      <c r="CM147" s="426"/>
      <c r="CN147" s="426"/>
      <c r="CO147" s="425"/>
      <c r="CP147" s="424"/>
      <c r="CQ147" s="424"/>
      <c r="CR147" s="425"/>
      <c r="CS147" s="426"/>
      <c r="CT147" s="426"/>
      <c r="CU147" s="425"/>
      <c r="CV147" s="424"/>
      <c r="CW147" s="424"/>
      <c r="CX147" s="425"/>
      <c r="CY147" s="426"/>
      <c r="CZ147" s="426"/>
      <c r="DA147" s="425"/>
      <c r="DB147" s="424"/>
      <c r="DC147" s="424"/>
      <c r="DD147" s="425"/>
      <c r="DE147" s="426"/>
      <c r="DF147" s="426"/>
      <c r="DG147" s="425"/>
      <c r="DH147" s="424"/>
      <c r="DI147" s="424"/>
      <c r="DJ147" s="425"/>
      <c r="DK147" s="426"/>
      <c r="DL147" s="426"/>
      <c r="DM147" s="425"/>
      <c r="DN147" s="424"/>
      <c r="DO147" s="424"/>
      <c r="DP147" s="425"/>
      <c r="DQ147" s="426"/>
      <c r="DR147" s="426"/>
      <c r="DS147" s="425"/>
      <c r="DT147" s="424"/>
      <c r="DU147" s="424"/>
      <c r="DV147" s="425"/>
      <c r="DW147" s="426"/>
      <c r="DX147" s="426"/>
      <c r="DY147" s="425"/>
      <c r="DZ147" s="424"/>
      <c r="EA147" s="424"/>
    </row>
    <row r="148" spans="3:131">
      <c r="C148" s="200" t="s">
        <v>1040</v>
      </c>
      <c r="D148" s="433" t="s">
        <v>1041</v>
      </c>
      <c r="E148" s="200" t="s">
        <v>1037</v>
      </c>
      <c r="F148" s="432">
        <f>'MF Unit Material'!Y307</f>
        <v>33.119999999999997</v>
      </c>
      <c r="G148" s="431">
        <f>'MF Unit Material'!Z307</f>
        <v>35</v>
      </c>
      <c r="H148" s="158">
        <f>'MF Unit Material'!AA307</f>
        <v>1159.1999999999998</v>
      </c>
      <c r="I148" s="430">
        <f t="shared" si="8"/>
        <v>33.119999999999997</v>
      </c>
      <c r="J148" s="429">
        <f t="shared" si="6"/>
        <v>0</v>
      </c>
      <c r="K148" s="428">
        <f t="shared" si="7"/>
        <v>0</v>
      </c>
      <c r="L148" s="427"/>
      <c r="M148" s="426"/>
      <c r="N148" s="426"/>
      <c r="O148" s="425"/>
      <c r="P148" s="424"/>
      <c r="Q148" s="424"/>
      <c r="R148" s="425"/>
      <c r="S148" s="426"/>
      <c r="T148" s="426"/>
      <c r="U148" s="425"/>
      <c r="V148" s="424"/>
      <c r="W148" s="424"/>
      <c r="X148" s="425"/>
      <c r="Y148" s="426"/>
      <c r="Z148" s="426"/>
      <c r="AA148" s="425"/>
      <c r="AB148" s="424"/>
      <c r="AC148" s="424"/>
      <c r="AD148" s="425"/>
      <c r="AE148" s="426"/>
      <c r="AF148" s="426"/>
      <c r="AG148" s="425"/>
      <c r="AH148" s="424"/>
      <c r="AI148" s="424"/>
      <c r="AJ148" s="425"/>
      <c r="AK148" s="426"/>
      <c r="AL148" s="426"/>
      <c r="AM148" s="425"/>
      <c r="AN148" s="424"/>
      <c r="AO148" s="424"/>
      <c r="AP148" s="425"/>
      <c r="AQ148" s="426"/>
      <c r="AR148" s="426"/>
      <c r="AS148" s="425"/>
      <c r="AT148" s="424"/>
      <c r="AU148" s="424"/>
      <c r="AV148" s="425"/>
      <c r="AW148" s="426"/>
      <c r="AX148" s="426"/>
      <c r="AY148" s="425"/>
      <c r="AZ148" s="424"/>
      <c r="BA148" s="424"/>
      <c r="BB148" s="425"/>
      <c r="BC148" s="426"/>
      <c r="BD148" s="426"/>
      <c r="BE148" s="425"/>
      <c r="BF148" s="424"/>
      <c r="BG148" s="424"/>
      <c r="BH148" s="425"/>
      <c r="BI148" s="426"/>
      <c r="BJ148" s="426"/>
      <c r="BK148" s="425"/>
      <c r="BL148" s="424"/>
      <c r="BM148" s="424"/>
      <c r="BN148" s="425"/>
      <c r="BO148" s="426"/>
      <c r="BP148" s="426"/>
      <c r="BQ148" s="425"/>
      <c r="BR148" s="424"/>
      <c r="BS148" s="424"/>
      <c r="BT148" s="425"/>
      <c r="BU148" s="426"/>
      <c r="BV148" s="426"/>
      <c r="BW148" s="425"/>
      <c r="BX148" s="424"/>
      <c r="BY148" s="424"/>
      <c r="BZ148" s="425"/>
      <c r="CA148" s="426"/>
      <c r="CB148" s="426"/>
      <c r="CC148" s="425"/>
      <c r="CD148" s="424"/>
      <c r="CE148" s="424"/>
      <c r="CF148" s="425"/>
      <c r="CG148" s="426"/>
      <c r="CH148" s="426"/>
      <c r="CI148" s="425"/>
      <c r="CJ148" s="424"/>
      <c r="CK148" s="424"/>
      <c r="CL148" s="425"/>
      <c r="CM148" s="426"/>
      <c r="CN148" s="426"/>
      <c r="CO148" s="425"/>
      <c r="CP148" s="424"/>
      <c r="CQ148" s="424"/>
      <c r="CR148" s="425"/>
      <c r="CS148" s="426"/>
      <c r="CT148" s="426"/>
      <c r="CU148" s="425"/>
      <c r="CV148" s="424"/>
      <c r="CW148" s="424"/>
      <c r="CX148" s="425"/>
      <c r="CY148" s="426"/>
      <c r="CZ148" s="426"/>
      <c r="DA148" s="425"/>
      <c r="DB148" s="424"/>
      <c r="DC148" s="424"/>
      <c r="DD148" s="425"/>
      <c r="DE148" s="426"/>
      <c r="DF148" s="426"/>
      <c r="DG148" s="425"/>
      <c r="DH148" s="424"/>
      <c r="DI148" s="424"/>
      <c r="DJ148" s="425"/>
      <c r="DK148" s="426"/>
      <c r="DL148" s="426"/>
      <c r="DM148" s="425"/>
      <c r="DN148" s="424"/>
      <c r="DO148" s="424"/>
      <c r="DP148" s="425"/>
      <c r="DQ148" s="426"/>
      <c r="DR148" s="426"/>
      <c r="DS148" s="425"/>
      <c r="DT148" s="424"/>
      <c r="DU148" s="424"/>
      <c r="DV148" s="425"/>
      <c r="DW148" s="426"/>
      <c r="DX148" s="426"/>
      <c r="DY148" s="425"/>
      <c r="DZ148" s="424"/>
      <c r="EA148" s="424"/>
    </row>
    <row r="149" spans="3:131">
      <c r="C149" s="200" t="s">
        <v>1042</v>
      </c>
      <c r="D149" s="433" t="s">
        <v>1043</v>
      </c>
      <c r="E149" s="200" t="s">
        <v>1037</v>
      </c>
      <c r="F149" s="432">
        <f>'MF Unit Material'!Y308</f>
        <v>304.27199999999999</v>
      </c>
      <c r="G149" s="431">
        <f>'MF Unit Material'!Z308</f>
        <v>45.25</v>
      </c>
      <c r="H149" s="158">
        <f>'MF Unit Material'!AA308</f>
        <v>13768.307999999999</v>
      </c>
      <c r="I149" s="430">
        <f t="shared" si="8"/>
        <v>304.27199999999999</v>
      </c>
      <c r="J149" s="429">
        <f t="shared" si="6"/>
        <v>0</v>
      </c>
      <c r="K149" s="428">
        <f t="shared" si="7"/>
        <v>0</v>
      </c>
      <c r="L149" s="427"/>
      <c r="M149" s="426"/>
      <c r="N149" s="426"/>
      <c r="O149" s="425"/>
      <c r="P149" s="424"/>
      <c r="Q149" s="424"/>
      <c r="R149" s="425"/>
      <c r="S149" s="426"/>
      <c r="T149" s="426"/>
      <c r="U149" s="425"/>
      <c r="V149" s="424"/>
      <c r="W149" s="424"/>
      <c r="X149" s="425"/>
      <c r="Y149" s="426"/>
      <c r="Z149" s="426"/>
      <c r="AA149" s="425"/>
      <c r="AB149" s="424"/>
      <c r="AC149" s="424"/>
      <c r="AD149" s="425"/>
      <c r="AE149" s="426"/>
      <c r="AF149" s="426"/>
      <c r="AG149" s="425"/>
      <c r="AH149" s="424"/>
      <c r="AI149" s="424"/>
      <c r="AJ149" s="425"/>
      <c r="AK149" s="426"/>
      <c r="AL149" s="426"/>
      <c r="AM149" s="425"/>
      <c r="AN149" s="424"/>
      <c r="AO149" s="424"/>
      <c r="AP149" s="425"/>
      <c r="AQ149" s="426"/>
      <c r="AR149" s="426"/>
      <c r="AS149" s="425"/>
      <c r="AT149" s="424"/>
      <c r="AU149" s="424"/>
      <c r="AV149" s="425"/>
      <c r="AW149" s="426"/>
      <c r="AX149" s="426"/>
      <c r="AY149" s="425"/>
      <c r="AZ149" s="424"/>
      <c r="BA149" s="424"/>
      <c r="BB149" s="425"/>
      <c r="BC149" s="426"/>
      <c r="BD149" s="426"/>
      <c r="BE149" s="425"/>
      <c r="BF149" s="424"/>
      <c r="BG149" s="424"/>
      <c r="BH149" s="425"/>
      <c r="BI149" s="426"/>
      <c r="BJ149" s="426"/>
      <c r="BK149" s="425"/>
      <c r="BL149" s="424"/>
      <c r="BM149" s="424"/>
      <c r="BN149" s="425"/>
      <c r="BO149" s="426"/>
      <c r="BP149" s="426"/>
      <c r="BQ149" s="425"/>
      <c r="BR149" s="424"/>
      <c r="BS149" s="424"/>
      <c r="BT149" s="425"/>
      <c r="BU149" s="426"/>
      <c r="BV149" s="426"/>
      <c r="BW149" s="425"/>
      <c r="BX149" s="424"/>
      <c r="BY149" s="424"/>
      <c r="BZ149" s="425"/>
      <c r="CA149" s="426"/>
      <c r="CB149" s="426"/>
      <c r="CC149" s="425"/>
      <c r="CD149" s="424"/>
      <c r="CE149" s="424"/>
      <c r="CF149" s="425"/>
      <c r="CG149" s="426"/>
      <c r="CH149" s="426"/>
      <c r="CI149" s="425"/>
      <c r="CJ149" s="424"/>
      <c r="CK149" s="424"/>
      <c r="CL149" s="425"/>
      <c r="CM149" s="426"/>
      <c r="CN149" s="426"/>
      <c r="CO149" s="425"/>
      <c r="CP149" s="424"/>
      <c r="CQ149" s="424"/>
      <c r="CR149" s="425"/>
      <c r="CS149" s="426"/>
      <c r="CT149" s="426"/>
      <c r="CU149" s="425"/>
      <c r="CV149" s="424"/>
      <c r="CW149" s="424"/>
      <c r="CX149" s="425"/>
      <c r="CY149" s="426"/>
      <c r="CZ149" s="426"/>
      <c r="DA149" s="425"/>
      <c r="DB149" s="424"/>
      <c r="DC149" s="424"/>
      <c r="DD149" s="425"/>
      <c r="DE149" s="426"/>
      <c r="DF149" s="426"/>
      <c r="DG149" s="425"/>
      <c r="DH149" s="424"/>
      <c r="DI149" s="424"/>
      <c r="DJ149" s="425"/>
      <c r="DK149" s="426"/>
      <c r="DL149" s="426"/>
      <c r="DM149" s="425"/>
      <c r="DN149" s="424"/>
      <c r="DO149" s="424"/>
      <c r="DP149" s="425"/>
      <c r="DQ149" s="426"/>
      <c r="DR149" s="426"/>
      <c r="DS149" s="425"/>
      <c r="DT149" s="424"/>
      <c r="DU149" s="424"/>
      <c r="DV149" s="425"/>
      <c r="DW149" s="426"/>
      <c r="DX149" s="426"/>
      <c r="DY149" s="425"/>
      <c r="DZ149" s="424"/>
      <c r="EA149" s="424"/>
    </row>
    <row r="150" spans="3:131">
      <c r="C150" s="200" t="s">
        <v>1044</v>
      </c>
      <c r="D150" s="433" t="s">
        <v>1045</v>
      </c>
      <c r="E150" s="200" t="s">
        <v>1037</v>
      </c>
      <c r="F150" s="432">
        <f>'MF Unit Material'!Y309</f>
        <v>170.02799999999999</v>
      </c>
      <c r="G150" s="431">
        <f>'MF Unit Material'!Z309</f>
        <v>49</v>
      </c>
      <c r="H150" s="158">
        <f>'MF Unit Material'!AA309</f>
        <v>8331.3719999999994</v>
      </c>
      <c r="I150" s="430">
        <f t="shared" si="8"/>
        <v>170.02799999999999</v>
      </c>
      <c r="J150" s="429">
        <f t="shared" si="6"/>
        <v>0</v>
      </c>
      <c r="K150" s="428">
        <f t="shared" si="7"/>
        <v>0</v>
      </c>
      <c r="L150" s="427"/>
      <c r="M150" s="426"/>
      <c r="N150" s="426"/>
      <c r="O150" s="425"/>
      <c r="P150" s="424"/>
      <c r="Q150" s="424"/>
      <c r="R150" s="425"/>
      <c r="S150" s="426"/>
      <c r="T150" s="426"/>
      <c r="U150" s="425"/>
      <c r="V150" s="424"/>
      <c r="W150" s="424"/>
      <c r="X150" s="425"/>
      <c r="Y150" s="426"/>
      <c r="Z150" s="426"/>
      <c r="AA150" s="425"/>
      <c r="AB150" s="424"/>
      <c r="AC150" s="424"/>
      <c r="AD150" s="425"/>
      <c r="AE150" s="426"/>
      <c r="AF150" s="426"/>
      <c r="AG150" s="425"/>
      <c r="AH150" s="424"/>
      <c r="AI150" s="424"/>
      <c r="AJ150" s="425"/>
      <c r="AK150" s="426"/>
      <c r="AL150" s="426"/>
      <c r="AM150" s="425"/>
      <c r="AN150" s="424"/>
      <c r="AO150" s="424"/>
      <c r="AP150" s="425"/>
      <c r="AQ150" s="426"/>
      <c r="AR150" s="426"/>
      <c r="AS150" s="425"/>
      <c r="AT150" s="424"/>
      <c r="AU150" s="424"/>
      <c r="AV150" s="425"/>
      <c r="AW150" s="426"/>
      <c r="AX150" s="426"/>
      <c r="AY150" s="425"/>
      <c r="AZ150" s="424"/>
      <c r="BA150" s="424"/>
      <c r="BB150" s="425"/>
      <c r="BC150" s="426"/>
      <c r="BD150" s="426"/>
      <c r="BE150" s="425"/>
      <c r="BF150" s="424"/>
      <c r="BG150" s="424"/>
      <c r="BH150" s="425"/>
      <c r="BI150" s="426"/>
      <c r="BJ150" s="426"/>
      <c r="BK150" s="425"/>
      <c r="BL150" s="424"/>
      <c r="BM150" s="424"/>
      <c r="BN150" s="425"/>
      <c r="BO150" s="426"/>
      <c r="BP150" s="426"/>
      <c r="BQ150" s="425"/>
      <c r="BR150" s="424"/>
      <c r="BS150" s="424"/>
      <c r="BT150" s="425"/>
      <c r="BU150" s="426"/>
      <c r="BV150" s="426"/>
      <c r="BW150" s="425"/>
      <c r="BX150" s="424"/>
      <c r="BY150" s="424"/>
      <c r="BZ150" s="425"/>
      <c r="CA150" s="426"/>
      <c r="CB150" s="426"/>
      <c r="CC150" s="425"/>
      <c r="CD150" s="424"/>
      <c r="CE150" s="424"/>
      <c r="CF150" s="425"/>
      <c r="CG150" s="426"/>
      <c r="CH150" s="426"/>
      <c r="CI150" s="425"/>
      <c r="CJ150" s="424"/>
      <c r="CK150" s="424"/>
      <c r="CL150" s="425"/>
      <c r="CM150" s="426"/>
      <c r="CN150" s="426"/>
      <c r="CO150" s="425"/>
      <c r="CP150" s="424"/>
      <c r="CQ150" s="424"/>
      <c r="CR150" s="425"/>
      <c r="CS150" s="426"/>
      <c r="CT150" s="426"/>
      <c r="CU150" s="425"/>
      <c r="CV150" s="424"/>
      <c r="CW150" s="424"/>
      <c r="CX150" s="425"/>
      <c r="CY150" s="426"/>
      <c r="CZ150" s="426"/>
      <c r="DA150" s="425"/>
      <c r="DB150" s="424"/>
      <c r="DC150" s="424"/>
      <c r="DD150" s="425"/>
      <c r="DE150" s="426"/>
      <c r="DF150" s="426"/>
      <c r="DG150" s="425"/>
      <c r="DH150" s="424"/>
      <c r="DI150" s="424"/>
      <c r="DJ150" s="425"/>
      <c r="DK150" s="426"/>
      <c r="DL150" s="426"/>
      <c r="DM150" s="425"/>
      <c r="DN150" s="424"/>
      <c r="DO150" s="424"/>
      <c r="DP150" s="425"/>
      <c r="DQ150" s="426"/>
      <c r="DR150" s="426"/>
      <c r="DS150" s="425"/>
      <c r="DT150" s="424"/>
      <c r="DU150" s="424"/>
      <c r="DV150" s="425"/>
      <c r="DW150" s="426"/>
      <c r="DX150" s="426"/>
      <c r="DY150" s="425"/>
      <c r="DZ150" s="424"/>
      <c r="EA150" s="424"/>
    </row>
    <row r="151" spans="3:131">
      <c r="C151" s="200" t="s">
        <v>1046</v>
      </c>
      <c r="D151" s="433" t="s">
        <v>1047</v>
      </c>
      <c r="E151" s="200" t="s">
        <v>1037</v>
      </c>
      <c r="F151" s="432">
        <f>'MF Unit Material'!Y310</f>
        <v>78.335999999999999</v>
      </c>
      <c r="G151" s="431">
        <f>'MF Unit Material'!Z310</f>
        <v>47</v>
      </c>
      <c r="H151" s="158">
        <f>'MF Unit Material'!AA310</f>
        <v>3681.7919999999999</v>
      </c>
      <c r="I151" s="430">
        <f t="shared" si="8"/>
        <v>78.335999999999999</v>
      </c>
      <c r="J151" s="429">
        <f t="shared" si="6"/>
        <v>0</v>
      </c>
      <c r="K151" s="428">
        <f t="shared" si="7"/>
        <v>0</v>
      </c>
      <c r="L151" s="427"/>
      <c r="M151" s="426"/>
      <c r="N151" s="426"/>
      <c r="O151" s="425"/>
      <c r="P151" s="424"/>
      <c r="Q151" s="424"/>
      <c r="R151" s="425"/>
      <c r="S151" s="426"/>
      <c r="T151" s="426"/>
      <c r="U151" s="425"/>
      <c r="V151" s="424"/>
      <c r="W151" s="424"/>
      <c r="X151" s="425"/>
      <c r="Y151" s="426"/>
      <c r="Z151" s="426"/>
      <c r="AA151" s="425"/>
      <c r="AB151" s="424"/>
      <c r="AC151" s="424"/>
      <c r="AD151" s="425"/>
      <c r="AE151" s="426"/>
      <c r="AF151" s="426"/>
      <c r="AG151" s="425"/>
      <c r="AH151" s="424"/>
      <c r="AI151" s="424"/>
      <c r="AJ151" s="425"/>
      <c r="AK151" s="426"/>
      <c r="AL151" s="426"/>
      <c r="AM151" s="425"/>
      <c r="AN151" s="424"/>
      <c r="AO151" s="424"/>
      <c r="AP151" s="425"/>
      <c r="AQ151" s="426"/>
      <c r="AR151" s="426"/>
      <c r="AS151" s="425"/>
      <c r="AT151" s="424"/>
      <c r="AU151" s="424"/>
      <c r="AV151" s="425"/>
      <c r="AW151" s="426"/>
      <c r="AX151" s="426"/>
      <c r="AY151" s="425"/>
      <c r="AZ151" s="424"/>
      <c r="BA151" s="424"/>
      <c r="BB151" s="425"/>
      <c r="BC151" s="426"/>
      <c r="BD151" s="426"/>
      <c r="BE151" s="425"/>
      <c r="BF151" s="424"/>
      <c r="BG151" s="424"/>
      <c r="BH151" s="425"/>
      <c r="BI151" s="426"/>
      <c r="BJ151" s="426"/>
      <c r="BK151" s="425"/>
      <c r="BL151" s="424"/>
      <c r="BM151" s="424"/>
      <c r="BN151" s="425"/>
      <c r="BO151" s="426"/>
      <c r="BP151" s="426"/>
      <c r="BQ151" s="425"/>
      <c r="BR151" s="424"/>
      <c r="BS151" s="424"/>
      <c r="BT151" s="425"/>
      <c r="BU151" s="426"/>
      <c r="BV151" s="426"/>
      <c r="BW151" s="425"/>
      <c r="BX151" s="424"/>
      <c r="BY151" s="424"/>
      <c r="BZ151" s="425"/>
      <c r="CA151" s="426"/>
      <c r="CB151" s="426"/>
      <c r="CC151" s="425"/>
      <c r="CD151" s="424"/>
      <c r="CE151" s="424"/>
      <c r="CF151" s="425"/>
      <c r="CG151" s="426"/>
      <c r="CH151" s="426"/>
      <c r="CI151" s="425"/>
      <c r="CJ151" s="424"/>
      <c r="CK151" s="424"/>
      <c r="CL151" s="425"/>
      <c r="CM151" s="426"/>
      <c r="CN151" s="426"/>
      <c r="CO151" s="425"/>
      <c r="CP151" s="424"/>
      <c r="CQ151" s="424"/>
      <c r="CR151" s="425"/>
      <c r="CS151" s="426"/>
      <c r="CT151" s="426"/>
      <c r="CU151" s="425"/>
      <c r="CV151" s="424"/>
      <c r="CW151" s="424"/>
      <c r="CX151" s="425"/>
      <c r="CY151" s="426"/>
      <c r="CZ151" s="426"/>
      <c r="DA151" s="425"/>
      <c r="DB151" s="424"/>
      <c r="DC151" s="424"/>
      <c r="DD151" s="425"/>
      <c r="DE151" s="426"/>
      <c r="DF151" s="426"/>
      <c r="DG151" s="425"/>
      <c r="DH151" s="424"/>
      <c r="DI151" s="424"/>
      <c r="DJ151" s="425"/>
      <c r="DK151" s="426"/>
      <c r="DL151" s="426"/>
      <c r="DM151" s="425"/>
      <c r="DN151" s="424"/>
      <c r="DO151" s="424"/>
      <c r="DP151" s="425"/>
      <c r="DQ151" s="426"/>
      <c r="DR151" s="426"/>
      <c r="DS151" s="425"/>
      <c r="DT151" s="424"/>
      <c r="DU151" s="424"/>
      <c r="DV151" s="425"/>
      <c r="DW151" s="426"/>
      <c r="DX151" s="426"/>
      <c r="DY151" s="425"/>
      <c r="DZ151" s="424"/>
      <c r="EA151" s="424"/>
    </row>
    <row r="152" spans="3:131">
      <c r="C152" s="200" t="s">
        <v>1048</v>
      </c>
      <c r="D152" s="433" t="s">
        <v>1049</v>
      </c>
      <c r="E152" s="200" t="s">
        <v>1037</v>
      </c>
      <c r="F152" s="432">
        <f>'MF Unit Material'!Y311</f>
        <v>32.975999999999999</v>
      </c>
      <c r="G152" s="431">
        <f>'MF Unit Material'!Z311</f>
        <v>50</v>
      </c>
      <c r="H152" s="158">
        <f>'MF Unit Material'!AA311</f>
        <v>1648.8</v>
      </c>
      <c r="I152" s="430">
        <f t="shared" si="8"/>
        <v>32.975999999999999</v>
      </c>
      <c r="J152" s="429">
        <f t="shared" si="6"/>
        <v>0</v>
      </c>
      <c r="K152" s="428">
        <f t="shared" si="7"/>
        <v>0</v>
      </c>
      <c r="L152" s="427"/>
      <c r="M152" s="426"/>
      <c r="N152" s="426"/>
      <c r="O152" s="425"/>
      <c r="P152" s="424"/>
      <c r="Q152" s="424"/>
      <c r="R152" s="425"/>
      <c r="S152" s="426"/>
      <c r="T152" s="426"/>
      <c r="U152" s="425"/>
      <c r="V152" s="424"/>
      <c r="W152" s="424"/>
      <c r="X152" s="425"/>
      <c r="Y152" s="426"/>
      <c r="Z152" s="426"/>
      <c r="AA152" s="425"/>
      <c r="AB152" s="424"/>
      <c r="AC152" s="424"/>
      <c r="AD152" s="425"/>
      <c r="AE152" s="426"/>
      <c r="AF152" s="426"/>
      <c r="AG152" s="425"/>
      <c r="AH152" s="424"/>
      <c r="AI152" s="424"/>
      <c r="AJ152" s="425"/>
      <c r="AK152" s="426"/>
      <c r="AL152" s="426"/>
      <c r="AM152" s="425"/>
      <c r="AN152" s="424"/>
      <c r="AO152" s="424"/>
      <c r="AP152" s="425"/>
      <c r="AQ152" s="426"/>
      <c r="AR152" s="426"/>
      <c r="AS152" s="425"/>
      <c r="AT152" s="424"/>
      <c r="AU152" s="424"/>
      <c r="AV152" s="425"/>
      <c r="AW152" s="426"/>
      <c r="AX152" s="426"/>
      <c r="AY152" s="425"/>
      <c r="AZ152" s="424"/>
      <c r="BA152" s="424"/>
      <c r="BB152" s="425"/>
      <c r="BC152" s="426"/>
      <c r="BD152" s="426"/>
      <c r="BE152" s="425"/>
      <c r="BF152" s="424"/>
      <c r="BG152" s="424"/>
      <c r="BH152" s="425"/>
      <c r="BI152" s="426"/>
      <c r="BJ152" s="426"/>
      <c r="BK152" s="425"/>
      <c r="BL152" s="424"/>
      <c r="BM152" s="424"/>
      <c r="BN152" s="425"/>
      <c r="BO152" s="426"/>
      <c r="BP152" s="426"/>
      <c r="BQ152" s="425"/>
      <c r="BR152" s="424"/>
      <c r="BS152" s="424"/>
      <c r="BT152" s="425"/>
      <c r="BU152" s="426"/>
      <c r="BV152" s="426"/>
      <c r="BW152" s="425"/>
      <c r="BX152" s="424"/>
      <c r="BY152" s="424"/>
      <c r="BZ152" s="425"/>
      <c r="CA152" s="426"/>
      <c r="CB152" s="426"/>
      <c r="CC152" s="425"/>
      <c r="CD152" s="424"/>
      <c r="CE152" s="424"/>
      <c r="CF152" s="425"/>
      <c r="CG152" s="426"/>
      <c r="CH152" s="426"/>
      <c r="CI152" s="425"/>
      <c r="CJ152" s="424"/>
      <c r="CK152" s="424"/>
      <c r="CL152" s="425"/>
      <c r="CM152" s="426"/>
      <c r="CN152" s="426"/>
      <c r="CO152" s="425"/>
      <c r="CP152" s="424"/>
      <c r="CQ152" s="424"/>
      <c r="CR152" s="425"/>
      <c r="CS152" s="426"/>
      <c r="CT152" s="426"/>
      <c r="CU152" s="425"/>
      <c r="CV152" s="424"/>
      <c r="CW152" s="424"/>
      <c r="CX152" s="425"/>
      <c r="CY152" s="426"/>
      <c r="CZ152" s="426"/>
      <c r="DA152" s="425"/>
      <c r="DB152" s="424"/>
      <c r="DC152" s="424"/>
      <c r="DD152" s="425"/>
      <c r="DE152" s="426"/>
      <c r="DF152" s="426"/>
      <c r="DG152" s="425"/>
      <c r="DH152" s="424"/>
      <c r="DI152" s="424"/>
      <c r="DJ152" s="425"/>
      <c r="DK152" s="426"/>
      <c r="DL152" s="426"/>
      <c r="DM152" s="425"/>
      <c r="DN152" s="424"/>
      <c r="DO152" s="424"/>
      <c r="DP152" s="425"/>
      <c r="DQ152" s="426"/>
      <c r="DR152" s="426"/>
      <c r="DS152" s="425"/>
      <c r="DT152" s="424"/>
      <c r="DU152" s="424"/>
      <c r="DV152" s="425"/>
      <c r="DW152" s="426"/>
      <c r="DX152" s="426"/>
      <c r="DY152" s="425"/>
      <c r="DZ152" s="424"/>
      <c r="EA152" s="424"/>
    </row>
    <row r="153" spans="3:131">
      <c r="C153" s="200" t="s">
        <v>1050</v>
      </c>
      <c r="D153" s="433" t="s">
        <v>1051</v>
      </c>
      <c r="E153" s="200" t="s">
        <v>1037</v>
      </c>
      <c r="F153" s="432">
        <f>'MF Unit Material'!Y312</f>
        <v>0.57599999999999996</v>
      </c>
      <c r="G153" s="431">
        <f>'MF Unit Material'!Z312</f>
        <v>66</v>
      </c>
      <c r="H153" s="158">
        <f>'MF Unit Material'!AA312</f>
        <v>38.015999999999998</v>
      </c>
      <c r="I153" s="430">
        <f t="shared" si="8"/>
        <v>0.57599999999999996</v>
      </c>
      <c r="J153" s="429">
        <f t="shared" si="6"/>
        <v>0</v>
      </c>
      <c r="K153" s="428">
        <f t="shared" si="7"/>
        <v>0</v>
      </c>
      <c r="L153" s="427"/>
      <c r="M153" s="426"/>
      <c r="N153" s="426"/>
      <c r="O153" s="425"/>
      <c r="P153" s="424"/>
      <c r="Q153" s="424"/>
      <c r="R153" s="425"/>
      <c r="S153" s="426"/>
      <c r="T153" s="426"/>
      <c r="U153" s="425"/>
      <c r="V153" s="424"/>
      <c r="W153" s="424"/>
      <c r="X153" s="425"/>
      <c r="Y153" s="426"/>
      <c r="Z153" s="426"/>
      <c r="AA153" s="425"/>
      <c r="AB153" s="424"/>
      <c r="AC153" s="424"/>
      <c r="AD153" s="425"/>
      <c r="AE153" s="426"/>
      <c r="AF153" s="426"/>
      <c r="AG153" s="425"/>
      <c r="AH153" s="424"/>
      <c r="AI153" s="424"/>
      <c r="AJ153" s="425"/>
      <c r="AK153" s="426"/>
      <c r="AL153" s="426"/>
      <c r="AM153" s="425"/>
      <c r="AN153" s="424"/>
      <c r="AO153" s="424"/>
      <c r="AP153" s="425"/>
      <c r="AQ153" s="426"/>
      <c r="AR153" s="426"/>
      <c r="AS153" s="425"/>
      <c r="AT153" s="424"/>
      <c r="AU153" s="424"/>
      <c r="AV153" s="425"/>
      <c r="AW153" s="426"/>
      <c r="AX153" s="426"/>
      <c r="AY153" s="425"/>
      <c r="AZ153" s="424"/>
      <c r="BA153" s="424"/>
      <c r="BB153" s="425"/>
      <c r="BC153" s="426"/>
      <c r="BD153" s="426"/>
      <c r="BE153" s="425"/>
      <c r="BF153" s="424"/>
      <c r="BG153" s="424"/>
      <c r="BH153" s="425"/>
      <c r="BI153" s="426"/>
      <c r="BJ153" s="426"/>
      <c r="BK153" s="425"/>
      <c r="BL153" s="424"/>
      <c r="BM153" s="424"/>
      <c r="BN153" s="425"/>
      <c r="BO153" s="426"/>
      <c r="BP153" s="426"/>
      <c r="BQ153" s="425"/>
      <c r="BR153" s="424"/>
      <c r="BS153" s="424"/>
      <c r="BT153" s="425"/>
      <c r="BU153" s="426"/>
      <c r="BV153" s="426"/>
      <c r="BW153" s="425"/>
      <c r="BX153" s="424"/>
      <c r="BY153" s="424"/>
      <c r="BZ153" s="425"/>
      <c r="CA153" s="426"/>
      <c r="CB153" s="426"/>
      <c r="CC153" s="425"/>
      <c r="CD153" s="424"/>
      <c r="CE153" s="424"/>
      <c r="CF153" s="425"/>
      <c r="CG153" s="426"/>
      <c r="CH153" s="426"/>
      <c r="CI153" s="425"/>
      <c r="CJ153" s="424"/>
      <c r="CK153" s="424"/>
      <c r="CL153" s="425"/>
      <c r="CM153" s="426"/>
      <c r="CN153" s="426"/>
      <c r="CO153" s="425"/>
      <c r="CP153" s="424"/>
      <c r="CQ153" s="424"/>
      <c r="CR153" s="425"/>
      <c r="CS153" s="426"/>
      <c r="CT153" s="426"/>
      <c r="CU153" s="425"/>
      <c r="CV153" s="424"/>
      <c r="CW153" s="424"/>
      <c r="CX153" s="425"/>
      <c r="CY153" s="426"/>
      <c r="CZ153" s="426"/>
      <c r="DA153" s="425"/>
      <c r="DB153" s="424"/>
      <c r="DC153" s="424"/>
      <c r="DD153" s="425"/>
      <c r="DE153" s="426"/>
      <c r="DF153" s="426"/>
      <c r="DG153" s="425"/>
      <c r="DH153" s="424"/>
      <c r="DI153" s="424"/>
      <c r="DJ153" s="425"/>
      <c r="DK153" s="426"/>
      <c r="DL153" s="426"/>
      <c r="DM153" s="425"/>
      <c r="DN153" s="424"/>
      <c r="DO153" s="424"/>
      <c r="DP153" s="425"/>
      <c r="DQ153" s="426"/>
      <c r="DR153" s="426"/>
      <c r="DS153" s="425"/>
      <c r="DT153" s="424"/>
      <c r="DU153" s="424"/>
      <c r="DV153" s="425"/>
      <c r="DW153" s="426"/>
      <c r="DX153" s="426"/>
      <c r="DY153" s="425"/>
      <c r="DZ153" s="424"/>
      <c r="EA153" s="424"/>
    </row>
    <row r="154" spans="3:131">
      <c r="C154" s="200" t="s">
        <v>1052</v>
      </c>
      <c r="D154" s="433" t="s">
        <v>1053</v>
      </c>
      <c r="E154" s="200" t="s">
        <v>1037</v>
      </c>
      <c r="F154" s="432">
        <f>'MF Unit Material'!Y313</f>
        <v>0</v>
      </c>
      <c r="G154" s="431">
        <f>'MF Unit Material'!Z313</f>
        <v>101</v>
      </c>
      <c r="H154" s="158">
        <f>'MF Unit Material'!AA313</f>
        <v>0</v>
      </c>
      <c r="I154" s="430">
        <f t="shared" si="8"/>
        <v>0</v>
      </c>
      <c r="J154" s="429">
        <f t="shared" si="6"/>
        <v>0</v>
      </c>
      <c r="K154" s="428">
        <f t="shared" si="7"/>
        <v>0</v>
      </c>
      <c r="L154" s="427"/>
      <c r="M154" s="426"/>
      <c r="N154" s="426"/>
      <c r="O154" s="425"/>
      <c r="P154" s="424"/>
      <c r="Q154" s="424"/>
      <c r="R154" s="425"/>
      <c r="S154" s="426"/>
      <c r="T154" s="426"/>
      <c r="U154" s="425"/>
      <c r="V154" s="424"/>
      <c r="W154" s="424"/>
      <c r="X154" s="425"/>
      <c r="Y154" s="426"/>
      <c r="Z154" s="426"/>
      <c r="AA154" s="425"/>
      <c r="AB154" s="424"/>
      <c r="AC154" s="424"/>
      <c r="AD154" s="425"/>
      <c r="AE154" s="426"/>
      <c r="AF154" s="426"/>
      <c r="AG154" s="425"/>
      <c r="AH154" s="424"/>
      <c r="AI154" s="424"/>
      <c r="AJ154" s="425"/>
      <c r="AK154" s="426"/>
      <c r="AL154" s="426"/>
      <c r="AM154" s="425"/>
      <c r="AN154" s="424"/>
      <c r="AO154" s="424"/>
      <c r="AP154" s="425"/>
      <c r="AQ154" s="426"/>
      <c r="AR154" s="426"/>
      <c r="AS154" s="425"/>
      <c r="AT154" s="424"/>
      <c r="AU154" s="424"/>
      <c r="AV154" s="425"/>
      <c r="AW154" s="426"/>
      <c r="AX154" s="426"/>
      <c r="AY154" s="425"/>
      <c r="AZ154" s="424"/>
      <c r="BA154" s="424"/>
      <c r="BB154" s="425"/>
      <c r="BC154" s="426"/>
      <c r="BD154" s="426"/>
      <c r="BE154" s="425"/>
      <c r="BF154" s="424"/>
      <c r="BG154" s="424"/>
      <c r="BH154" s="425"/>
      <c r="BI154" s="426"/>
      <c r="BJ154" s="426"/>
      <c r="BK154" s="425"/>
      <c r="BL154" s="424"/>
      <c r="BM154" s="424"/>
      <c r="BN154" s="425"/>
      <c r="BO154" s="426"/>
      <c r="BP154" s="426"/>
      <c r="BQ154" s="425"/>
      <c r="BR154" s="424"/>
      <c r="BS154" s="424"/>
      <c r="BT154" s="425"/>
      <c r="BU154" s="426"/>
      <c r="BV154" s="426"/>
      <c r="BW154" s="425"/>
      <c r="BX154" s="424"/>
      <c r="BY154" s="424"/>
      <c r="BZ154" s="425"/>
      <c r="CA154" s="426"/>
      <c r="CB154" s="426"/>
      <c r="CC154" s="425"/>
      <c r="CD154" s="424"/>
      <c r="CE154" s="424"/>
      <c r="CF154" s="425"/>
      <c r="CG154" s="426"/>
      <c r="CH154" s="426"/>
      <c r="CI154" s="425"/>
      <c r="CJ154" s="424"/>
      <c r="CK154" s="424"/>
      <c r="CL154" s="425"/>
      <c r="CM154" s="426"/>
      <c r="CN154" s="426"/>
      <c r="CO154" s="425"/>
      <c r="CP154" s="424"/>
      <c r="CQ154" s="424"/>
      <c r="CR154" s="425"/>
      <c r="CS154" s="426"/>
      <c r="CT154" s="426"/>
      <c r="CU154" s="425"/>
      <c r="CV154" s="424"/>
      <c r="CW154" s="424"/>
      <c r="CX154" s="425"/>
      <c r="CY154" s="426"/>
      <c r="CZ154" s="426"/>
      <c r="DA154" s="425"/>
      <c r="DB154" s="424"/>
      <c r="DC154" s="424"/>
      <c r="DD154" s="425"/>
      <c r="DE154" s="426"/>
      <c r="DF154" s="426"/>
      <c r="DG154" s="425"/>
      <c r="DH154" s="424"/>
      <c r="DI154" s="424"/>
      <c r="DJ154" s="425"/>
      <c r="DK154" s="426"/>
      <c r="DL154" s="426"/>
      <c r="DM154" s="425"/>
      <c r="DN154" s="424"/>
      <c r="DO154" s="424"/>
      <c r="DP154" s="425"/>
      <c r="DQ154" s="426"/>
      <c r="DR154" s="426"/>
      <c r="DS154" s="425"/>
      <c r="DT154" s="424"/>
      <c r="DU154" s="424"/>
      <c r="DV154" s="425"/>
      <c r="DW154" s="426"/>
      <c r="DX154" s="426"/>
      <c r="DY154" s="425"/>
      <c r="DZ154" s="424"/>
      <c r="EA154" s="424"/>
    </row>
    <row r="155" spans="3:131">
      <c r="C155" s="200" t="s">
        <v>1054</v>
      </c>
      <c r="D155" s="433" t="s">
        <v>1055</v>
      </c>
      <c r="E155" s="200" t="s">
        <v>1037</v>
      </c>
      <c r="F155" s="432">
        <f>'MF Unit Material'!Y314</f>
        <v>0</v>
      </c>
      <c r="G155" s="431">
        <f>'MF Unit Material'!Z314</f>
        <v>123</v>
      </c>
      <c r="H155" s="158">
        <f>'MF Unit Material'!AA314</f>
        <v>0</v>
      </c>
      <c r="I155" s="430">
        <f t="shared" si="8"/>
        <v>0</v>
      </c>
      <c r="J155" s="429">
        <f t="shared" si="6"/>
        <v>0</v>
      </c>
      <c r="K155" s="428">
        <f t="shared" si="7"/>
        <v>0</v>
      </c>
      <c r="L155" s="427"/>
      <c r="M155" s="426"/>
      <c r="N155" s="426"/>
      <c r="O155" s="425"/>
      <c r="P155" s="424"/>
      <c r="Q155" s="424"/>
      <c r="R155" s="425"/>
      <c r="S155" s="426"/>
      <c r="T155" s="426"/>
      <c r="U155" s="425"/>
      <c r="V155" s="424"/>
      <c r="W155" s="424"/>
      <c r="X155" s="425"/>
      <c r="Y155" s="426"/>
      <c r="Z155" s="426"/>
      <c r="AA155" s="425"/>
      <c r="AB155" s="424"/>
      <c r="AC155" s="424"/>
      <c r="AD155" s="425"/>
      <c r="AE155" s="426"/>
      <c r="AF155" s="426"/>
      <c r="AG155" s="425"/>
      <c r="AH155" s="424"/>
      <c r="AI155" s="424"/>
      <c r="AJ155" s="425"/>
      <c r="AK155" s="426"/>
      <c r="AL155" s="426"/>
      <c r="AM155" s="425"/>
      <c r="AN155" s="424"/>
      <c r="AO155" s="424"/>
      <c r="AP155" s="425"/>
      <c r="AQ155" s="426"/>
      <c r="AR155" s="426"/>
      <c r="AS155" s="425"/>
      <c r="AT155" s="424"/>
      <c r="AU155" s="424"/>
      <c r="AV155" s="425"/>
      <c r="AW155" s="426"/>
      <c r="AX155" s="426"/>
      <c r="AY155" s="425"/>
      <c r="AZ155" s="424"/>
      <c r="BA155" s="424"/>
      <c r="BB155" s="425"/>
      <c r="BC155" s="426"/>
      <c r="BD155" s="426"/>
      <c r="BE155" s="425"/>
      <c r="BF155" s="424"/>
      <c r="BG155" s="424"/>
      <c r="BH155" s="425"/>
      <c r="BI155" s="426"/>
      <c r="BJ155" s="426"/>
      <c r="BK155" s="425"/>
      <c r="BL155" s="424"/>
      <c r="BM155" s="424"/>
      <c r="BN155" s="425"/>
      <c r="BO155" s="426"/>
      <c r="BP155" s="426"/>
      <c r="BQ155" s="425"/>
      <c r="BR155" s="424"/>
      <c r="BS155" s="424"/>
      <c r="BT155" s="425"/>
      <c r="BU155" s="426"/>
      <c r="BV155" s="426"/>
      <c r="BW155" s="425"/>
      <c r="BX155" s="424"/>
      <c r="BY155" s="424"/>
      <c r="BZ155" s="425"/>
      <c r="CA155" s="426"/>
      <c r="CB155" s="426"/>
      <c r="CC155" s="425"/>
      <c r="CD155" s="424"/>
      <c r="CE155" s="424"/>
      <c r="CF155" s="425"/>
      <c r="CG155" s="426"/>
      <c r="CH155" s="426"/>
      <c r="CI155" s="425"/>
      <c r="CJ155" s="424"/>
      <c r="CK155" s="424"/>
      <c r="CL155" s="425"/>
      <c r="CM155" s="426"/>
      <c r="CN155" s="426"/>
      <c r="CO155" s="425"/>
      <c r="CP155" s="424"/>
      <c r="CQ155" s="424"/>
      <c r="CR155" s="425"/>
      <c r="CS155" s="426"/>
      <c r="CT155" s="426"/>
      <c r="CU155" s="425"/>
      <c r="CV155" s="424"/>
      <c r="CW155" s="424"/>
      <c r="CX155" s="425"/>
      <c r="CY155" s="426"/>
      <c r="CZ155" s="426"/>
      <c r="DA155" s="425"/>
      <c r="DB155" s="424"/>
      <c r="DC155" s="424"/>
      <c r="DD155" s="425"/>
      <c r="DE155" s="426"/>
      <c r="DF155" s="426"/>
      <c r="DG155" s="425"/>
      <c r="DH155" s="424"/>
      <c r="DI155" s="424"/>
      <c r="DJ155" s="425"/>
      <c r="DK155" s="426"/>
      <c r="DL155" s="426"/>
      <c r="DM155" s="425"/>
      <c r="DN155" s="424"/>
      <c r="DO155" s="424"/>
      <c r="DP155" s="425"/>
      <c r="DQ155" s="426"/>
      <c r="DR155" s="426"/>
      <c r="DS155" s="425"/>
      <c r="DT155" s="424"/>
      <c r="DU155" s="424"/>
      <c r="DV155" s="425"/>
      <c r="DW155" s="426"/>
      <c r="DX155" s="426"/>
      <c r="DY155" s="425"/>
      <c r="DZ155" s="424"/>
      <c r="EA155" s="424"/>
    </row>
    <row r="156" spans="3:131">
      <c r="C156" s="452" t="s">
        <v>1056</v>
      </c>
      <c r="D156" s="453" t="s">
        <v>1057</v>
      </c>
      <c r="E156" s="452" t="s">
        <v>1037</v>
      </c>
      <c r="F156" s="451">
        <f>'MF Unit Material'!Y315</f>
        <v>0</v>
      </c>
      <c r="G156" s="421">
        <f>'MF Unit Material'!Z315</f>
        <v>153</v>
      </c>
      <c r="H156" s="450">
        <f>'MF Unit Material'!AA315</f>
        <v>0</v>
      </c>
      <c r="I156" s="430">
        <f t="shared" si="8"/>
        <v>0</v>
      </c>
      <c r="J156" s="429">
        <f t="shared" si="6"/>
        <v>0</v>
      </c>
      <c r="K156" s="428">
        <f t="shared" si="7"/>
        <v>0</v>
      </c>
      <c r="L156" s="427"/>
      <c r="M156" s="426"/>
      <c r="N156" s="426"/>
      <c r="O156" s="425"/>
      <c r="P156" s="424"/>
      <c r="Q156" s="424"/>
      <c r="R156" s="425"/>
      <c r="S156" s="426"/>
      <c r="T156" s="426"/>
      <c r="U156" s="425"/>
      <c r="V156" s="424"/>
      <c r="W156" s="424"/>
      <c r="X156" s="425"/>
      <c r="Y156" s="426"/>
      <c r="Z156" s="426"/>
      <c r="AA156" s="425"/>
      <c r="AB156" s="424"/>
      <c r="AC156" s="424"/>
      <c r="AD156" s="425"/>
      <c r="AE156" s="426"/>
      <c r="AF156" s="426"/>
      <c r="AG156" s="425"/>
      <c r="AH156" s="424"/>
      <c r="AI156" s="424"/>
      <c r="AJ156" s="425"/>
      <c r="AK156" s="426"/>
      <c r="AL156" s="426"/>
      <c r="AM156" s="425"/>
      <c r="AN156" s="424"/>
      <c r="AO156" s="424"/>
      <c r="AP156" s="425"/>
      <c r="AQ156" s="426"/>
      <c r="AR156" s="426"/>
      <c r="AS156" s="425"/>
      <c r="AT156" s="424"/>
      <c r="AU156" s="424"/>
      <c r="AV156" s="425"/>
      <c r="AW156" s="426"/>
      <c r="AX156" s="426"/>
      <c r="AY156" s="425"/>
      <c r="AZ156" s="424"/>
      <c r="BA156" s="424"/>
      <c r="BB156" s="425"/>
      <c r="BC156" s="426"/>
      <c r="BD156" s="426"/>
      <c r="BE156" s="425"/>
      <c r="BF156" s="424"/>
      <c r="BG156" s="424"/>
      <c r="BH156" s="425"/>
      <c r="BI156" s="426"/>
      <c r="BJ156" s="426"/>
      <c r="BK156" s="425"/>
      <c r="BL156" s="424"/>
      <c r="BM156" s="424"/>
      <c r="BN156" s="425"/>
      <c r="BO156" s="426"/>
      <c r="BP156" s="426"/>
      <c r="BQ156" s="425"/>
      <c r="BR156" s="424"/>
      <c r="BS156" s="424"/>
      <c r="BT156" s="425"/>
      <c r="BU156" s="426"/>
      <c r="BV156" s="426"/>
      <c r="BW156" s="425"/>
      <c r="BX156" s="424"/>
      <c r="BY156" s="424"/>
      <c r="BZ156" s="425"/>
      <c r="CA156" s="426"/>
      <c r="CB156" s="426"/>
      <c r="CC156" s="425"/>
      <c r="CD156" s="424"/>
      <c r="CE156" s="424"/>
      <c r="CF156" s="425"/>
      <c r="CG156" s="426"/>
      <c r="CH156" s="426"/>
      <c r="CI156" s="425"/>
      <c r="CJ156" s="424"/>
      <c r="CK156" s="424"/>
      <c r="CL156" s="425"/>
      <c r="CM156" s="426"/>
      <c r="CN156" s="426"/>
      <c r="CO156" s="425"/>
      <c r="CP156" s="424"/>
      <c r="CQ156" s="424"/>
      <c r="CR156" s="425"/>
      <c r="CS156" s="426"/>
      <c r="CT156" s="426"/>
      <c r="CU156" s="425"/>
      <c r="CV156" s="424"/>
      <c r="CW156" s="424"/>
      <c r="CX156" s="425"/>
      <c r="CY156" s="426"/>
      <c r="CZ156" s="426"/>
      <c r="DA156" s="425"/>
      <c r="DB156" s="424"/>
      <c r="DC156" s="424"/>
      <c r="DD156" s="425"/>
      <c r="DE156" s="426"/>
      <c r="DF156" s="426"/>
      <c r="DG156" s="425"/>
      <c r="DH156" s="424"/>
      <c r="DI156" s="424"/>
      <c r="DJ156" s="425"/>
      <c r="DK156" s="426"/>
      <c r="DL156" s="426"/>
      <c r="DM156" s="425"/>
      <c r="DN156" s="424"/>
      <c r="DO156" s="424"/>
      <c r="DP156" s="425"/>
      <c r="DQ156" s="426"/>
      <c r="DR156" s="426"/>
      <c r="DS156" s="425"/>
      <c r="DT156" s="424"/>
      <c r="DU156" s="424"/>
      <c r="DV156" s="425"/>
      <c r="DW156" s="426"/>
      <c r="DX156" s="426"/>
      <c r="DY156" s="425"/>
      <c r="DZ156" s="424"/>
      <c r="EA156" s="424"/>
    </row>
    <row r="157" spans="3:131">
      <c r="C157" s="423" t="s">
        <v>988</v>
      </c>
      <c r="D157" s="101"/>
      <c r="E157" s="447" t="s">
        <v>961</v>
      </c>
      <c r="F157" s="422">
        <f>'MF Unit Material'!Y319</f>
        <v>735.51600000000008</v>
      </c>
      <c r="G157" s="421">
        <f>'MF Unit Material'!Z319</f>
        <v>0</v>
      </c>
      <c r="H157" s="420">
        <f>'MF Unit Material'!AA319</f>
        <v>32673.09599999999</v>
      </c>
      <c r="I157" s="429"/>
      <c r="J157" s="429">
        <f t="shared" si="6"/>
        <v>0</v>
      </c>
      <c r="K157" s="428">
        <f t="shared" si="7"/>
        <v>0</v>
      </c>
      <c r="L157" s="427"/>
      <c r="M157" s="426"/>
      <c r="N157" s="426"/>
      <c r="O157" s="425"/>
      <c r="P157" s="424"/>
      <c r="Q157" s="424"/>
      <c r="R157" s="425"/>
      <c r="S157" s="426"/>
      <c r="T157" s="426"/>
      <c r="U157" s="425"/>
      <c r="V157" s="424"/>
      <c r="W157" s="424"/>
      <c r="X157" s="425"/>
      <c r="Y157" s="426"/>
      <c r="Z157" s="426"/>
      <c r="AA157" s="425"/>
      <c r="AB157" s="424"/>
      <c r="AC157" s="424"/>
      <c r="AD157" s="425"/>
      <c r="AE157" s="426"/>
      <c r="AF157" s="426"/>
      <c r="AG157" s="425"/>
      <c r="AH157" s="424"/>
      <c r="AI157" s="424"/>
      <c r="AJ157" s="425"/>
      <c r="AK157" s="426"/>
      <c r="AL157" s="426"/>
      <c r="AM157" s="425"/>
      <c r="AN157" s="424"/>
      <c r="AO157" s="424"/>
      <c r="AP157" s="425"/>
      <c r="AQ157" s="426"/>
      <c r="AR157" s="426"/>
      <c r="AS157" s="425"/>
      <c r="AT157" s="424"/>
      <c r="AU157" s="424"/>
      <c r="AV157" s="425"/>
      <c r="AW157" s="426"/>
      <c r="AX157" s="426"/>
      <c r="AY157" s="425"/>
      <c r="AZ157" s="424"/>
      <c r="BA157" s="424"/>
      <c r="BB157" s="425"/>
      <c r="BC157" s="426"/>
      <c r="BD157" s="426"/>
      <c r="BE157" s="425"/>
      <c r="BF157" s="424"/>
      <c r="BG157" s="424"/>
      <c r="BH157" s="425"/>
      <c r="BI157" s="426"/>
      <c r="BJ157" s="426"/>
      <c r="BK157" s="425"/>
      <c r="BL157" s="424"/>
      <c r="BM157" s="424"/>
      <c r="BN157" s="425"/>
      <c r="BO157" s="426"/>
      <c r="BP157" s="426"/>
      <c r="BQ157" s="425"/>
      <c r="BR157" s="424"/>
      <c r="BS157" s="424"/>
      <c r="BT157" s="425"/>
      <c r="BU157" s="426"/>
      <c r="BV157" s="426"/>
      <c r="BW157" s="425"/>
      <c r="BX157" s="424"/>
      <c r="BY157" s="424"/>
      <c r="BZ157" s="425"/>
      <c r="CA157" s="426"/>
      <c r="CB157" s="426"/>
      <c r="CC157" s="425"/>
      <c r="CD157" s="424"/>
      <c r="CE157" s="424"/>
      <c r="CF157" s="425"/>
      <c r="CG157" s="426"/>
      <c r="CH157" s="426"/>
      <c r="CI157" s="425"/>
      <c r="CJ157" s="424"/>
      <c r="CK157" s="424"/>
      <c r="CL157" s="425"/>
      <c r="CM157" s="426"/>
      <c r="CN157" s="426"/>
      <c r="CO157" s="425"/>
      <c r="CP157" s="424"/>
      <c r="CQ157" s="424"/>
      <c r="CR157" s="425"/>
      <c r="CS157" s="426"/>
      <c r="CT157" s="426"/>
      <c r="CU157" s="425"/>
      <c r="CV157" s="424"/>
      <c r="CW157" s="424"/>
      <c r="CX157" s="425"/>
      <c r="CY157" s="426"/>
      <c r="CZ157" s="426"/>
      <c r="DA157" s="425"/>
      <c r="DB157" s="424"/>
      <c r="DC157" s="424"/>
      <c r="DD157" s="425"/>
      <c r="DE157" s="426"/>
      <c r="DF157" s="426"/>
      <c r="DG157" s="425"/>
      <c r="DH157" s="424"/>
      <c r="DI157" s="424"/>
      <c r="DJ157" s="425"/>
      <c r="DK157" s="426"/>
      <c r="DL157" s="426"/>
      <c r="DM157" s="425"/>
      <c r="DN157" s="424"/>
      <c r="DO157" s="424"/>
      <c r="DP157" s="425"/>
      <c r="DQ157" s="426"/>
      <c r="DR157" s="426"/>
      <c r="DS157" s="425"/>
      <c r="DT157" s="424"/>
      <c r="DU157" s="424"/>
      <c r="DV157" s="425"/>
      <c r="DW157" s="426"/>
      <c r="DX157" s="426"/>
      <c r="DY157" s="425"/>
      <c r="DZ157" s="424"/>
      <c r="EA157" s="424"/>
    </row>
    <row r="158" spans="3:131">
      <c r="C158" s="448" t="s">
        <v>1035</v>
      </c>
      <c r="D158" s="449" t="str">
        <f t="shared" ref="D158:D168" si="9">D146</f>
        <v>4</v>
      </c>
      <c r="E158" s="448" t="s">
        <v>1058</v>
      </c>
      <c r="F158" s="432">
        <f>'MF Unit Material'!Y320</f>
        <v>1.032</v>
      </c>
      <c r="G158" s="431">
        <f>'MF Unit Material'!Z320</f>
        <v>33.6</v>
      </c>
      <c r="H158" s="158">
        <f>'MF Unit Material'!AA320</f>
        <v>34.675200000000004</v>
      </c>
      <c r="I158" s="430">
        <f t="shared" ref="I158:I168" si="10">F158-J158</f>
        <v>1.032</v>
      </c>
      <c r="J158" s="429">
        <f t="shared" si="6"/>
        <v>0</v>
      </c>
      <c r="K158" s="428">
        <f t="shared" si="7"/>
        <v>0</v>
      </c>
      <c r="L158" s="427"/>
      <c r="M158" s="426"/>
      <c r="N158" s="426"/>
      <c r="O158" s="425"/>
      <c r="P158" s="424"/>
      <c r="Q158" s="424"/>
      <c r="R158" s="425"/>
      <c r="S158" s="426"/>
      <c r="T158" s="426"/>
      <c r="U158" s="425"/>
      <c r="V158" s="424"/>
      <c r="W158" s="424"/>
      <c r="X158" s="425"/>
      <c r="Y158" s="426"/>
      <c r="Z158" s="426"/>
      <c r="AA158" s="425"/>
      <c r="AB158" s="424"/>
      <c r="AC158" s="424"/>
      <c r="AD158" s="425"/>
      <c r="AE158" s="426"/>
      <c r="AF158" s="426"/>
      <c r="AG158" s="425"/>
      <c r="AH158" s="424"/>
      <c r="AI158" s="424"/>
      <c r="AJ158" s="425"/>
      <c r="AK158" s="426"/>
      <c r="AL158" s="426"/>
      <c r="AM158" s="425"/>
      <c r="AN158" s="424"/>
      <c r="AO158" s="424"/>
      <c r="AP158" s="425"/>
      <c r="AQ158" s="426"/>
      <c r="AR158" s="426"/>
      <c r="AS158" s="425"/>
      <c r="AT158" s="424"/>
      <c r="AU158" s="424"/>
      <c r="AV158" s="425"/>
      <c r="AW158" s="426"/>
      <c r="AX158" s="426"/>
      <c r="AY158" s="425"/>
      <c r="AZ158" s="424"/>
      <c r="BA158" s="424"/>
      <c r="BB158" s="425"/>
      <c r="BC158" s="426"/>
      <c r="BD158" s="426"/>
      <c r="BE158" s="425"/>
      <c r="BF158" s="424"/>
      <c r="BG158" s="424"/>
      <c r="BH158" s="425"/>
      <c r="BI158" s="426"/>
      <c r="BJ158" s="426"/>
      <c r="BK158" s="425"/>
      <c r="BL158" s="424"/>
      <c r="BM158" s="424"/>
      <c r="BN158" s="425"/>
      <c r="BO158" s="426"/>
      <c r="BP158" s="426"/>
      <c r="BQ158" s="425"/>
      <c r="BR158" s="424"/>
      <c r="BS158" s="424"/>
      <c r="BT158" s="425"/>
      <c r="BU158" s="426"/>
      <c r="BV158" s="426"/>
      <c r="BW158" s="425"/>
      <c r="BX158" s="424"/>
      <c r="BY158" s="424"/>
      <c r="BZ158" s="425"/>
      <c r="CA158" s="426"/>
      <c r="CB158" s="426"/>
      <c r="CC158" s="425"/>
      <c r="CD158" s="424"/>
      <c r="CE158" s="424"/>
      <c r="CF158" s="425"/>
      <c r="CG158" s="426"/>
      <c r="CH158" s="426"/>
      <c r="CI158" s="425"/>
      <c r="CJ158" s="424"/>
      <c r="CK158" s="424"/>
      <c r="CL158" s="425"/>
      <c r="CM158" s="426"/>
      <c r="CN158" s="426"/>
      <c r="CO158" s="425"/>
      <c r="CP158" s="424"/>
      <c r="CQ158" s="424"/>
      <c r="CR158" s="425"/>
      <c r="CS158" s="426"/>
      <c r="CT158" s="426"/>
      <c r="CU158" s="425"/>
      <c r="CV158" s="424"/>
      <c r="CW158" s="424"/>
      <c r="CX158" s="425"/>
      <c r="CY158" s="426"/>
      <c r="CZ158" s="426"/>
      <c r="DA158" s="425"/>
      <c r="DB158" s="424"/>
      <c r="DC158" s="424"/>
      <c r="DD158" s="425"/>
      <c r="DE158" s="426"/>
      <c r="DF158" s="426"/>
      <c r="DG158" s="425"/>
      <c r="DH158" s="424"/>
      <c r="DI158" s="424"/>
      <c r="DJ158" s="425"/>
      <c r="DK158" s="426"/>
      <c r="DL158" s="426"/>
      <c r="DM158" s="425"/>
      <c r="DN158" s="424"/>
      <c r="DO158" s="424"/>
      <c r="DP158" s="425"/>
      <c r="DQ158" s="426"/>
      <c r="DR158" s="426"/>
      <c r="DS158" s="425"/>
      <c r="DT158" s="424"/>
      <c r="DU158" s="424"/>
      <c r="DV158" s="425"/>
      <c r="DW158" s="426"/>
      <c r="DX158" s="426"/>
      <c r="DY158" s="425"/>
      <c r="DZ158" s="424"/>
      <c r="EA158" s="424"/>
    </row>
    <row r="159" spans="3:131">
      <c r="C159" s="200" t="s">
        <v>1038</v>
      </c>
      <c r="D159" s="433" t="str">
        <f t="shared" si="9"/>
        <v>5</v>
      </c>
      <c r="E159" s="200" t="s">
        <v>1058</v>
      </c>
      <c r="F159" s="432">
        <f>'MF Unit Material'!Y321</f>
        <v>37.703999999999994</v>
      </c>
      <c r="G159" s="431">
        <f>'MF Unit Material'!Z321</f>
        <v>42</v>
      </c>
      <c r="H159" s="158">
        <f>'MF Unit Material'!AA321</f>
        <v>1583.5679999999998</v>
      </c>
      <c r="I159" s="430">
        <f t="shared" si="10"/>
        <v>37.703999999999994</v>
      </c>
      <c r="J159" s="429">
        <f t="shared" si="6"/>
        <v>0</v>
      </c>
      <c r="K159" s="428">
        <f t="shared" si="7"/>
        <v>0</v>
      </c>
      <c r="L159" s="427"/>
      <c r="M159" s="426"/>
      <c r="N159" s="426"/>
      <c r="O159" s="425"/>
      <c r="P159" s="424"/>
      <c r="Q159" s="424"/>
      <c r="R159" s="425"/>
      <c r="S159" s="426"/>
      <c r="T159" s="426"/>
      <c r="U159" s="425"/>
      <c r="V159" s="424"/>
      <c r="W159" s="424"/>
      <c r="X159" s="425"/>
      <c r="Y159" s="426"/>
      <c r="Z159" s="426"/>
      <c r="AA159" s="425"/>
      <c r="AB159" s="424"/>
      <c r="AC159" s="424"/>
      <c r="AD159" s="425"/>
      <c r="AE159" s="426"/>
      <c r="AF159" s="426"/>
      <c r="AG159" s="425"/>
      <c r="AH159" s="424"/>
      <c r="AI159" s="424"/>
      <c r="AJ159" s="425"/>
      <c r="AK159" s="426"/>
      <c r="AL159" s="426"/>
      <c r="AM159" s="425"/>
      <c r="AN159" s="424"/>
      <c r="AO159" s="424"/>
      <c r="AP159" s="425"/>
      <c r="AQ159" s="426"/>
      <c r="AR159" s="426"/>
      <c r="AS159" s="425"/>
      <c r="AT159" s="424"/>
      <c r="AU159" s="424"/>
      <c r="AV159" s="425"/>
      <c r="AW159" s="426"/>
      <c r="AX159" s="426"/>
      <c r="AY159" s="425"/>
      <c r="AZ159" s="424"/>
      <c r="BA159" s="424"/>
      <c r="BB159" s="425"/>
      <c r="BC159" s="426"/>
      <c r="BD159" s="426"/>
      <c r="BE159" s="425"/>
      <c r="BF159" s="424"/>
      <c r="BG159" s="424"/>
      <c r="BH159" s="425"/>
      <c r="BI159" s="426"/>
      <c r="BJ159" s="426"/>
      <c r="BK159" s="425"/>
      <c r="BL159" s="424"/>
      <c r="BM159" s="424"/>
      <c r="BN159" s="425"/>
      <c r="BO159" s="426"/>
      <c r="BP159" s="426"/>
      <c r="BQ159" s="425"/>
      <c r="BR159" s="424"/>
      <c r="BS159" s="424"/>
      <c r="BT159" s="425"/>
      <c r="BU159" s="426"/>
      <c r="BV159" s="426"/>
      <c r="BW159" s="425"/>
      <c r="BX159" s="424"/>
      <c r="BY159" s="424"/>
      <c r="BZ159" s="425"/>
      <c r="CA159" s="426"/>
      <c r="CB159" s="426"/>
      <c r="CC159" s="425"/>
      <c r="CD159" s="424"/>
      <c r="CE159" s="424"/>
      <c r="CF159" s="425"/>
      <c r="CG159" s="426"/>
      <c r="CH159" s="426"/>
      <c r="CI159" s="425"/>
      <c r="CJ159" s="424"/>
      <c r="CK159" s="424"/>
      <c r="CL159" s="425"/>
      <c r="CM159" s="426"/>
      <c r="CN159" s="426"/>
      <c r="CO159" s="425"/>
      <c r="CP159" s="424"/>
      <c r="CQ159" s="424"/>
      <c r="CR159" s="425"/>
      <c r="CS159" s="426"/>
      <c r="CT159" s="426"/>
      <c r="CU159" s="425"/>
      <c r="CV159" s="424"/>
      <c r="CW159" s="424"/>
      <c r="CX159" s="425"/>
      <c r="CY159" s="426"/>
      <c r="CZ159" s="426"/>
      <c r="DA159" s="425"/>
      <c r="DB159" s="424"/>
      <c r="DC159" s="424"/>
      <c r="DD159" s="425"/>
      <c r="DE159" s="426"/>
      <c r="DF159" s="426"/>
      <c r="DG159" s="425"/>
      <c r="DH159" s="424"/>
      <c r="DI159" s="424"/>
      <c r="DJ159" s="425"/>
      <c r="DK159" s="426"/>
      <c r="DL159" s="426"/>
      <c r="DM159" s="425"/>
      <c r="DN159" s="424"/>
      <c r="DO159" s="424"/>
      <c r="DP159" s="425"/>
      <c r="DQ159" s="426"/>
      <c r="DR159" s="426"/>
      <c r="DS159" s="425"/>
      <c r="DT159" s="424"/>
      <c r="DU159" s="424"/>
      <c r="DV159" s="425"/>
      <c r="DW159" s="426"/>
      <c r="DX159" s="426"/>
      <c r="DY159" s="425"/>
      <c r="DZ159" s="424"/>
      <c r="EA159" s="424"/>
    </row>
    <row r="160" spans="3:131">
      <c r="C160" s="200" t="s">
        <v>1040</v>
      </c>
      <c r="D160" s="433" t="str">
        <f t="shared" si="9"/>
        <v>6</v>
      </c>
      <c r="E160" s="200" t="s">
        <v>1058</v>
      </c>
      <c r="F160" s="432">
        <f>'MF Unit Material'!Y322</f>
        <v>11.04</v>
      </c>
      <c r="G160" s="431">
        <f>'MF Unit Material'!Z322</f>
        <v>42</v>
      </c>
      <c r="H160" s="158">
        <f>'MF Unit Material'!AA322</f>
        <v>463.67999999999995</v>
      </c>
      <c r="I160" s="430">
        <f t="shared" si="10"/>
        <v>11.04</v>
      </c>
      <c r="J160" s="429">
        <f t="shared" si="6"/>
        <v>0</v>
      </c>
      <c r="K160" s="428">
        <f t="shared" si="7"/>
        <v>0</v>
      </c>
      <c r="L160" s="427"/>
      <c r="M160" s="426"/>
      <c r="N160" s="426"/>
      <c r="O160" s="425"/>
      <c r="P160" s="424"/>
      <c r="Q160" s="424"/>
      <c r="R160" s="425"/>
      <c r="S160" s="426"/>
      <c r="T160" s="426"/>
      <c r="U160" s="425"/>
      <c r="V160" s="424"/>
      <c r="W160" s="424"/>
      <c r="X160" s="425"/>
      <c r="Y160" s="426"/>
      <c r="Z160" s="426"/>
      <c r="AA160" s="425"/>
      <c r="AB160" s="424"/>
      <c r="AC160" s="424"/>
      <c r="AD160" s="425"/>
      <c r="AE160" s="426"/>
      <c r="AF160" s="426"/>
      <c r="AG160" s="425"/>
      <c r="AH160" s="424"/>
      <c r="AI160" s="424"/>
      <c r="AJ160" s="425"/>
      <c r="AK160" s="426"/>
      <c r="AL160" s="426"/>
      <c r="AM160" s="425"/>
      <c r="AN160" s="424"/>
      <c r="AO160" s="424"/>
      <c r="AP160" s="425"/>
      <c r="AQ160" s="426"/>
      <c r="AR160" s="426"/>
      <c r="AS160" s="425"/>
      <c r="AT160" s="424"/>
      <c r="AU160" s="424"/>
      <c r="AV160" s="425"/>
      <c r="AW160" s="426"/>
      <c r="AX160" s="426"/>
      <c r="AY160" s="425"/>
      <c r="AZ160" s="424"/>
      <c r="BA160" s="424"/>
      <c r="BB160" s="425"/>
      <c r="BC160" s="426"/>
      <c r="BD160" s="426"/>
      <c r="BE160" s="425"/>
      <c r="BF160" s="424"/>
      <c r="BG160" s="424"/>
      <c r="BH160" s="425"/>
      <c r="BI160" s="426"/>
      <c r="BJ160" s="426"/>
      <c r="BK160" s="425"/>
      <c r="BL160" s="424"/>
      <c r="BM160" s="424"/>
      <c r="BN160" s="425"/>
      <c r="BO160" s="426"/>
      <c r="BP160" s="426"/>
      <c r="BQ160" s="425"/>
      <c r="BR160" s="424"/>
      <c r="BS160" s="424"/>
      <c r="BT160" s="425"/>
      <c r="BU160" s="426"/>
      <c r="BV160" s="426"/>
      <c r="BW160" s="425"/>
      <c r="BX160" s="424"/>
      <c r="BY160" s="424"/>
      <c r="BZ160" s="425"/>
      <c r="CA160" s="426"/>
      <c r="CB160" s="426"/>
      <c r="CC160" s="425"/>
      <c r="CD160" s="424"/>
      <c r="CE160" s="424"/>
      <c r="CF160" s="425"/>
      <c r="CG160" s="426"/>
      <c r="CH160" s="426"/>
      <c r="CI160" s="425"/>
      <c r="CJ160" s="424"/>
      <c r="CK160" s="424"/>
      <c r="CL160" s="425"/>
      <c r="CM160" s="426"/>
      <c r="CN160" s="426"/>
      <c r="CO160" s="425"/>
      <c r="CP160" s="424"/>
      <c r="CQ160" s="424"/>
      <c r="CR160" s="425"/>
      <c r="CS160" s="426"/>
      <c r="CT160" s="426"/>
      <c r="CU160" s="425"/>
      <c r="CV160" s="424"/>
      <c r="CW160" s="424"/>
      <c r="CX160" s="425"/>
      <c r="CY160" s="426"/>
      <c r="CZ160" s="426"/>
      <c r="DA160" s="425"/>
      <c r="DB160" s="424"/>
      <c r="DC160" s="424"/>
      <c r="DD160" s="425"/>
      <c r="DE160" s="426"/>
      <c r="DF160" s="426"/>
      <c r="DG160" s="425"/>
      <c r="DH160" s="424"/>
      <c r="DI160" s="424"/>
      <c r="DJ160" s="425"/>
      <c r="DK160" s="426"/>
      <c r="DL160" s="426"/>
      <c r="DM160" s="425"/>
      <c r="DN160" s="424"/>
      <c r="DO160" s="424"/>
      <c r="DP160" s="425"/>
      <c r="DQ160" s="426"/>
      <c r="DR160" s="426"/>
      <c r="DS160" s="425"/>
      <c r="DT160" s="424"/>
      <c r="DU160" s="424"/>
      <c r="DV160" s="425"/>
      <c r="DW160" s="426"/>
      <c r="DX160" s="426"/>
      <c r="DY160" s="425"/>
      <c r="DZ160" s="424"/>
      <c r="EA160" s="424"/>
    </row>
    <row r="161" spans="3:131">
      <c r="C161" s="200" t="s">
        <v>1042</v>
      </c>
      <c r="D161" s="433" t="str">
        <f t="shared" si="9"/>
        <v>7</v>
      </c>
      <c r="E161" s="200" t="s">
        <v>1058</v>
      </c>
      <c r="F161" s="432">
        <f>'MF Unit Material'!Y323</f>
        <v>90.767999999999986</v>
      </c>
      <c r="G161" s="431">
        <f>'MF Unit Material'!Z323</f>
        <v>54.3</v>
      </c>
      <c r="H161" s="158">
        <f>'MF Unit Material'!AA323</f>
        <v>4928.7023999999992</v>
      </c>
      <c r="I161" s="430">
        <f t="shared" si="10"/>
        <v>90.767999999999986</v>
      </c>
      <c r="J161" s="429">
        <f t="shared" si="6"/>
        <v>0</v>
      </c>
      <c r="K161" s="428">
        <f t="shared" si="7"/>
        <v>0</v>
      </c>
      <c r="L161" s="427"/>
      <c r="M161" s="426"/>
      <c r="N161" s="426"/>
      <c r="O161" s="425"/>
      <c r="P161" s="424"/>
      <c r="Q161" s="424"/>
      <c r="R161" s="425"/>
      <c r="S161" s="426"/>
      <c r="T161" s="426"/>
      <c r="U161" s="425"/>
      <c r="V161" s="424"/>
      <c r="W161" s="424"/>
      <c r="X161" s="425"/>
      <c r="Y161" s="426"/>
      <c r="Z161" s="426"/>
      <c r="AA161" s="425"/>
      <c r="AB161" s="424"/>
      <c r="AC161" s="424"/>
      <c r="AD161" s="425"/>
      <c r="AE161" s="426"/>
      <c r="AF161" s="426"/>
      <c r="AG161" s="425"/>
      <c r="AH161" s="424"/>
      <c r="AI161" s="424"/>
      <c r="AJ161" s="425"/>
      <c r="AK161" s="426"/>
      <c r="AL161" s="426"/>
      <c r="AM161" s="425"/>
      <c r="AN161" s="424"/>
      <c r="AO161" s="424"/>
      <c r="AP161" s="425"/>
      <c r="AQ161" s="426"/>
      <c r="AR161" s="426"/>
      <c r="AS161" s="425"/>
      <c r="AT161" s="424"/>
      <c r="AU161" s="424"/>
      <c r="AV161" s="425"/>
      <c r="AW161" s="426"/>
      <c r="AX161" s="426"/>
      <c r="AY161" s="425"/>
      <c r="AZ161" s="424"/>
      <c r="BA161" s="424"/>
      <c r="BB161" s="425"/>
      <c r="BC161" s="426"/>
      <c r="BD161" s="426"/>
      <c r="BE161" s="425"/>
      <c r="BF161" s="424"/>
      <c r="BG161" s="424"/>
      <c r="BH161" s="425"/>
      <c r="BI161" s="426"/>
      <c r="BJ161" s="426"/>
      <c r="BK161" s="425"/>
      <c r="BL161" s="424"/>
      <c r="BM161" s="424"/>
      <c r="BN161" s="425"/>
      <c r="BO161" s="426"/>
      <c r="BP161" s="426"/>
      <c r="BQ161" s="425"/>
      <c r="BR161" s="424"/>
      <c r="BS161" s="424"/>
      <c r="BT161" s="425"/>
      <c r="BU161" s="426"/>
      <c r="BV161" s="426"/>
      <c r="BW161" s="425"/>
      <c r="BX161" s="424"/>
      <c r="BY161" s="424"/>
      <c r="BZ161" s="425"/>
      <c r="CA161" s="426"/>
      <c r="CB161" s="426"/>
      <c r="CC161" s="425"/>
      <c r="CD161" s="424"/>
      <c r="CE161" s="424"/>
      <c r="CF161" s="425"/>
      <c r="CG161" s="426"/>
      <c r="CH161" s="426"/>
      <c r="CI161" s="425"/>
      <c r="CJ161" s="424"/>
      <c r="CK161" s="424"/>
      <c r="CL161" s="425"/>
      <c r="CM161" s="426"/>
      <c r="CN161" s="426"/>
      <c r="CO161" s="425"/>
      <c r="CP161" s="424"/>
      <c r="CQ161" s="424"/>
      <c r="CR161" s="425"/>
      <c r="CS161" s="426"/>
      <c r="CT161" s="426"/>
      <c r="CU161" s="425"/>
      <c r="CV161" s="424"/>
      <c r="CW161" s="424"/>
      <c r="CX161" s="425"/>
      <c r="CY161" s="426"/>
      <c r="CZ161" s="426"/>
      <c r="DA161" s="425"/>
      <c r="DB161" s="424"/>
      <c r="DC161" s="424"/>
      <c r="DD161" s="425"/>
      <c r="DE161" s="426"/>
      <c r="DF161" s="426"/>
      <c r="DG161" s="425"/>
      <c r="DH161" s="424"/>
      <c r="DI161" s="424"/>
      <c r="DJ161" s="425"/>
      <c r="DK161" s="426"/>
      <c r="DL161" s="426"/>
      <c r="DM161" s="425"/>
      <c r="DN161" s="424"/>
      <c r="DO161" s="424"/>
      <c r="DP161" s="425"/>
      <c r="DQ161" s="426"/>
      <c r="DR161" s="426"/>
      <c r="DS161" s="425"/>
      <c r="DT161" s="424"/>
      <c r="DU161" s="424"/>
      <c r="DV161" s="425"/>
      <c r="DW161" s="426"/>
      <c r="DX161" s="426"/>
      <c r="DY161" s="425"/>
      <c r="DZ161" s="424"/>
      <c r="EA161" s="424"/>
    </row>
    <row r="162" spans="3:131">
      <c r="C162" s="200" t="s">
        <v>1044</v>
      </c>
      <c r="D162" s="433" t="str">
        <f t="shared" si="9"/>
        <v>8</v>
      </c>
      <c r="E162" s="200" t="s">
        <v>1058</v>
      </c>
      <c r="F162" s="432">
        <f>'MF Unit Material'!Y324</f>
        <v>67.043999999999997</v>
      </c>
      <c r="G162" s="431">
        <f>'MF Unit Material'!Z324</f>
        <v>58.8</v>
      </c>
      <c r="H162" s="158">
        <f>'MF Unit Material'!AA324</f>
        <v>3942.1871999999998</v>
      </c>
      <c r="I162" s="430">
        <f t="shared" si="10"/>
        <v>67.043999999999997</v>
      </c>
      <c r="J162" s="429">
        <f t="shared" si="6"/>
        <v>0</v>
      </c>
      <c r="K162" s="428">
        <f t="shared" si="7"/>
        <v>0</v>
      </c>
      <c r="L162" s="427"/>
      <c r="M162" s="426"/>
      <c r="N162" s="426"/>
      <c r="O162" s="425"/>
      <c r="P162" s="424"/>
      <c r="Q162" s="424"/>
      <c r="R162" s="425"/>
      <c r="S162" s="426"/>
      <c r="T162" s="426"/>
      <c r="U162" s="425"/>
      <c r="V162" s="424"/>
      <c r="W162" s="424"/>
      <c r="X162" s="425"/>
      <c r="Y162" s="426"/>
      <c r="Z162" s="426"/>
      <c r="AA162" s="425"/>
      <c r="AB162" s="424"/>
      <c r="AC162" s="424"/>
      <c r="AD162" s="425"/>
      <c r="AE162" s="426"/>
      <c r="AF162" s="426"/>
      <c r="AG162" s="425"/>
      <c r="AH162" s="424"/>
      <c r="AI162" s="424"/>
      <c r="AJ162" s="425"/>
      <c r="AK162" s="426"/>
      <c r="AL162" s="426"/>
      <c r="AM162" s="425"/>
      <c r="AN162" s="424"/>
      <c r="AO162" s="424"/>
      <c r="AP162" s="425"/>
      <c r="AQ162" s="426"/>
      <c r="AR162" s="426"/>
      <c r="AS162" s="425"/>
      <c r="AT162" s="424"/>
      <c r="AU162" s="424"/>
      <c r="AV162" s="425"/>
      <c r="AW162" s="426"/>
      <c r="AX162" s="426"/>
      <c r="AY162" s="425"/>
      <c r="AZ162" s="424"/>
      <c r="BA162" s="424"/>
      <c r="BB162" s="425"/>
      <c r="BC162" s="426"/>
      <c r="BD162" s="426"/>
      <c r="BE162" s="425"/>
      <c r="BF162" s="424"/>
      <c r="BG162" s="424"/>
      <c r="BH162" s="425"/>
      <c r="BI162" s="426"/>
      <c r="BJ162" s="426"/>
      <c r="BK162" s="425"/>
      <c r="BL162" s="424"/>
      <c r="BM162" s="424"/>
      <c r="BN162" s="425"/>
      <c r="BO162" s="426"/>
      <c r="BP162" s="426"/>
      <c r="BQ162" s="425"/>
      <c r="BR162" s="424"/>
      <c r="BS162" s="424"/>
      <c r="BT162" s="425"/>
      <c r="BU162" s="426"/>
      <c r="BV162" s="426"/>
      <c r="BW162" s="425"/>
      <c r="BX162" s="424"/>
      <c r="BY162" s="424"/>
      <c r="BZ162" s="425"/>
      <c r="CA162" s="426"/>
      <c r="CB162" s="426"/>
      <c r="CC162" s="425"/>
      <c r="CD162" s="424"/>
      <c r="CE162" s="424"/>
      <c r="CF162" s="425"/>
      <c r="CG162" s="426"/>
      <c r="CH162" s="426"/>
      <c r="CI162" s="425"/>
      <c r="CJ162" s="424"/>
      <c r="CK162" s="424"/>
      <c r="CL162" s="425"/>
      <c r="CM162" s="426"/>
      <c r="CN162" s="426"/>
      <c r="CO162" s="425"/>
      <c r="CP162" s="424"/>
      <c r="CQ162" s="424"/>
      <c r="CR162" s="425"/>
      <c r="CS162" s="426"/>
      <c r="CT162" s="426"/>
      <c r="CU162" s="425"/>
      <c r="CV162" s="424"/>
      <c r="CW162" s="424"/>
      <c r="CX162" s="425"/>
      <c r="CY162" s="426"/>
      <c r="CZ162" s="426"/>
      <c r="DA162" s="425"/>
      <c r="DB162" s="424"/>
      <c r="DC162" s="424"/>
      <c r="DD162" s="425"/>
      <c r="DE162" s="426"/>
      <c r="DF162" s="426"/>
      <c r="DG162" s="425"/>
      <c r="DH162" s="424"/>
      <c r="DI162" s="424"/>
      <c r="DJ162" s="425"/>
      <c r="DK162" s="426"/>
      <c r="DL162" s="426"/>
      <c r="DM162" s="425"/>
      <c r="DN162" s="424"/>
      <c r="DO162" s="424"/>
      <c r="DP162" s="425"/>
      <c r="DQ162" s="426"/>
      <c r="DR162" s="426"/>
      <c r="DS162" s="425"/>
      <c r="DT162" s="424"/>
      <c r="DU162" s="424"/>
      <c r="DV162" s="425"/>
      <c r="DW162" s="426"/>
      <c r="DX162" s="426"/>
      <c r="DY162" s="425"/>
      <c r="DZ162" s="424"/>
      <c r="EA162" s="424"/>
    </row>
    <row r="163" spans="3:131">
      <c r="C163" s="200" t="s">
        <v>1046</v>
      </c>
      <c r="D163" s="433" t="str">
        <f t="shared" si="9"/>
        <v>9</v>
      </c>
      <c r="E163" s="200" t="s">
        <v>1058</v>
      </c>
      <c r="F163" s="432">
        <f>'MF Unit Material'!Y325</f>
        <v>26.111999999999998</v>
      </c>
      <c r="G163" s="431">
        <f>'MF Unit Material'!Z325</f>
        <v>56.4</v>
      </c>
      <c r="H163" s="158">
        <f>'MF Unit Material'!AA325</f>
        <v>1472.7167999999999</v>
      </c>
      <c r="I163" s="430">
        <f t="shared" si="10"/>
        <v>26.111999999999998</v>
      </c>
      <c r="J163" s="429">
        <f t="shared" si="6"/>
        <v>0</v>
      </c>
      <c r="K163" s="428">
        <f t="shared" si="7"/>
        <v>0</v>
      </c>
      <c r="L163" s="427"/>
      <c r="M163" s="426"/>
      <c r="N163" s="426"/>
      <c r="O163" s="425"/>
      <c r="P163" s="424"/>
      <c r="Q163" s="424"/>
      <c r="R163" s="425"/>
      <c r="S163" s="426"/>
      <c r="T163" s="426"/>
      <c r="U163" s="425"/>
      <c r="V163" s="424"/>
      <c r="W163" s="424"/>
      <c r="X163" s="425"/>
      <c r="Y163" s="426"/>
      <c r="Z163" s="426"/>
      <c r="AA163" s="425"/>
      <c r="AB163" s="424"/>
      <c r="AC163" s="424"/>
      <c r="AD163" s="425"/>
      <c r="AE163" s="426"/>
      <c r="AF163" s="426"/>
      <c r="AG163" s="425"/>
      <c r="AH163" s="424"/>
      <c r="AI163" s="424"/>
      <c r="AJ163" s="425"/>
      <c r="AK163" s="426"/>
      <c r="AL163" s="426"/>
      <c r="AM163" s="425"/>
      <c r="AN163" s="424"/>
      <c r="AO163" s="424"/>
      <c r="AP163" s="425"/>
      <c r="AQ163" s="426"/>
      <c r="AR163" s="426"/>
      <c r="AS163" s="425"/>
      <c r="AT163" s="424"/>
      <c r="AU163" s="424"/>
      <c r="AV163" s="425"/>
      <c r="AW163" s="426"/>
      <c r="AX163" s="426"/>
      <c r="AY163" s="425"/>
      <c r="AZ163" s="424"/>
      <c r="BA163" s="424"/>
      <c r="BB163" s="425"/>
      <c r="BC163" s="426"/>
      <c r="BD163" s="426"/>
      <c r="BE163" s="425"/>
      <c r="BF163" s="424"/>
      <c r="BG163" s="424"/>
      <c r="BH163" s="425"/>
      <c r="BI163" s="426"/>
      <c r="BJ163" s="426"/>
      <c r="BK163" s="425"/>
      <c r="BL163" s="424"/>
      <c r="BM163" s="424"/>
      <c r="BN163" s="425"/>
      <c r="BO163" s="426"/>
      <c r="BP163" s="426"/>
      <c r="BQ163" s="425"/>
      <c r="BR163" s="424"/>
      <c r="BS163" s="424"/>
      <c r="BT163" s="425"/>
      <c r="BU163" s="426"/>
      <c r="BV163" s="426"/>
      <c r="BW163" s="425"/>
      <c r="BX163" s="424"/>
      <c r="BY163" s="424"/>
      <c r="BZ163" s="425"/>
      <c r="CA163" s="426"/>
      <c r="CB163" s="426"/>
      <c r="CC163" s="425"/>
      <c r="CD163" s="424"/>
      <c r="CE163" s="424"/>
      <c r="CF163" s="425"/>
      <c r="CG163" s="426"/>
      <c r="CH163" s="426"/>
      <c r="CI163" s="425"/>
      <c r="CJ163" s="424"/>
      <c r="CK163" s="424"/>
      <c r="CL163" s="425"/>
      <c r="CM163" s="426"/>
      <c r="CN163" s="426"/>
      <c r="CO163" s="425"/>
      <c r="CP163" s="424"/>
      <c r="CQ163" s="424"/>
      <c r="CR163" s="425"/>
      <c r="CS163" s="426"/>
      <c r="CT163" s="426"/>
      <c r="CU163" s="425"/>
      <c r="CV163" s="424"/>
      <c r="CW163" s="424"/>
      <c r="CX163" s="425"/>
      <c r="CY163" s="426"/>
      <c r="CZ163" s="426"/>
      <c r="DA163" s="425"/>
      <c r="DB163" s="424"/>
      <c r="DC163" s="424"/>
      <c r="DD163" s="425"/>
      <c r="DE163" s="426"/>
      <c r="DF163" s="426"/>
      <c r="DG163" s="425"/>
      <c r="DH163" s="424"/>
      <c r="DI163" s="424"/>
      <c r="DJ163" s="425"/>
      <c r="DK163" s="426"/>
      <c r="DL163" s="426"/>
      <c r="DM163" s="425"/>
      <c r="DN163" s="424"/>
      <c r="DO163" s="424"/>
      <c r="DP163" s="425"/>
      <c r="DQ163" s="426"/>
      <c r="DR163" s="426"/>
      <c r="DS163" s="425"/>
      <c r="DT163" s="424"/>
      <c r="DU163" s="424"/>
      <c r="DV163" s="425"/>
      <c r="DW163" s="426"/>
      <c r="DX163" s="426"/>
      <c r="DY163" s="425"/>
      <c r="DZ163" s="424"/>
      <c r="EA163" s="424"/>
    </row>
    <row r="164" spans="3:131">
      <c r="C164" s="200" t="s">
        <v>1048</v>
      </c>
      <c r="D164" s="433" t="str">
        <f t="shared" si="9"/>
        <v>10</v>
      </c>
      <c r="E164" s="200" t="s">
        <v>1058</v>
      </c>
      <c r="F164" s="432">
        <f>'MF Unit Material'!Y326</f>
        <v>10.992000000000001</v>
      </c>
      <c r="G164" s="431">
        <f>'MF Unit Material'!Z326</f>
        <v>60</v>
      </c>
      <c r="H164" s="158">
        <f>'MF Unit Material'!AA326</f>
        <v>659.5200000000001</v>
      </c>
      <c r="I164" s="430">
        <f t="shared" si="10"/>
        <v>10.992000000000001</v>
      </c>
      <c r="J164" s="429">
        <f t="shared" si="6"/>
        <v>0</v>
      </c>
      <c r="K164" s="428">
        <f t="shared" si="7"/>
        <v>0</v>
      </c>
      <c r="L164" s="427"/>
      <c r="M164" s="426"/>
      <c r="N164" s="426"/>
      <c r="O164" s="425"/>
      <c r="P164" s="424"/>
      <c r="Q164" s="424"/>
      <c r="R164" s="425"/>
      <c r="S164" s="426"/>
      <c r="T164" s="426"/>
      <c r="U164" s="425"/>
      <c r="V164" s="424"/>
      <c r="W164" s="424"/>
      <c r="X164" s="425"/>
      <c r="Y164" s="426"/>
      <c r="Z164" s="426"/>
      <c r="AA164" s="425"/>
      <c r="AB164" s="424"/>
      <c r="AC164" s="424"/>
      <c r="AD164" s="425"/>
      <c r="AE164" s="426"/>
      <c r="AF164" s="426"/>
      <c r="AG164" s="425"/>
      <c r="AH164" s="424"/>
      <c r="AI164" s="424"/>
      <c r="AJ164" s="425"/>
      <c r="AK164" s="426"/>
      <c r="AL164" s="426"/>
      <c r="AM164" s="425"/>
      <c r="AN164" s="424"/>
      <c r="AO164" s="424"/>
      <c r="AP164" s="425"/>
      <c r="AQ164" s="426"/>
      <c r="AR164" s="426"/>
      <c r="AS164" s="425"/>
      <c r="AT164" s="424"/>
      <c r="AU164" s="424"/>
      <c r="AV164" s="425"/>
      <c r="AW164" s="426"/>
      <c r="AX164" s="426"/>
      <c r="AY164" s="425"/>
      <c r="AZ164" s="424"/>
      <c r="BA164" s="424"/>
      <c r="BB164" s="425"/>
      <c r="BC164" s="426"/>
      <c r="BD164" s="426"/>
      <c r="BE164" s="425"/>
      <c r="BF164" s="424"/>
      <c r="BG164" s="424"/>
      <c r="BH164" s="425"/>
      <c r="BI164" s="426"/>
      <c r="BJ164" s="426"/>
      <c r="BK164" s="425"/>
      <c r="BL164" s="424"/>
      <c r="BM164" s="424"/>
      <c r="BN164" s="425"/>
      <c r="BO164" s="426"/>
      <c r="BP164" s="426"/>
      <c r="BQ164" s="425"/>
      <c r="BR164" s="424"/>
      <c r="BS164" s="424"/>
      <c r="BT164" s="425"/>
      <c r="BU164" s="426"/>
      <c r="BV164" s="426"/>
      <c r="BW164" s="425"/>
      <c r="BX164" s="424"/>
      <c r="BY164" s="424"/>
      <c r="BZ164" s="425"/>
      <c r="CA164" s="426"/>
      <c r="CB164" s="426"/>
      <c r="CC164" s="425"/>
      <c r="CD164" s="424"/>
      <c r="CE164" s="424"/>
      <c r="CF164" s="425"/>
      <c r="CG164" s="426"/>
      <c r="CH164" s="426"/>
      <c r="CI164" s="425"/>
      <c r="CJ164" s="424"/>
      <c r="CK164" s="424"/>
      <c r="CL164" s="425"/>
      <c r="CM164" s="426"/>
      <c r="CN164" s="426"/>
      <c r="CO164" s="425"/>
      <c r="CP164" s="424"/>
      <c r="CQ164" s="424"/>
      <c r="CR164" s="425"/>
      <c r="CS164" s="426"/>
      <c r="CT164" s="426"/>
      <c r="CU164" s="425"/>
      <c r="CV164" s="424"/>
      <c r="CW164" s="424"/>
      <c r="CX164" s="425"/>
      <c r="CY164" s="426"/>
      <c r="CZ164" s="426"/>
      <c r="DA164" s="425"/>
      <c r="DB164" s="424"/>
      <c r="DC164" s="424"/>
      <c r="DD164" s="425"/>
      <c r="DE164" s="426"/>
      <c r="DF164" s="426"/>
      <c r="DG164" s="425"/>
      <c r="DH164" s="424"/>
      <c r="DI164" s="424"/>
      <c r="DJ164" s="425"/>
      <c r="DK164" s="426"/>
      <c r="DL164" s="426"/>
      <c r="DM164" s="425"/>
      <c r="DN164" s="424"/>
      <c r="DO164" s="424"/>
      <c r="DP164" s="425"/>
      <c r="DQ164" s="426"/>
      <c r="DR164" s="426"/>
      <c r="DS164" s="425"/>
      <c r="DT164" s="424"/>
      <c r="DU164" s="424"/>
      <c r="DV164" s="425"/>
      <c r="DW164" s="426"/>
      <c r="DX164" s="426"/>
      <c r="DY164" s="425"/>
      <c r="DZ164" s="424"/>
      <c r="EA164" s="424"/>
    </row>
    <row r="165" spans="3:131">
      <c r="C165" s="200" t="s">
        <v>1050</v>
      </c>
      <c r="D165" s="433" t="str">
        <f t="shared" si="9"/>
        <v>12</v>
      </c>
      <c r="E165" s="200" t="s">
        <v>1058</v>
      </c>
      <c r="F165" s="432">
        <f>'MF Unit Material'!Y327</f>
        <v>0.192</v>
      </c>
      <c r="G165" s="431">
        <f>'MF Unit Material'!Z327</f>
        <v>79.2</v>
      </c>
      <c r="H165" s="158">
        <f>'MF Unit Material'!AA327</f>
        <v>15.2064</v>
      </c>
      <c r="I165" s="430">
        <f t="shared" si="10"/>
        <v>0.192</v>
      </c>
      <c r="J165" s="429">
        <f t="shared" si="6"/>
        <v>0</v>
      </c>
      <c r="K165" s="428">
        <f t="shared" si="7"/>
        <v>0</v>
      </c>
      <c r="L165" s="427"/>
      <c r="M165" s="426"/>
      <c r="N165" s="426"/>
      <c r="O165" s="425"/>
      <c r="P165" s="424"/>
      <c r="Q165" s="424"/>
      <c r="R165" s="425"/>
      <c r="S165" s="426"/>
      <c r="T165" s="426"/>
      <c r="U165" s="425"/>
      <c r="V165" s="424"/>
      <c r="W165" s="424"/>
      <c r="X165" s="425"/>
      <c r="Y165" s="426"/>
      <c r="Z165" s="426"/>
      <c r="AA165" s="425"/>
      <c r="AB165" s="424"/>
      <c r="AC165" s="424"/>
      <c r="AD165" s="425"/>
      <c r="AE165" s="426"/>
      <c r="AF165" s="426"/>
      <c r="AG165" s="425"/>
      <c r="AH165" s="424"/>
      <c r="AI165" s="424"/>
      <c r="AJ165" s="425"/>
      <c r="AK165" s="426"/>
      <c r="AL165" s="426"/>
      <c r="AM165" s="425"/>
      <c r="AN165" s="424"/>
      <c r="AO165" s="424"/>
      <c r="AP165" s="425"/>
      <c r="AQ165" s="426"/>
      <c r="AR165" s="426"/>
      <c r="AS165" s="425"/>
      <c r="AT165" s="424"/>
      <c r="AU165" s="424"/>
      <c r="AV165" s="425"/>
      <c r="AW165" s="426"/>
      <c r="AX165" s="426"/>
      <c r="AY165" s="425"/>
      <c r="AZ165" s="424"/>
      <c r="BA165" s="424"/>
      <c r="BB165" s="425"/>
      <c r="BC165" s="426"/>
      <c r="BD165" s="426"/>
      <c r="BE165" s="425"/>
      <c r="BF165" s="424"/>
      <c r="BG165" s="424"/>
      <c r="BH165" s="425"/>
      <c r="BI165" s="426"/>
      <c r="BJ165" s="426"/>
      <c r="BK165" s="425"/>
      <c r="BL165" s="424"/>
      <c r="BM165" s="424"/>
      <c r="BN165" s="425"/>
      <c r="BO165" s="426"/>
      <c r="BP165" s="426"/>
      <c r="BQ165" s="425"/>
      <c r="BR165" s="424"/>
      <c r="BS165" s="424"/>
      <c r="BT165" s="425"/>
      <c r="BU165" s="426"/>
      <c r="BV165" s="426"/>
      <c r="BW165" s="425"/>
      <c r="BX165" s="424"/>
      <c r="BY165" s="424"/>
      <c r="BZ165" s="425"/>
      <c r="CA165" s="426"/>
      <c r="CB165" s="426"/>
      <c r="CC165" s="425"/>
      <c r="CD165" s="424"/>
      <c r="CE165" s="424"/>
      <c r="CF165" s="425"/>
      <c r="CG165" s="426"/>
      <c r="CH165" s="426"/>
      <c r="CI165" s="425"/>
      <c r="CJ165" s="424"/>
      <c r="CK165" s="424"/>
      <c r="CL165" s="425"/>
      <c r="CM165" s="426"/>
      <c r="CN165" s="426"/>
      <c r="CO165" s="425"/>
      <c r="CP165" s="424"/>
      <c r="CQ165" s="424"/>
      <c r="CR165" s="425"/>
      <c r="CS165" s="426"/>
      <c r="CT165" s="426"/>
      <c r="CU165" s="425"/>
      <c r="CV165" s="424"/>
      <c r="CW165" s="424"/>
      <c r="CX165" s="425"/>
      <c r="CY165" s="426"/>
      <c r="CZ165" s="426"/>
      <c r="DA165" s="425"/>
      <c r="DB165" s="424"/>
      <c r="DC165" s="424"/>
      <c r="DD165" s="425"/>
      <c r="DE165" s="426"/>
      <c r="DF165" s="426"/>
      <c r="DG165" s="425"/>
      <c r="DH165" s="424"/>
      <c r="DI165" s="424"/>
      <c r="DJ165" s="425"/>
      <c r="DK165" s="426"/>
      <c r="DL165" s="426"/>
      <c r="DM165" s="425"/>
      <c r="DN165" s="424"/>
      <c r="DO165" s="424"/>
      <c r="DP165" s="425"/>
      <c r="DQ165" s="426"/>
      <c r="DR165" s="426"/>
      <c r="DS165" s="425"/>
      <c r="DT165" s="424"/>
      <c r="DU165" s="424"/>
      <c r="DV165" s="425"/>
      <c r="DW165" s="426"/>
      <c r="DX165" s="426"/>
      <c r="DY165" s="425"/>
      <c r="DZ165" s="424"/>
      <c r="EA165" s="424"/>
    </row>
    <row r="166" spans="3:131">
      <c r="C166" s="200" t="s">
        <v>1052</v>
      </c>
      <c r="D166" s="433" t="str">
        <f t="shared" si="9"/>
        <v>14</v>
      </c>
      <c r="E166" s="200" t="s">
        <v>1058</v>
      </c>
      <c r="F166" s="432">
        <f>'MF Unit Material'!Y328</f>
        <v>0</v>
      </c>
      <c r="G166" s="431">
        <f>'MF Unit Material'!Z328</f>
        <v>121.19999999999999</v>
      </c>
      <c r="H166" s="158">
        <f>'MF Unit Material'!AA328</f>
        <v>0</v>
      </c>
      <c r="I166" s="430">
        <f t="shared" si="10"/>
        <v>0</v>
      </c>
      <c r="J166" s="429">
        <f t="shared" si="6"/>
        <v>0</v>
      </c>
      <c r="K166" s="428">
        <f t="shared" si="7"/>
        <v>0</v>
      </c>
      <c r="L166" s="427"/>
      <c r="M166" s="426"/>
      <c r="N166" s="426"/>
      <c r="O166" s="425"/>
      <c r="P166" s="424"/>
      <c r="Q166" s="424"/>
      <c r="R166" s="425"/>
      <c r="S166" s="426"/>
      <c r="T166" s="426"/>
      <c r="U166" s="425"/>
      <c r="V166" s="424"/>
      <c r="W166" s="424"/>
      <c r="X166" s="425"/>
      <c r="Y166" s="426"/>
      <c r="Z166" s="426"/>
      <c r="AA166" s="425"/>
      <c r="AB166" s="424"/>
      <c r="AC166" s="424"/>
      <c r="AD166" s="425"/>
      <c r="AE166" s="426"/>
      <c r="AF166" s="426"/>
      <c r="AG166" s="425"/>
      <c r="AH166" s="424"/>
      <c r="AI166" s="424"/>
      <c r="AJ166" s="425"/>
      <c r="AK166" s="426"/>
      <c r="AL166" s="426"/>
      <c r="AM166" s="425"/>
      <c r="AN166" s="424"/>
      <c r="AO166" s="424"/>
      <c r="AP166" s="425"/>
      <c r="AQ166" s="426"/>
      <c r="AR166" s="426"/>
      <c r="AS166" s="425"/>
      <c r="AT166" s="424"/>
      <c r="AU166" s="424"/>
      <c r="AV166" s="425"/>
      <c r="AW166" s="426"/>
      <c r="AX166" s="426"/>
      <c r="AY166" s="425"/>
      <c r="AZ166" s="424"/>
      <c r="BA166" s="424"/>
      <c r="BB166" s="425"/>
      <c r="BC166" s="426"/>
      <c r="BD166" s="426"/>
      <c r="BE166" s="425"/>
      <c r="BF166" s="424"/>
      <c r="BG166" s="424"/>
      <c r="BH166" s="425"/>
      <c r="BI166" s="426"/>
      <c r="BJ166" s="426"/>
      <c r="BK166" s="425"/>
      <c r="BL166" s="424"/>
      <c r="BM166" s="424"/>
      <c r="BN166" s="425"/>
      <c r="BO166" s="426"/>
      <c r="BP166" s="426"/>
      <c r="BQ166" s="425"/>
      <c r="BR166" s="424"/>
      <c r="BS166" s="424"/>
      <c r="BT166" s="425"/>
      <c r="BU166" s="426"/>
      <c r="BV166" s="426"/>
      <c r="BW166" s="425"/>
      <c r="BX166" s="424"/>
      <c r="BY166" s="424"/>
      <c r="BZ166" s="425"/>
      <c r="CA166" s="426"/>
      <c r="CB166" s="426"/>
      <c r="CC166" s="425"/>
      <c r="CD166" s="424"/>
      <c r="CE166" s="424"/>
      <c r="CF166" s="425"/>
      <c r="CG166" s="426"/>
      <c r="CH166" s="426"/>
      <c r="CI166" s="425"/>
      <c r="CJ166" s="424"/>
      <c r="CK166" s="424"/>
      <c r="CL166" s="425"/>
      <c r="CM166" s="426"/>
      <c r="CN166" s="426"/>
      <c r="CO166" s="425"/>
      <c r="CP166" s="424"/>
      <c r="CQ166" s="424"/>
      <c r="CR166" s="425"/>
      <c r="CS166" s="426"/>
      <c r="CT166" s="426"/>
      <c r="CU166" s="425"/>
      <c r="CV166" s="424"/>
      <c r="CW166" s="424"/>
      <c r="CX166" s="425"/>
      <c r="CY166" s="426"/>
      <c r="CZ166" s="426"/>
      <c r="DA166" s="425"/>
      <c r="DB166" s="424"/>
      <c r="DC166" s="424"/>
      <c r="DD166" s="425"/>
      <c r="DE166" s="426"/>
      <c r="DF166" s="426"/>
      <c r="DG166" s="425"/>
      <c r="DH166" s="424"/>
      <c r="DI166" s="424"/>
      <c r="DJ166" s="425"/>
      <c r="DK166" s="426"/>
      <c r="DL166" s="426"/>
      <c r="DM166" s="425"/>
      <c r="DN166" s="424"/>
      <c r="DO166" s="424"/>
      <c r="DP166" s="425"/>
      <c r="DQ166" s="426"/>
      <c r="DR166" s="426"/>
      <c r="DS166" s="425"/>
      <c r="DT166" s="424"/>
      <c r="DU166" s="424"/>
      <c r="DV166" s="425"/>
      <c r="DW166" s="426"/>
      <c r="DX166" s="426"/>
      <c r="DY166" s="425"/>
      <c r="DZ166" s="424"/>
      <c r="EA166" s="424"/>
    </row>
    <row r="167" spans="3:131">
      <c r="C167" s="200" t="s">
        <v>1054</v>
      </c>
      <c r="D167" s="433" t="str">
        <f t="shared" si="9"/>
        <v>16</v>
      </c>
      <c r="E167" s="200" t="s">
        <v>1058</v>
      </c>
      <c r="F167" s="432">
        <f>'MF Unit Material'!Y329</f>
        <v>0</v>
      </c>
      <c r="G167" s="431">
        <f>'MF Unit Material'!Z329</f>
        <v>147.6</v>
      </c>
      <c r="H167" s="158">
        <f>'MF Unit Material'!AA329</f>
        <v>0</v>
      </c>
      <c r="I167" s="430">
        <f t="shared" si="10"/>
        <v>0</v>
      </c>
      <c r="J167" s="429">
        <f t="shared" si="6"/>
        <v>0</v>
      </c>
      <c r="K167" s="428">
        <f t="shared" si="7"/>
        <v>0</v>
      </c>
      <c r="L167" s="427"/>
      <c r="M167" s="426"/>
      <c r="N167" s="426"/>
      <c r="O167" s="425"/>
      <c r="P167" s="424"/>
      <c r="Q167" s="424"/>
      <c r="R167" s="425"/>
      <c r="S167" s="426"/>
      <c r="T167" s="426"/>
      <c r="U167" s="425"/>
      <c r="V167" s="424"/>
      <c r="W167" s="424"/>
      <c r="X167" s="425"/>
      <c r="Y167" s="426"/>
      <c r="Z167" s="426"/>
      <c r="AA167" s="425"/>
      <c r="AB167" s="424"/>
      <c r="AC167" s="424"/>
      <c r="AD167" s="425"/>
      <c r="AE167" s="426"/>
      <c r="AF167" s="426"/>
      <c r="AG167" s="425"/>
      <c r="AH167" s="424"/>
      <c r="AI167" s="424"/>
      <c r="AJ167" s="425"/>
      <c r="AK167" s="426"/>
      <c r="AL167" s="426"/>
      <c r="AM167" s="425"/>
      <c r="AN167" s="424"/>
      <c r="AO167" s="424"/>
      <c r="AP167" s="425"/>
      <c r="AQ167" s="426"/>
      <c r="AR167" s="426"/>
      <c r="AS167" s="425"/>
      <c r="AT167" s="424"/>
      <c r="AU167" s="424"/>
      <c r="AV167" s="425"/>
      <c r="AW167" s="426"/>
      <c r="AX167" s="426"/>
      <c r="AY167" s="425"/>
      <c r="AZ167" s="424"/>
      <c r="BA167" s="424"/>
      <c r="BB167" s="425"/>
      <c r="BC167" s="426"/>
      <c r="BD167" s="426"/>
      <c r="BE167" s="425"/>
      <c r="BF167" s="424"/>
      <c r="BG167" s="424"/>
      <c r="BH167" s="425"/>
      <c r="BI167" s="426"/>
      <c r="BJ167" s="426"/>
      <c r="BK167" s="425"/>
      <c r="BL167" s="424"/>
      <c r="BM167" s="424"/>
      <c r="BN167" s="425"/>
      <c r="BO167" s="426"/>
      <c r="BP167" s="426"/>
      <c r="BQ167" s="425"/>
      <c r="BR167" s="424"/>
      <c r="BS167" s="424"/>
      <c r="BT167" s="425"/>
      <c r="BU167" s="426"/>
      <c r="BV167" s="426"/>
      <c r="BW167" s="425"/>
      <c r="BX167" s="424"/>
      <c r="BY167" s="424"/>
      <c r="BZ167" s="425"/>
      <c r="CA167" s="426"/>
      <c r="CB167" s="426"/>
      <c r="CC167" s="425"/>
      <c r="CD167" s="424"/>
      <c r="CE167" s="424"/>
      <c r="CF167" s="425"/>
      <c r="CG167" s="426"/>
      <c r="CH167" s="426"/>
      <c r="CI167" s="425"/>
      <c r="CJ167" s="424"/>
      <c r="CK167" s="424"/>
      <c r="CL167" s="425"/>
      <c r="CM167" s="426"/>
      <c r="CN167" s="426"/>
      <c r="CO167" s="425"/>
      <c r="CP167" s="424"/>
      <c r="CQ167" s="424"/>
      <c r="CR167" s="425"/>
      <c r="CS167" s="426"/>
      <c r="CT167" s="426"/>
      <c r="CU167" s="425"/>
      <c r="CV167" s="424"/>
      <c r="CW167" s="424"/>
      <c r="CX167" s="425"/>
      <c r="CY167" s="426"/>
      <c r="CZ167" s="426"/>
      <c r="DA167" s="425"/>
      <c r="DB167" s="424"/>
      <c r="DC167" s="424"/>
      <c r="DD167" s="425"/>
      <c r="DE167" s="426"/>
      <c r="DF167" s="426"/>
      <c r="DG167" s="425"/>
      <c r="DH167" s="424"/>
      <c r="DI167" s="424"/>
      <c r="DJ167" s="425"/>
      <c r="DK167" s="426"/>
      <c r="DL167" s="426"/>
      <c r="DM167" s="425"/>
      <c r="DN167" s="424"/>
      <c r="DO167" s="424"/>
      <c r="DP167" s="425"/>
      <c r="DQ167" s="426"/>
      <c r="DR167" s="426"/>
      <c r="DS167" s="425"/>
      <c r="DT167" s="424"/>
      <c r="DU167" s="424"/>
      <c r="DV167" s="425"/>
      <c r="DW167" s="426"/>
      <c r="DX167" s="426"/>
      <c r="DY167" s="425"/>
      <c r="DZ167" s="424"/>
      <c r="EA167" s="424"/>
    </row>
    <row r="168" spans="3:131">
      <c r="C168" s="200" t="s">
        <v>1056</v>
      </c>
      <c r="D168" s="433" t="str">
        <f t="shared" si="9"/>
        <v>18</v>
      </c>
      <c r="E168" s="200" t="s">
        <v>1058</v>
      </c>
      <c r="F168" s="432">
        <f>'MF Unit Material'!Y330</f>
        <v>0</v>
      </c>
      <c r="G168" s="431">
        <f>'MF Unit Material'!Z330</f>
        <v>183.6</v>
      </c>
      <c r="H168" s="158">
        <f>'MF Unit Material'!AA330</f>
        <v>0</v>
      </c>
      <c r="I168" s="430">
        <f t="shared" si="10"/>
        <v>0</v>
      </c>
      <c r="J168" s="429">
        <f t="shared" si="6"/>
        <v>0</v>
      </c>
      <c r="K168" s="428">
        <f t="shared" si="7"/>
        <v>0</v>
      </c>
      <c r="L168" s="427"/>
      <c r="M168" s="426"/>
      <c r="N168" s="426"/>
      <c r="O168" s="425"/>
      <c r="P168" s="424"/>
      <c r="Q168" s="424"/>
      <c r="R168" s="425"/>
      <c r="S168" s="426"/>
      <c r="T168" s="426"/>
      <c r="U168" s="425"/>
      <c r="V168" s="424"/>
      <c r="W168" s="424"/>
      <c r="X168" s="425"/>
      <c r="Y168" s="426"/>
      <c r="Z168" s="426"/>
      <c r="AA168" s="425"/>
      <c r="AB168" s="424"/>
      <c r="AC168" s="424"/>
      <c r="AD168" s="425"/>
      <c r="AE168" s="426"/>
      <c r="AF168" s="426"/>
      <c r="AG168" s="425"/>
      <c r="AH168" s="424"/>
      <c r="AI168" s="424"/>
      <c r="AJ168" s="425"/>
      <c r="AK168" s="426"/>
      <c r="AL168" s="426"/>
      <c r="AM168" s="425"/>
      <c r="AN168" s="424"/>
      <c r="AO168" s="424"/>
      <c r="AP168" s="425"/>
      <c r="AQ168" s="426"/>
      <c r="AR168" s="426"/>
      <c r="AS168" s="425"/>
      <c r="AT168" s="424"/>
      <c r="AU168" s="424"/>
      <c r="AV168" s="425"/>
      <c r="AW168" s="426"/>
      <c r="AX168" s="426"/>
      <c r="AY168" s="425"/>
      <c r="AZ168" s="424"/>
      <c r="BA168" s="424"/>
      <c r="BB168" s="425"/>
      <c r="BC168" s="426"/>
      <c r="BD168" s="426"/>
      <c r="BE168" s="425"/>
      <c r="BF168" s="424"/>
      <c r="BG168" s="424"/>
      <c r="BH168" s="425"/>
      <c r="BI168" s="426"/>
      <c r="BJ168" s="426"/>
      <c r="BK168" s="425"/>
      <c r="BL168" s="424"/>
      <c r="BM168" s="424"/>
      <c r="BN168" s="425"/>
      <c r="BO168" s="426"/>
      <c r="BP168" s="426"/>
      <c r="BQ168" s="425"/>
      <c r="BR168" s="424"/>
      <c r="BS168" s="424"/>
      <c r="BT168" s="425"/>
      <c r="BU168" s="426"/>
      <c r="BV168" s="426"/>
      <c r="BW168" s="425"/>
      <c r="BX168" s="424"/>
      <c r="BY168" s="424"/>
      <c r="BZ168" s="425"/>
      <c r="CA168" s="426"/>
      <c r="CB168" s="426"/>
      <c r="CC168" s="425"/>
      <c r="CD168" s="424"/>
      <c r="CE168" s="424"/>
      <c r="CF168" s="425"/>
      <c r="CG168" s="426"/>
      <c r="CH168" s="426"/>
      <c r="CI168" s="425"/>
      <c r="CJ168" s="424"/>
      <c r="CK168" s="424"/>
      <c r="CL168" s="425"/>
      <c r="CM168" s="426"/>
      <c r="CN168" s="426"/>
      <c r="CO168" s="425"/>
      <c r="CP168" s="424"/>
      <c r="CQ168" s="424"/>
      <c r="CR168" s="425"/>
      <c r="CS168" s="426"/>
      <c r="CT168" s="426"/>
      <c r="CU168" s="425"/>
      <c r="CV168" s="424"/>
      <c r="CW168" s="424"/>
      <c r="CX168" s="425"/>
      <c r="CY168" s="426"/>
      <c r="CZ168" s="426"/>
      <c r="DA168" s="425"/>
      <c r="DB168" s="424"/>
      <c r="DC168" s="424"/>
      <c r="DD168" s="425"/>
      <c r="DE168" s="426"/>
      <c r="DF168" s="426"/>
      <c r="DG168" s="425"/>
      <c r="DH168" s="424"/>
      <c r="DI168" s="424"/>
      <c r="DJ168" s="425"/>
      <c r="DK168" s="426"/>
      <c r="DL168" s="426"/>
      <c r="DM168" s="425"/>
      <c r="DN168" s="424"/>
      <c r="DO168" s="424"/>
      <c r="DP168" s="425"/>
      <c r="DQ168" s="426"/>
      <c r="DR168" s="426"/>
      <c r="DS168" s="425"/>
      <c r="DT168" s="424"/>
      <c r="DU168" s="424"/>
      <c r="DV168" s="425"/>
      <c r="DW168" s="426"/>
      <c r="DX168" s="426"/>
      <c r="DY168" s="425"/>
      <c r="DZ168" s="424"/>
      <c r="EA168" s="424"/>
    </row>
    <row r="169" spans="3:131">
      <c r="C169" s="423" t="s">
        <v>988</v>
      </c>
      <c r="D169" s="101"/>
      <c r="E169" s="447" t="s">
        <v>961</v>
      </c>
      <c r="F169" s="422">
        <f>'MF Unit Material'!Y334</f>
        <v>244.88399999999996</v>
      </c>
      <c r="G169" s="421">
        <f>'MF Unit Material'!Z334</f>
        <v>0</v>
      </c>
      <c r="H169" s="420">
        <f>'MF Unit Material'!AA334</f>
        <v>13100.255999999999</v>
      </c>
      <c r="I169" s="429"/>
      <c r="J169" s="429">
        <f t="shared" si="6"/>
        <v>0</v>
      </c>
      <c r="K169" s="428">
        <f t="shared" si="7"/>
        <v>0</v>
      </c>
      <c r="L169" s="427"/>
      <c r="M169" s="426"/>
      <c r="N169" s="426"/>
      <c r="O169" s="425"/>
      <c r="P169" s="424"/>
      <c r="Q169" s="424"/>
      <c r="R169" s="425"/>
      <c r="S169" s="426"/>
      <c r="T169" s="426"/>
      <c r="U169" s="425"/>
      <c r="V169" s="424"/>
      <c r="W169" s="424"/>
      <c r="X169" s="425"/>
      <c r="Y169" s="426"/>
      <c r="Z169" s="426"/>
      <c r="AA169" s="425"/>
      <c r="AB169" s="424"/>
      <c r="AC169" s="424"/>
      <c r="AD169" s="425"/>
      <c r="AE169" s="426"/>
      <c r="AF169" s="426"/>
      <c r="AG169" s="425"/>
      <c r="AH169" s="424"/>
      <c r="AI169" s="424"/>
      <c r="AJ169" s="425"/>
      <c r="AK169" s="426"/>
      <c r="AL169" s="426"/>
      <c r="AM169" s="425"/>
      <c r="AN169" s="424"/>
      <c r="AO169" s="424"/>
      <c r="AP169" s="425"/>
      <c r="AQ169" s="426"/>
      <c r="AR169" s="426"/>
      <c r="AS169" s="425"/>
      <c r="AT169" s="424"/>
      <c r="AU169" s="424"/>
      <c r="AV169" s="425"/>
      <c r="AW169" s="426"/>
      <c r="AX169" s="426"/>
      <c r="AY169" s="425"/>
      <c r="AZ169" s="424"/>
      <c r="BA169" s="424"/>
      <c r="BB169" s="425"/>
      <c r="BC169" s="426"/>
      <c r="BD169" s="426"/>
      <c r="BE169" s="425"/>
      <c r="BF169" s="424"/>
      <c r="BG169" s="424"/>
      <c r="BH169" s="425"/>
      <c r="BI169" s="426"/>
      <c r="BJ169" s="426"/>
      <c r="BK169" s="425"/>
      <c r="BL169" s="424"/>
      <c r="BM169" s="424"/>
      <c r="BN169" s="425"/>
      <c r="BO169" s="426"/>
      <c r="BP169" s="426"/>
      <c r="BQ169" s="425"/>
      <c r="BR169" s="424"/>
      <c r="BS169" s="424"/>
      <c r="BT169" s="425"/>
      <c r="BU169" s="426"/>
      <c r="BV169" s="426"/>
      <c r="BW169" s="425"/>
      <c r="BX169" s="424"/>
      <c r="BY169" s="424"/>
      <c r="BZ169" s="425"/>
      <c r="CA169" s="426"/>
      <c r="CB169" s="426"/>
      <c r="CC169" s="425"/>
      <c r="CD169" s="424"/>
      <c r="CE169" s="424"/>
      <c r="CF169" s="425"/>
      <c r="CG169" s="426"/>
      <c r="CH169" s="426"/>
      <c r="CI169" s="425"/>
      <c r="CJ169" s="424"/>
      <c r="CK169" s="424"/>
      <c r="CL169" s="425"/>
      <c r="CM169" s="426"/>
      <c r="CN169" s="426"/>
      <c r="CO169" s="425"/>
      <c r="CP169" s="424"/>
      <c r="CQ169" s="424"/>
      <c r="CR169" s="425"/>
      <c r="CS169" s="426"/>
      <c r="CT169" s="426"/>
      <c r="CU169" s="425"/>
      <c r="CV169" s="424"/>
      <c r="CW169" s="424"/>
      <c r="CX169" s="425"/>
      <c r="CY169" s="426"/>
      <c r="CZ169" s="426"/>
      <c r="DA169" s="425"/>
      <c r="DB169" s="424"/>
      <c r="DC169" s="424"/>
      <c r="DD169" s="425"/>
      <c r="DE169" s="426"/>
      <c r="DF169" s="426"/>
      <c r="DG169" s="425"/>
      <c r="DH169" s="424"/>
      <c r="DI169" s="424"/>
      <c r="DJ169" s="425"/>
      <c r="DK169" s="426"/>
      <c r="DL169" s="426"/>
      <c r="DM169" s="425"/>
      <c r="DN169" s="424"/>
      <c r="DO169" s="424"/>
      <c r="DP169" s="425"/>
      <c r="DQ169" s="426"/>
      <c r="DR169" s="426"/>
      <c r="DS169" s="425"/>
      <c r="DT169" s="424"/>
      <c r="DU169" s="424"/>
      <c r="DV169" s="425"/>
      <c r="DW169" s="426"/>
      <c r="DX169" s="426"/>
      <c r="DY169" s="425"/>
      <c r="DZ169" s="424"/>
      <c r="EA169" s="424"/>
    </row>
    <row r="170" spans="3:131" collapsed="1">
      <c r="C170" s="96" t="s">
        <v>996</v>
      </c>
      <c r="D170" s="65"/>
      <c r="E170" s="65"/>
      <c r="F170" s="437" t="s">
        <v>948</v>
      </c>
      <c r="G170" s="436" t="s">
        <v>949</v>
      </c>
      <c r="H170" s="412" t="s">
        <v>950</v>
      </c>
      <c r="I170" s="429"/>
      <c r="J170" s="429">
        <f t="shared" si="6"/>
        <v>0</v>
      </c>
      <c r="K170" s="428">
        <f t="shared" si="7"/>
        <v>0</v>
      </c>
      <c r="L170" s="427"/>
      <c r="M170" s="426"/>
      <c r="N170" s="426"/>
      <c r="O170" s="425"/>
      <c r="P170" s="424"/>
      <c r="Q170" s="424"/>
      <c r="R170" s="425"/>
      <c r="S170" s="426"/>
      <c r="T170" s="426"/>
      <c r="U170" s="425"/>
      <c r="V170" s="424"/>
      <c r="W170" s="424"/>
      <c r="X170" s="425"/>
      <c r="Y170" s="426"/>
      <c r="Z170" s="426"/>
      <c r="AA170" s="425"/>
      <c r="AB170" s="424"/>
      <c r="AC170" s="424"/>
      <c r="AD170" s="425"/>
      <c r="AE170" s="426"/>
      <c r="AF170" s="426"/>
      <c r="AG170" s="425"/>
      <c r="AH170" s="424"/>
      <c r="AI170" s="424"/>
      <c r="AJ170" s="425"/>
      <c r="AK170" s="426"/>
      <c r="AL170" s="426"/>
      <c r="AM170" s="425"/>
      <c r="AN170" s="424"/>
      <c r="AO170" s="424"/>
      <c r="AP170" s="425"/>
      <c r="AQ170" s="426"/>
      <c r="AR170" s="426"/>
      <c r="AS170" s="425"/>
      <c r="AT170" s="424"/>
      <c r="AU170" s="424"/>
      <c r="AV170" s="425"/>
      <c r="AW170" s="426"/>
      <c r="AX170" s="426"/>
      <c r="AY170" s="425"/>
      <c r="AZ170" s="424"/>
      <c r="BA170" s="424"/>
      <c r="BB170" s="425"/>
      <c r="BC170" s="426"/>
      <c r="BD170" s="426"/>
      <c r="BE170" s="425"/>
      <c r="BF170" s="424"/>
      <c r="BG170" s="424"/>
      <c r="BH170" s="425"/>
      <c r="BI170" s="426"/>
      <c r="BJ170" s="426"/>
      <c r="BK170" s="425"/>
      <c r="BL170" s="424"/>
      <c r="BM170" s="424"/>
      <c r="BN170" s="425"/>
      <c r="BO170" s="426"/>
      <c r="BP170" s="426"/>
      <c r="BQ170" s="425"/>
      <c r="BR170" s="424"/>
      <c r="BS170" s="424"/>
      <c r="BT170" s="425"/>
      <c r="BU170" s="426"/>
      <c r="BV170" s="426"/>
      <c r="BW170" s="425"/>
      <c r="BX170" s="424"/>
      <c r="BY170" s="424"/>
      <c r="BZ170" s="425"/>
      <c r="CA170" s="426"/>
      <c r="CB170" s="426"/>
      <c r="CC170" s="425"/>
      <c r="CD170" s="424"/>
      <c r="CE170" s="424"/>
      <c r="CF170" s="425"/>
      <c r="CG170" s="426"/>
      <c r="CH170" s="426"/>
      <c r="CI170" s="425"/>
      <c r="CJ170" s="424"/>
      <c r="CK170" s="424"/>
      <c r="CL170" s="425"/>
      <c r="CM170" s="426"/>
      <c r="CN170" s="426"/>
      <c r="CO170" s="425"/>
      <c r="CP170" s="424"/>
      <c r="CQ170" s="424"/>
      <c r="CR170" s="425"/>
      <c r="CS170" s="426"/>
      <c r="CT170" s="426"/>
      <c r="CU170" s="425"/>
      <c r="CV170" s="424"/>
      <c r="CW170" s="424"/>
      <c r="CX170" s="425"/>
      <c r="CY170" s="426"/>
      <c r="CZ170" s="426"/>
      <c r="DA170" s="425"/>
      <c r="DB170" s="424"/>
      <c r="DC170" s="424"/>
      <c r="DD170" s="425"/>
      <c r="DE170" s="426"/>
      <c r="DF170" s="426"/>
      <c r="DG170" s="425"/>
      <c r="DH170" s="424"/>
      <c r="DI170" s="424"/>
      <c r="DJ170" s="425"/>
      <c r="DK170" s="426"/>
      <c r="DL170" s="426"/>
      <c r="DM170" s="425"/>
      <c r="DN170" s="424"/>
      <c r="DO170" s="424"/>
      <c r="DP170" s="425"/>
      <c r="DQ170" s="426"/>
      <c r="DR170" s="426"/>
      <c r="DS170" s="425"/>
      <c r="DT170" s="424"/>
      <c r="DU170" s="424"/>
      <c r="DV170" s="425"/>
      <c r="DW170" s="426"/>
      <c r="DX170" s="426"/>
      <c r="DY170" s="425"/>
      <c r="DZ170" s="424"/>
      <c r="EA170" s="424"/>
    </row>
    <row r="171" spans="3:131">
      <c r="D171" s="75"/>
      <c r="E171" s="1" t="s">
        <v>968</v>
      </c>
      <c r="F171" s="432">
        <f>'MF Unit Material'!Y336</f>
        <v>218</v>
      </c>
      <c r="G171" s="431">
        <f>'MF Unit Material'!Z336</f>
        <v>8</v>
      </c>
      <c r="H171" s="158">
        <f>'MF Unit Material'!AA336</f>
        <v>1744</v>
      </c>
      <c r="I171" s="430"/>
      <c r="J171" s="429">
        <f t="shared" si="6"/>
        <v>0</v>
      </c>
      <c r="K171" s="428">
        <f t="shared" si="7"/>
        <v>0</v>
      </c>
      <c r="L171" s="427"/>
      <c r="M171" s="426"/>
      <c r="N171" s="426"/>
      <c r="O171" s="425"/>
      <c r="P171" s="424"/>
      <c r="Q171" s="424"/>
      <c r="R171" s="425"/>
      <c r="S171" s="426"/>
      <c r="T171" s="426"/>
      <c r="U171" s="425"/>
      <c r="V171" s="424"/>
      <c r="W171" s="424"/>
      <c r="X171" s="425"/>
      <c r="Y171" s="426"/>
      <c r="Z171" s="426"/>
      <c r="AA171" s="425"/>
      <c r="AB171" s="424"/>
      <c r="AC171" s="424"/>
      <c r="AD171" s="425"/>
      <c r="AE171" s="426"/>
      <c r="AF171" s="426"/>
      <c r="AG171" s="425"/>
      <c r="AH171" s="424"/>
      <c r="AI171" s="424"/>
      <c r="AJ171" s="425"/>
      <c r="AK171" s="426"/>
      <c r="AL171" s="426"/>
      <c r="AM171" s="425"/>
      <c r="AN171" s="424"/>
      <c r="AO171" s="424"/>
      <c r="AP171" s="425"/>
      <c r="AQ171" s="426"/>
      <c r="AR171" s="426"/>
      <c r="AS171" s="425"/>
      <c r="AT171" s="424"/>
      <c r="AU171" s="424"/>
      <c r="AV171" s="425"/>
      <c r="AW171" s="426"/>
      <c r="AX171" s="426"/>
      <c r="AY171" s="425"/>
      <c r="AZ171" s="424"/>
      <c r="BA171" s="424"/>
      <c r="BB171" s="425"/>
      <c r="BC171" s="426"/>
      <c r="BD171" s="426"/>
      <c r="BE171" s="425"/>
      <c r="BF171" s="424"/>
      <c r="BG171" s="424"/>
      <c r="BH171" s="425"/>
      <c r="BI171" s="426"/>
      <c r="BJ171" s="426"/>
      <c r="BK171" s="425"/>
      <c r="BL171" s="424"/>
      <c r="BM171" s="424"/>
      <c r="BN171" s="425"/>
      <c r="BO171" s="426"/>
      <c r="BP171" s="426"/>
      <c r="BQ171" s="425"/>
      <c r="BR171" s="424"/>
      <c r="BS171" s="424"/>
      <c r="BT171" s="425"/>
      <c r="BU171" s="426"/>
      <c r="BV171" s="426"/>
      <c r="BW171" s="425"/>
      <c r="BX171" s="424"/>
      <c r="BY171" s="424"/>
      <c r="BZ171" s="425"/>
      <c r="CA171" s="426"/>
      <c r="CB171" s="426"/>
      <c r="CC171" s="425"/>
      <c r="CD171" s="424"/>
      <c r="CE171" s="424"/>
      <c r="CF171" s="425"/>
      <c r="CG171" s="426"/>
      <c r="CH171" s="426"/>
      <c r="CI171" s="425"/>
      <c r="CJ171" s="424"/>
      <c r="CK171" s="424"/>
      <c r="CL171" s="425"/>
      <c r="CM171" s="426"/>
      <c r="CN171" s="426"/>
      <c r="CO171" s="425"/>
      <c r="CP171" s="424"/>
      <c r="CQ171" s="424"/>
      <c r="CR171" s="425"/>
      <c r="CS171" s="426"/>
      <c r="CT171" s="426"/>
      <c r="CU171" s="425"/>
      <c r="CV171" s="424"/>
      <c r="CW171" s="424"/>
      <c r="CX171" s="425"/>
      <c r="CY171" s="426"/>
      <c r="CZ171" s="426"/>
      <c r="DA171" s="425"/>
      <c r="DB171" s="424"/>
      <c r="DC171" s="424"/>
      <c r="DD171" s="425"/>
      <c r="DE171" s="426"/>
      <c r="DF171" s="426"/>
      <c r="DG171" s="425"/>
      <c r="DH171" s="424"/>
      <c r="DI171" s="424"/>
      <c r="DJ171" s="425"/>
      <c r="DK171" s="426"/>
      <c r="DL171" s="426"/>
      <c r="DM171" s="425"/>
      <c r="DN171" s="424"/>
      <c r="DO171" s="424"/>
      <c r="DP171" s="425"/>
      <c r="DQ171" s="426"/>
      <c r="DR171" s="426"/>
      <c r="DS171" s="425"/>
      <c r="DT171" s="424"/>
      <c r="DU171" s="424"/>
      <c r="DV171" s="425"/>
      <c r="DW171" s="426"/>
      <c r="DX171" s="426"/>
      <c r="DY171" s="425"/>
      <c r="DZ171" s="424"/>
      <c r="EA171" s="424"/>
    </row>
    <row r="172" spans="3:131" collapsed="1">
      <c r="C172" s="96" t="s">
        <v>1059</v>
      </c>
      <c r="D172" s="65"/>
      <c r="E172" s="65"/>
      <c r="F172" s="437" t="str">
        <f>'MF Unit Material'!Y339</f>
        <v>Total Quant</v>
      </c>
      <c r="G172" s="436" t="str">
        <f>'MF Unit Material'!Z339</f>
        <v>Unit Pricing</v>
      </c>
      <c r="H172" s="412" t="str">
        <f>'MF Unit Material'!AA339</f>
        <v>Total Pricing</v>
      </c>
      <c r="I172" s="429"/>
      <c r="J172" s="429">
        <f t="shared" si="6"/>
        <v>0</v>
      </c>
      <c r="K172" s="428">
        <f t="shared" si="7"/>
        <v>0</v>
      </c>
      <c r="L172" s="427"/>
      <c r="M172" s="426"/>
      <c r="N172" s="426"/>
      <c r="O172" s="425"/>
      <c r="P172" s="424"/>
      <c r="Q172" s="424"/>
      <c r="R172" s="425"/>
      <c r="S172" s="426"/>
      <c r="T172" s="426"/>
      <c r="U172" s="425"/>
      <c r="V172" s="424"/>
      <c r="W172" s="424"/>
      <c r="X172" s="425"/>
      <c r="Y172" s="426"/>
      <c r="Z172" s="426"/>
      <c r="AA172" s="425"/>
      <c r="AB172" s="424"/>
      <c r="AC172" s="424"/>
      <c r="AD172" s="425"/>
      <c r="AE172" s="426"/>
      <c r="AF172" s="426"/>
      <c r="AG172" s="425"/>
      <c r="AH172" s="424"/>
      <c r="AI172" s="424"/>
      <c r="AJ172" s="425"/>
      <c r="AK172" s="426"/>
      <c r="AL172" s="426"/>
      <c r="AM172" s="425"/>
      <c r="AN172" s="424"/>
      <c r="AO172" s="424"/>
      <c r="AP172" s="425"/>
      <c r="AQ172" s="426"/>
      <c r="AR172" s="426"/>
      <c r="AS172" s="425"/>
      <c r="AT172" s="424"/>
      <c r="AU172" s="424"/>
      <c r="AV172" s="425"/>
      <c r="AW172" s="426"/>
      <c r="AX172" s="426"/>
      <c r="AY172" s="425"/>
      <c r="AZ172" s="424"/>
      <c r="BA172" s="424"/>
      <c r="BB172" s="425"/>
      <c r="BC172" s="426"/>
      <c r="BD172" s="426"/>
      <c r="BE172" s="425"/>
      <c r="BF172" s="424"/>
      <c r="BG172" s="424"/>
      <c r="BH172" s="425"/>
      <c r="BI172" s="426"/>
      <c r="BJ172" s="426"/>
      <c r="BK172" s="425"/>
      <c r="BL172" s="424"/>
      <c r="BM172" s="424"/>
      <c r="BN172" s="425"/>
      <c r="BO172" s="426"/>
      <c r="BP172" s="426"/>
      <c r="BQ172" s="425"/>
      <c r="BR172" s="424"/>
      <c r="BS172" s="424"/>
      <c r="BT172" s="425"/>
      <c r="BU172" s="426"/>
      <c r="BV172" s="426"/>
      <c r="BW172" s="425"/>
      <c r="BX172" s="424"/>
      <c r="BY172" s="424"/>
      <c r="BZ172" s="425"/>
      <c r="CA172" s="426"/>
      <c r="CB172" s="426"/>
      <c r="CC172" s="425"/>
      <c r="CD172" s="424"/>
      <c r="CE172" s="424"/>
      <c r="CF172" s="425"/>
      <c r="CG172" s="426"/>
      <c r="CH172" s="426"/>
      <c r="CI172" s="425"/>
      <c r="CJ172" s="424"/>
      <c r="CK172" s="424"/>
      <c r="CL172" s="425"/>
      <c r="CM172" s="426"/>
      <c r="CN172" s="426"/>
      <c r="CO172" s="425"/>
      <c r="CP172" s="424"/>
      <c r="CQ172" s="424"/>
      <c r="CR172" s="425"/>
      <c r="CS172" s="426"/>
      <c r="CT172" s="426"/>
      <c r="CU172" s="425"/>
      <c r="CV172" s="424"/>
      <c r="CW172" s="424"/>
      <c r="CX172" s="425"/>
      <c r="CY172" s="426"/>
      <c r="CZ172" s="426"/>
      <c r="DA172" s="425"/>
      <c r="DB172" s="424"/>
      <c r="DC172" s="424"/>
      <c r="DD172" s="425"/>
      <c r="DE172" s="426"/>
      <c r="DF172" s="426"/>
      <c r="DG172" s="425"/>
      <c r="DH172" s="424"/>
      <c r="DI172" s="424"/>
      <c r="DJ172" s="425"/>
      <c r="DK172" s="426"/>
      <c r="DL172" s="426"/>
      <c r="DM172" s="425"/>
      <c r="DN172" s="424"/>
      <c r="DO172" s="424"/>
      <c r="DP172" s="425"/>
      <c r="DQ172" s="426"/>
      <c r="DR172" s="426"/>
      <c r="DS172" s="425"/>
      <c r="DT172" s="424"/>
      <c r="DU172" s="424"/>
      <c r="DV172" s="425"/>
      <c r="DW172" s="426"/>
      <c r="DX172" s="426"/>
      <c r="DY172" s="425"/>
      <c r="DZ172" s="424"/>
      <c r="EA172" s="424"/>
    </row>
    <row r="173" spans="3:131">
      <c r="D173" s="446"/>
      <c r="E173" s="1" t="s">
        <v>1060</v>
      </c>
      <c r="F173" s="432">
        <f>'MF Unit Material'!Y340</f>
        <v>501.22680000000008</v>
      </c>
      <c r="G173" s="431">
        <f>'MF Unit Material'!Z340</f>
        <v>13.5</v>
      </c>
      <c r="H173" s="158">
        <f>'MF Unit Material'!AA340</f>
        <v>6766.5618000000013</v>
      </c>
      <c r="I173" s="430">
        <f>F173-J173</f>
        <v>501.22680000000008</v>
      </c>
      <c r="J173" s="429">
        <f t="shared" si="6"/>
        <v>0</v>
      </c>
      <c r="K173" s="428">
        <f t="shared" si="7"/>
        <v>0</v>
      </c>
      <c r="L173" s="427"/>
      <c r="M173" s="426"/>
      <c r="N173" s="426"/>
      <c r="O173" s="425"/>
      <c r="P173" s="424"/>
      <c r="Q173" s="424"/>
      <c r="R173" s="425"/>
      <c r="S173" s="426"/>
      <c r="T173" s="426"/>
      <c r="U173" s="425"/>
      <c r="V173" s="424"/>
      <c r="W173" s="424"/>
      <c r="X173" s="425"/>
      <c r="Y173" s="426"/>
      <c r="Z173" s="426"/>
      <c r="AA173" s="425"/>
      <c r="AB173" s="424"/>
      <c r="AC173" s="424"/>
      <c r="AD173" s="425"/>
      <c r="AE173" s="426"/>
      <c r="AF173" s="426"/>
      <c r="AG173" s="425"/>
      <c r="AH173" s="424"/>
      <c r="AI173" s="424"/>
      <c r="AJ173" s="425"/>
      <c r="AK173" s="426"/>
      <c r="AL173" s="426"/>
      <c r="AM173" s="425"/>
      <c r="AN173" s="424"/>
      <c r="AO173" s="424"/>
      <c r="AP173" s="425"/>
      <c r="AQ173" s="426"/>
      <c r="AR173" s="426"/>
      <c r="AS173" s="425"/>
      <c r="AT173" s="424"/>
      <c r="AU173" s="424"/>
      <c r="AV173" s="425"/>
      <c r="AW173" s="426"/>
      <c r="AX173" s="426"/>
      <c r="AY173" s="425"/>
      <c r="AZ173" s="424"/>
      <c r="BA173" s="424"/>
      <c r="BB173" s="425"/>
      <c r="BC173" s="426"/>
      <c r="BD173" s="426"/>
      <c r="BE173" s="425"/>
      <c r="BF173" s="424"/>
      <c r="BG173" s="424"/>
      <c r="BH173" s="425"/>
      <c r="BI173" s="426"/>
      <c r="BJ173" s="426"/>
      <c r="BK173" s="425"/>
      <c r="BL173" s="424"/>
      <c r="BM173" s="424"/>
      <c r="BN173" s="425"/>
      <c r="BO173" s="426"/>
      <c r="BP173" s="426"/>
      <c r="BQ173" s="425"/>
      <c r="BR173" s="424"/>
      <c r="BS173" s="424"/>
      <c r="BT173" s="425"/>
      <c r="BU173" s="426"/>
      <c r="BV173" s="426"/>
      <c r="BW173" s="425"/>
      <c r="BX173" s="424"/>
      <c r="BY173" s="424"/>
      <c r="BZ173" s="425"/>
      <c r="CA173" s="426"/>
      <c r="CB173" s="426"/>
      <c r="CC173" s="425"/>
      <c r="CD173" s="424"/>
      <c r="CE173" s="424"/>
      <c r="CF173" s="425"/>
      <c r="CG173" s="426"/>
      <c r="CH173" s="426"/>
      <c r="CI173" s="425"/>
      <c r="CJ173" s="424"/>
      <c r="CK173" s="424"/>
      <c r="CL173" s="425"/>
      <c r="CM173" s="426"/>
      <c r="CN173" s="426"/>
      <c r="CO173" s="425"/>
      <c r="CP173" s="424"/>
      <c r="CQ173" s="424"/>
      <c r="CR173" s="425"/>
      <c r="CS173" s="426"/>
      <c r="CT173" s="426"/>
      <c r="CU173" s="425"/>
      <c r="CV173" s="424"/>
      <c r="CW173" s="424"/>
      <c r="CX173" s="425"/>
      <c r="CY173" s="426"/>
      <c r="CZ173" s="426"/>
      <c r="DA173" s="425"/>
      <c r="DB173" s="424"/>
      <c r="DC173" s="424"/>
      <c r="DD173" s="425"/>
      <c r="DE173" s="426"/>
      <c r="DF173" s="426"/>
      <c r="DG173" s="425"/>
      <c r="DH173" s="424"/>
      <c r="DI173" s="424"/>
      <c r="DJ173" s="425"/>
      <c r="DK173" s="426"/>
      <c r="DL173" s="426"/>
      <c r="DM173" s="425"/>
      <c r="DN173" s="424"/>
      <c r="DO173" s="424"/>
      <c r="DP173" s="425"/>
      <c r="DQ173" s="426"/>
      <c r="DR173" s="426"/>
      <c r="DS173" s="425"/>
      <c r="DT173" s="424"/>
      <c r="DU173" s="424"/>
      <c r="DV173" s="425"/>
      <c r="DW173" s="426"/>
      <c r="DX173" s="426"/>
      <c r="DY173" s="425"/>
      <c r="DZ173" s="424"/>
      <c r="EA173" s="424"/>
    </row>
    <row r="174" spans="3:131">
      <c r="C174" s="423"/>
      <c r="D174" s="1"/>
      <c r="E174" s="16" t="s">
        <v>961</v>
      </c>
      <c r="F174" s="422">
        <f>'MF Unit Material'!Y342</f>
        <v>501.22680000000008</v>
      </c>
      <c r="G174" s="421">
        <f>'MF Unit Material'!Z342</f>
        <v>0</v>
      </c>
      <c r="H174" s="420">
        <f>'MF Unit Material'!AA342</f>
        <v>6766.5618000000013</v>
      </c>
      <c r="I174" s="429"/>
      <c r="J174" s="429">
        <f t="shared" si="6"/>
        <v>0</v>
      </c>
      <c r="K174" s="428">
        <f t="shared" si="7"/>
        <v>0</v>
      </c>
      <c r="L174" s="427"/>
      <c r="M174" s="426"/>
      <c r="N174" s="426"/>
      <c r="O174" s="425"/>
      <c r="P174" s="424"/>
      <c r="Q174" s="424"/>
      <c r="R174" s="425"/>
      <c r="S174" s="426"/>
      <c r="T174" s="426"/>
      <c r="U174" s="425"/>
      <c r="V174" s="424"/>
      <c r="W174" s="424"/>
      <c r="X174" s="425"/>
      <c r="Y174" s="426"/>
      <c r="Z174" s="426"/>
      <c r="AA174" s="425"/>
      <c r="AB174" s="424"/>
      <c r="AC174" s="424"/>
      <c r="AD174" s="425"/>
      <c r="AE174" s="426"/>
      <c r="AF174" s="426"/>
      <c r="AG174" s="425"/>
      <c r="AH174" s="424"/>
      <c r="AI174" s="424"/>
      <c r="AJ174" s="425"/>
      <c r="AK174" s="426"/>
      <c r="AL174" s="426"/>
      <c r="AM174" s="425"/>
      <c r="AN174" s="424"/>
      <c r="AO174" s="424"/>
      <c r="AP174" s="425"/>
      <c r="AQ174" s="426"/>
      <c r="AR174" s="426"/>
      <c r="AS174" s="425"/>
      <c r="AT174" s="424"/>
      <c r="AU174" s="424"/>
      <c r="AV174" s="425"/>
      <c r="AW174" s="426"/>
      <c r="AX174" s="426"/>
      <c r="AY174" s="425"/>
      <c r="AZ174" s="424"/>
      <c r="BA174" s="424"/>
      <c r="BB174" s="425"/>
      <c r="BC174" s="426"/>
      <c r="BD174" s="426"/>
      <c r="BE174" s="425"/>
      <c r="BF174" s="424"/>
      <c r="BG174" s="424"/>
      <c r="BH174" s="425"/>
      <c r="BI174" s="426"/>
      <c r="BJ174" s="426"/>
      <c r="BK174" s="425"/>
      <c r="BL174" s="424"/>
      <c r="BM174" s="424"/>
      <c r="BN174" s="425"/>
      <c r="BO174" s="426"/>
      <c r="BP174" s="426"/>
      <c r="BQ174" s="425"/>
      <c r="BR174" s="424"/>
      <c r="BS174" s="424"/>
      <c r="BT174" s="425"/>
      <c r="BU174" s="426"/>
      <c r="BV174" s="426"/>
      <c r="BW174" s="425"/>
      <c r="BX174" s="424"/>
      <c r="BY174" s="424"/>
      <c r="BZ174" s="425"/>
      <c r="CA174" s="426"/>
      <c r="CB174" s="426"/>
      <c r="CC174" s="425"/>
      <c r="CD174" s="424"/>
      <c r="CE174" s="424"/>
      <c r="CF174" s="425"/>
      <c r="CG174" s="426"/>
      <c r="CH174" s="426"/>
      <c r="CI174" s="425"/>
      <c r="CJ174" s="424"/>
      <c r="CK174" s="424"/>
      <c r="CL174" s="425"/>
      <c r="CM174" s="426"/>
      <c r="CN174" s="426"/>
      <c r="CO174" s="425"/>
      <c r="CP174" s="424"/>
      <c r="CQ174" s="424"/>
      <c r="CR174" s="425"/>
      <c r="CS174" s="426"/>
      <c r="CT174" s="426"/>
      <c r="CU174" s="425"/>
      <c r="CV174" s="424"/>
      <c r="CW174" s="424"/>
      <c r="CX174" s="425"/>
      <c r="CY174" s="426"/>
      <c r="CZ174" s="426"/>
      <c r="DA174" s="425"/>
      <c r="DB174" s="424"/>
      <c r="DC174" s="424"/>
      <c r="DD174" s="425"/>
      <c r="DE174" s="426"/>
      <c r="DF174" s="426"/>
      <c r="DG174" s="425"/>
      <c r="DH174" s="424"/>
      <c r="DI174" s="424"/>
      <c r="DJ174" s="425"/>
      <c r="DK174" s="426"/>
      <c r="DL174" s="426"/>
      <c r="DM174" s="425"/>
      <c r="DN174" s="424"/>
      <c r="DO174" s="424"/>
      <c r="DP174" s="425"/>
      <c r="DQ174" s="426"/>
      <c r="DR174" s="426"/>
      <c r="DS174" s="425"/>
      <c r="DT174" s="424"/>
      <c r="DU174" s="424"/>
      <c r="DV174" s="425"/>
      <c r="DW174" s="426"/>
      <c r="DX174" s="426"/>
      <c r="DY174" s="425"/>
      <c r="DZ174" s="424"/>
      <c r="EA174" s="424"/>
    </row>
    <row r="175" spans="3:131">
      <c r="C175" s="96" t="s">
        <v>1061</v>
      </c>
      <c r="D175" s="65"/>
      <c r="E175" s="65"/>
      <c r="F175" s="437" t="s">
        <v>948</v>
      </c>
      <c r="G175" s="436" t="s">
        <v>949</v>
      </c>
      <c r="H175" s="412" t="s">
        <v>950</v>
      </c>
      <c r="I175" s="429"/>
      <c r="J175" s="429">
        <f t="shared" si="6"/>
        <v>0</v>
      </c>
      <c r="K175" s="428">
        <f t="shared" si="7"/>
        <v>0</v>
      </c>
      <c r="L175" s="427"/>
      <c r="M175" s="426"/>
      <c r="N175" s="426"/>
      <c r="O175" s="425"/>
      <c r="P175" s="424"/>
      <c r="Q175" s="424"/>
      <c r="R175" s="425"/>
      <c r="S175" s="426"/>
      <c r="T175" s="426"/>
      <c r="U175" s="425"/>
      <c r="V175" s="424"/>
      <c r="W175" s="424"/>
      <c r="X175" s="425"/>
      <c r="Y175" s="426"/>
      <c r="Z175" s="426"/>
      <c r="AA175" s="425"/>
      <c r="AB175" s="424"/>
      <c r="AC175" s="424"/>
      <c r="AD175" s="425"/>
      <c r="AE175" s="426"/>
      <c r="AF175" s="426"/>
      <c r="AG175" s="425"/>
      <c r="AH175" s="424"/>
      <c r="AI175" s="424"/>
      <c r="AJ175" s="425"/>
      <c r="AK175" s="426"/>
      <c r="AL175" s="426"/>
      <c r="AM175" s="425"/>
      <c r="AN175" s="424"/>
      <c r="AO175" s="424"/>
      <c r="AP175" s="425"/>
      <c r="AQ175" s="426"/>
      <c r="AR175" s="426"/>
      <c r="AS175" s="425"/>
      <c r="AT175" s="424"/>
      <c r="AU175" s="424"/>
      <c r="AV175" s="425"/>
      <c r="AW175" s="426"/>
      <c r="AX175" s="426"/>
      <c r="AY175" s="425"/>
      <c r="AZ175" s="424"/>
      <c r="BA175" s="424"/>
      <c r="BB175" s="425"/>
      <c r="BC175" s="426"/>
      <c r="BD175" s="426"/>
      <c r="BE175" s="425"/>
      <c r="BF175" s="424"/>
      <c r="BG175" s="424"/>
      <c r="BH175" s="425"/>
      <c r="BI175" s="426"/>
      <c r="BJ175" s="426"/>
      <c r="BK175" s="425"/>
      <c r="BL175" s="424"/>
      <c r="BM175" s="424"/>
      <c r="BN175" s="425"/>
      <c r="BO175" s="426"/>
      <c r="BP175" s="426"/>
      <c r="BQ175" s="425"/>
      <c r="BR175" s="424"/>
      <c r="BS175" s="424"/>
      <c r="BT175" s="425"/>
      <c r="BU175" s="426"/>
      <c r="BV175" s="426"/>
      <c r="BW175" s="425"/>
      <c r="BX175" s="424"/>
      <c r="BY175" s="424"/>
      <c r="BZ175" s="425"/>
      <c r="CA175" s="426"/>
      <c r="CB175" s="426"/>
      <c r="CC175" s="425"/>
      <c r="CD175" s="424"/>
      <c r="CE175" s="424"/>
      <c r="CF175" s="425"/>
      <c r="CG175" s="426"/>
      <c r="CH175" s="426"/>
      <c r="CI175" s="425"/>
      <c r="CJ175" s="424"/>
      <c r="CK175" s="424"/>
      <c r="CL175" s="425"/>
      <c r="CM175" s="426"/>
      <c r="CN175" s="426"/>
      <c r="CO175" s="425"/>
      <c r="CP175" s="424"/>
      <c r="CQ175" s="424"/>
      <c r="CR175" s="425"/>
      <c r="CS175" s="426"/>
      <c r="CT175" s="426"/>
      <c r="CU175" s="425"/>
      <c r="CV175" s="424"/>
      <c r="CW175" s="424"/>
      <c r="CX175" s="425"/>
      <c r="CY175" s="426"/>
      <c r="CZ175" s="426"/>
      <c r="DA175" s="425"/>
      <c r="DB175" s="424"/>
      <c r="DC175" s="424"/>
      <c r="DD175" s="425"/>
      <c r="DE175" s="426"/>
      <c r="DF175" s="426"/>
      <c r="DG175" s="425"/>
      <c r="DH175" s="424"/>
      <c r="DI175" s="424"/>
      <c r="DJ175" s="425"/>
      <c r="DK175" s="426"/>
      <c r="DL175" s="426"/>
      <c r="DM175" s="425"/>
      <c r="DN175" s="424"/>
      <c r="DO175" s="424"/>
      <c r="DP175" s="425"/>
      <c r="DQ175" s="426"/>
      <c r="DR175" s="426"/>
      <c r="DS175" s="425"/>
      <c r="DT175" s="424"/>
      <c r="DU175" s="424"/>
      <c r="DV175" s="425"/>
      <c r="DW175" s="426"/>
      <c r="DX175" s="426"/>
      <c r="DY175" s="425"/>
      <c r="DZ175" s="424"/>
      <c r="EA175" s="424"/>
    </row>
    <row r="176" spans="3:131">
      <c r="D176" s="446"/>
      <c r="E176" s="1" t="s">
        <v>1060</v>
      </c>
      <c r="F176" s="432">
        <f ca="1">'MF Unit Material'!Y344</f>
        <v>12.166666666666666</v>
      </c>
      <c r="G176" s="431">
        <f>'MF Unit Material'!Z344</f>
        <v>195</v>
      </c>
      <c r="H176" s="158">
        <f ca="1">'MF Unit Material'!AA344</f>
        <v>2372.5</v>
      </c>
      <c r="I176" s="430">
        <f ca="1">F176-J176</f>
        <v>12.166666666666666</v>
      </c>
      <c r="J176" s="429">
        <f t="shared" si="6"/>
        <v>0</v>
      </c>
      <c r="K176" s="428">
        <f t="shared" si="7"/>
        <v>0</v>
      </c>
      <c r="L176" s="427"/>
      <c r="M176" s="426"/>
      <c r="N176" s="426"/>
      <c r="O176" s="425"/>
      <c r="P176" s="424"/>
      <c r="Q176" s="424"/>
      <c r="R176" s="425"/>
      <c r="S176" s="426"/>
      <c r="T176" s="426"/>
      <c r="U176" s="425"/>
      <c r="V176" s="424"/>
      <c r="W176" s="424"/>
      <c r="X176" s="425"/>
      <c r="Y176" s="426"/>
      <c r="Z176" s="426"/>
      <c r="AA176" s="425"/>
      <c r="AB176" s="424"/>
      <c r="AC176" s="424"/>
      <c r="AD176" s="425"/>
      <c r="AE176" s="426"/>
      <c r="AF176" s="426"/>
      <c r="AG176" s="425"/>
      <c r="AH176" s="424"/>
      <c r="AI176" s="424"/>
      <c r="AJ176" s="425"/>
      <c r="AK176" s="426"/>
      <c r="AL176" s="426"/>
      <c r="AM176" s="425"/>
      <c r="AN176" s="424"/>
      <c r="AO176" s="424"/>
      <c r="AP176" s="425"/>
      <c r="AQ176" s="426"/>
      <c r="AR176" s="426"/>
      <c r="AS176" s="425"/>
      <c r="AT176" s="424"/>
      <c r="AU176" s="424"/>
      <c r="AV176" s="425"/>
      <c r="AW176" s="426"/>
      <c r="AX176" s="426"/>
      <c r="AY176" s="425"/>
      <c r="AZ176" s="424"/>
      <c r="BA176" s="424"/>
      <c r="BB176" s="425"/>
      <c r="BC176" s="426"/>
      <c r="BD176" s="426"/>
      <c r="BE176" s="425"/>
      <c r="BF176" s="424"/>
      <c r="BG176" s="424"/>
      <c r="BH176" s="425"/>
      <c r="BI176" s="426"/>
      <c r="BJ176" s="426"/>
      <c r="BK176" s="425"/>
      <c r="BL176" s="424"/>
      <c r="BM176" s="424"/>
      <c r="BN176" s="425"/>
      <c r="BO176" s="426"/>
      <c r="BP176" s="426"/>
      <c r="BQ176" s="425"/>
      <c r="BR176" s="424"/>
      <c r="BS176" s="424"/>
      <c r="BT176" s="425"/>
      <c r="BU176" s="426"/>
      <c r="BV176" s="426"/>
      <c r="BW176" s="425"/>
      <c r="BX176" s="424"/>
      <c r="BY176" s="424"/>
      <c r="BZ176" s="425"/>
      <c r="CA176" s="426"/>
      <c r="CB176" s="426"/>
      <c r="CC176" s="425"/>
      <c r="CD176" s="424"/>
      <c r="CE176" s="424"/>
      <c r="CF176" s="425"/>
      <c r="CG176" s="426"/>
      <c r="CH176" s="426"/>
      <c r="CI176" s="425"/>
      <c r="CJ176" s="424"/>
      <c r="CK176" s="424"/>
      <c r="CL176" s="425"/>
      <c r="CM176" s="426"/>
      <c r="CN176" s="426"/>
      <c r="CO176" s="425"/>
      <c r="CP176" s="424"/>
      <c r="CQ176" s="424"/>
      <c r="CR176" s="425"/>
      <c r="CS176" s="426"/>
      <c r="CT176" s="426"/>
      <c r="CU176" s="425"/>
      <c r="CV176" s="424"/>
      <c r="CW176" s="424"/>
      <c r="CX176" s="425"/>
      <c r="CY176" s="426"/>
      <c r="CZ176" s="426"/>
      <c r="DA176" s="425"/>
      <c r="DB176" s="424"/>
      <c r="DC176" s="424"/>
      <c r="DD176" s="425"/>
      <c r="DE176" s="426"/>
      <c r="DF176" s="426"/>
      <c r="DG176" s="425"/>
      <c r="DH176" s="424"/>
      <c r="DI176" s="424"/>
      <c r="DJ176" s="425"/>
      <c r="DK176" s="426"/>
      <c r="DL176" s="426"/>
      <c r="DM176" s="425"/>
      <c r="DN176" s="424"/>
      <c r="DO176" s="424"/>
      <c r="DP176" s="425"/>
      <c r="DQ176" s="426"/>
      <c r="DR176" s="426"/>
      <c r="DS176" s="425"/>
      <c r="DT176" s="424"/>
      <c r="DU176" s="424"/>
      <c r="DV176" s="425"/>
      <c r="DW176" s="426"/>
      <c r="DX176" s="426"/>
      <c r="DY176" s="425"/>
      <c r="DZ176" s="424"/>
      <c r="EA176" s="424"/>
    </row>
    <row r="177" spans="3:131">
      <c r="C177" s="423"/>
      <c r="D177" s="1"/>
      <c r="E177" s="16" t="s">
        <v>961</v>
      </c>
      <c r="F177" s="422">
        <f ca="1">'MF Unit Material'!Y346</f>
        <v>12.166666666666666</v>
      </c>
      <c r="G177" s="421">
        <f>'MF Unit Material'!Z346</f>
        <v>0</v>
      </c>
      <c r="H177" s="420">
        <f ca="1">'MF Unit Material'!AA346</f>
        <v>2372.5</v>
      </c>
      <c r="I177" s="429"/>
      <c r="J177" s="429">
        <f t="shared" si="6"/>
        <v>0</v>
      </c>
      <c r="K177" s="428">
        <f t="shared" si="7"/>
        <v>0</v>
      </c>
      <c r="L177" s="427"/>
      <c r="M177" s="426"/>
      <c r="N177" s="426"/>
      <c r="O177" s="425"/>
      <c r="P177" s="424"/>
      <c r="Q177" s="424"/>
      <c r="R177" s="425"/>
      <c r="S177" s="426"/>
      <c r="T177" s="426"/>
      <c r="U177" s="425"/>
      <c r="V177" s="424"/>
      <c r="W177" s="424"/>
      <c r="X177" s="425"/>
      <c r="Y177" s="426"/>
      <c r="Z177" s="426"/>
      <c r="AA177" s="425"/>
      <c r="AB177" s="424"/>
      <c r="AC177" s="424"/>
      <c r="AD177" s="425"/>
      <c r="AE177" s="426"/>
      <c r="AF177" s="426"/>
      <c r="AG177" s="425"/>
      <c r="AH177" s="424"/>
      <c r="AI177" s="424"/>
      <c r="AJ177" s="425"/>
      <c r="AK177" s="426"/>
      <c r="AL177" s="426"/>
      <c r="AM177" s="425"/>
      <c r="AN177" s="424"/>
      <c r="AO177" s="424"/>
      <c r="AP177" s="425"/>
      <c r="AQ177" s="426"/>
      <c r="AR177" s="426"/>
      <c r="AS177" s="425"/>
      <c r="AT177" s="424"/>
      <c r="AU177" s="424"/>
      <c r="AV177" s="425"/>
      <c r="AW177" s="426"/>
      <c r="AX177" s="426"/>
      <c r="AY177" s="425"/>
      <c r="AZ177" s="424"/>
      <c r="BA177" s="424"/>
      <c r="BB177" s="425"/>
      <c r="BC177" s="426"/>
      <c r="BD177" s="426"/>
      <c r="BE177" s="425"/>
      <c r="BF177" s="424"/>
      <c r="BG177" s="424"/>
      <c r="BH177" s="425"/>
      <c r="BI177" s="426"/>
      <c r="BJ177" s="426"/>
      <c r="BK177" s="425"/>
      <c r="BL177" s="424"/>
      <c r="BM177" s="424"/>
      <c r="BN177" s="425"/>
      <c r="BO177" s="426"/>
      <c r="BP177" s="426"/>
      <c r="BQ177" s="425"/>
      <c r="BR177" s="424"/>
      <c r="BS177" s="424"/>
      <c r="BT177" s="425"/>
      <c r="BU177" s="426"/>
      <c r="BV177" s="426"/>
      <c r="BW177" s="425"/>
      <c r="BX177" s="424"/>
      <c r="BY177" s="424"/>
      <c r="BZ177" s="425"/>
      <c r="CA177" s="426"/>
      <c r="CB177" s="426"/>
      <c r="CC177" s="425"/>
      <c r="CD177" s="424"/>
      <c r="CE177" s="424"/>
      <c r="CF177" s="425"/>
      <c r="CG177" s="426"/>
      <c r="CH177" s="426"/>
      <c r="CI177" s="425"/>
      <c r="CJ177" s="424"/>
      <c r="CK177" s="424"/>
      <c r="CL177" s="425"/>
      <c r="CM177" s="426"/>
      <c r="CN177" s="426"/>
      <c r="CO177" s="425"/>
      <c r="CP177" s="424"/>
      <c r="CQ177" s="424"/>
      <c r="CR177" s="425"/>
      <c r="CS177" s="426"/>
      <c r="CT177" s="426"/>
      <c r="CU177" s="425"/>
      <c r="CV177" s="424"/>
      <c r="CW177" s="424"/>
      <c r="CX177" s="425"/>
      <c r="CY177" s="426"/>
      <c r="CZ177" s="426"/>
      <c r="DA177" s="425"/>
      <c r="DB177" s="424"/>
      <c r="DC177" s="424"/>
      <c r="DD177" s="425"/>
      <c r="DE177" s="426"/>
      <c r="DF177" s="426"/>
      <c r="DG177" s="425"/>
      <c r="DH177" s="424"/>
      <c r="DI177" s="424"/>
      <c r="DJ177" s="425"/>
      <c r="DK177" s="426"/>
      <c r="DL177" s="426"/>
      <c r="DM177" s="425"/>
      <c r="DN177" s="424"/>
      <c r="DO177" s="424"/>
      <c r="DP177" s="425"/>
      <c r="DQ177" s="426"/>
      <c r="DR177" s="426"/>
      <c r="DS177" s="425"/>
      <c r="DT177" s="424"/>
      <c r="DU177" s="424"/>
      <c r="DV177" s="425"/>
      <c r="DW177" s="426"/>
      <c r="DX177" s="426"/>
      <c r="DY177" s="425"/>
      <c r="DZ177" s="424"/>
      <c r="EA177" s="424"/>
    </row>
    <row r="178" spans="3:131">
      <c r="C178" s="96" t="s">
        <v>1062</v>
      </c>
      <c r="D178" s="65"/>
      <c r="E178" s="65"/>
      <c r="F178" s="437" t="s">
        <v>948</v>
      </c>
      <c r="G178" s="436" t="s">
        <v>949</v>
      </c>
      <c r="H178" s="412" t="s">
        <v>950</v>
      </c>
      <c r="I178" s="429"/>
      <c r="J178" s="429">
        <f t="shared" si="6"/>
        <v>0</v>
      </c>
      <c r="K178" s="428">
        <f t="shared" si="7"/>
        <v>0</v>
      </c>
      <c r="L178" s="427"/>
      <c r="M178" s="426"/>
      <c r="N178" s="426"/>
      <c r="O178" s="425"/>
      <c r="P178" s="424"/>
      <c r="Q178" s="424"/>
      <c r="R178" s="425"/>
      <c r="S178" s="426"/>
      <c r="T178" s="426"/>
      <c r="U178" s="425"/>
      <c r="V178" s="424"/>
      <c r="W178" s="424"/>
      <c r="X178" s="425"/>
      <c r="Y178" s="426"/>
      <c r="Z178" s="426"/>
      <c r="AA178" s="425"/>
      <c r="AB178" s="424"/>
      <c r="AC178" s="424"/>
      <c r="AD178" s="425"/>
      <c r="AE178" s="426"/>
      <c r="AF178" s="426"/>
      <c r="AG178" s="425"/>
      <c r="AH178" s="424"/>
      <c r="AI178" s="424"/>
      <c r="AJ178" s="425"/>
      <c r="AK178" s="426"/>
      <c r="AL178" s="426"/>
      <c r="AM178" s="425"/>
      <c r="AN178" s="424"/>
      <c r="AO178" s="424"/>
      <c r="AP178" s="425"/>
      <c r="AQ178" s="426"/>
      <c r="AR178" s="426"/>
      <c r="AS178" s="425"/>
      <c r="AT178" s="424"/>
      <c r="AU178" s="424"/>
      <c r="AV178" s="425"/>
      <c r="AW178" s="426"/>
      <c r="AX178" s="426"/>
      <c r="AY178" s="425"/>
      <c r="AZ178" s="424"/>
      <c r="BA178" s="424"/>
      <c r="BB178" s="425"/>
      <c r="BC178" s="426"/>
      <c r="BD178" s="426"/>
      <c r="BE178" s="425"/>
      <c r="BF178" s="424"/>
      <c r="BG178" s="424"/>
      <c r="BH178" s="425"/>
      <c r="BI178" s="426"/>
      <c r="BJ178" s="426"/>
      <c r="BK178" s="425"/>
      <c r="BL178" s="424"/>
      <c r="BM178" s="424"/>
      <c r="BN178" s="425"/>
      <c r="BO178" s="426"/>
      <c r="BP178" s="426"/>
      <c r="BQ178" s="425"/>
      <c r="BR178" s="424"/>
      <c r="BS178" s="424"/>
      <c r="BT178" s="425"/>
      <c r="BU178" s="426"/>
      <c r="BV178" s="426"/>
      <c r="BW178" s="425"/>
      <c r="BX178" s="424"/>
      <c r="BY178" s="424"/>
      <c r="BZ178" s="425"/>
      <c r="CA178" s="426"/>
      <c r="CB178" s="426"/>
      <c r="CC178" s="425"/>
      <c r="CD178" s="424"/>
      <c r="CE178" s="424"/>
      <c r="CF178" s="425"/>
      <c r="CG178" s="426"/>
      <c r="CH178" s="426"/>
      <c r="CI178" s="425"/>
      <c r="CJ178" s="424"/>
      <c r="CK178" s="424"/>
      <c r="CL178" s="425"/>
      <c r="CM178" s="426"/>
      <c r="CN178" s="426"/>
      <c r="CO178" s="425"/>
      <c r="CP178" s="424"/>
      <c r="CQ178" s="424"/>
      <c r="CR178" s="425"/>
      <c r="CS178" s="426"/>
      <c r="CT178" s="426"/>
      <c r="CU178" s="425"/>
      <c r="CV178" s="424"/>
      <c r="CW178" s="424"/>
      <c r="CX178" s="425"/>
      <c r="CY178" s="426"/>
      <c r="CZ178" s="426"/>
      <c r="DA178" s="425"/>
      <c r="DB178" s="424"/>
      <c r="DC178" s="424"/>
      <c r="DD178" s="425"/>
      <c r="DE178" s="426"/>
      <c r="DF178" s="426"/>
      <c r="DG178" s="425"/>
      <c r="DH178" s="424"/>
      <c r="DI178" s="424"/>
      <c r="DJ178" s="425"/>
      <c r="DK178" s="426"/>
      <c r="DL178" s="426"/>
      <c r="DM178" s="425"/>
      <c r="DN178" s="424"/>
      <c r="DO178" s="424"/>
      <c r="DP178" s="425"/>
      <c r="DQ178" s="426"/>
      <c r="DR178" s="426"/>
      <c r="DS178" s="425"/>
      <c r="DT178" s="424"/>
      <c r="DU178" s="424"/>
      <c r="DV178" s="425"/>
      <c r="DW178" s="426"/>
      <c r="DX178" s="426"/>
      <c r="DY178" s="425"/>
      <c r="DZ178" s="424"/>
      <c r="EA178" s="424"/>
    </row>
    <row r="179" spans="3:131">
      <c r="D179" s="446"/>
      <c r="E179" s="1" t="s">
        <v>1001</v>
      </c>
      <c r="F179" s="432">
        <f>'MF Unit Material'!Y348</f>
        <v>350.85875999999996</v>
      </c>
      <c r="G179" s="431">
        <f>'MF Unit Material'!Z348</f>
        <v>14</v>
      </c>
      <c r="H179" s="158">
        <f>'MF Unit Material'!AA348</f>
        <v>4912.0226399999992</v>
      </c>
      <c r="I179" s="430">
        <f>F179-J179</f>
        <v>350.85875999999996</v>
      </c>
      <c r="J179" s="429">
        <f t="shared" si="6"/>
        <v>0</v>
      </c>
      <c r="K179" s="428">
        <f t="shared" si="7"/>
        <v>0</v>
      </c>
      <c r="L179" s="427"/>
      <c r="M179" s="426"/>
      <c r="N179" s="426"/>
      <c r="O179" s="425"/>
      <c r="P179" s="424"/>
      <c r="Q179" s="424"/>
      <c r="R179" s="425"/>
      <c r="S179" s="426"/>
      <c r="T179" s="426"/>
      <c r="U179" s="425"/>
      <c r="V179" s="424"/>
      <c r="W179" s="424"/>
      <c r="X179" s="425"/>
      <c r="Y179" s="426"/>
      <c r="Z179" s="426"/>
      <c r="AA179" s="425"/>
      <c r="AB179" s="424"/>
      <c r="AC179" s="424"/>
      <c r="AD179" s="425"/>
      <c r="AE179" s="426"/>
      <c r="AF179" s="426"/>
      <c r="AG179" s="425"/>
      <c r="AH179" s="424"/>
      <c r="AI179" s="424"/>
      <c r="AJ179" s="425"/>
      <c r="AK179" s="426"/>
      <c r="AL179" s="426"/>
      <c r="AM179" s="425"/>
      <c r="AN179" s="424"/>
      <c r="AO179" s="424"/>
      <c r="AP179" s="425"/>
      <c r="AQ179" s="426"/>
      <c r="AR179" s="426"/>
      <c r="AS179" s="425"/>
      <c r="AT179" s="424"/>
      <c r="AU179" s="424"/>
      <c r="AV179" s="425"/>
      <c r="AW179" s="426"/>
      <c r="AX179" s="426"/>
      <c r="AY179" s="425"/>
      <c r="AZ179" s="424"/>
      <c r="BA179" s="424"/>
      <c r="BB179" s="425"/>
      <c r="BC179" s="426"/>
      <c r="BD179" s="426"/>
      <c r="BE179" s="425"/>
      <c r="BF179" s="424"/>
      <c r="BG179" s="424"/>
      <c r="BH179" s="425"/>
      <c r="BI179" s="426"/>
      <c r="BJ179" s="426"/>
      <c r="BK179" s="425"/>
      <c r="BL179" s="424"/>
      <c r="BM179" s="424"/>
      <c r="BN179" s="425"/>
      <c r="BO179" s="426"/>
      <c r="BP179" s="426"/>
      <c r="BQ179" s="425"/>
      <c r="BR179" s="424"/>
      <c r="BS179" s="424"/>
      <c r="BT179" s="425"/>
      <c r="BU179" s="426"/>
      <c r="BV179" s="426"/>
      <c r="BW179" s="425"/>
      <c r="BX179" s="424"/>
      <c r="BY179" s="424"/>
      <c r="BZ179" s="425"/>
      <c r="CA179" s="426"/>
      <c r="CB179" s="426"/>
      <c r="CC179" s="425"/>
      <c r="CD179" s="424"/>
      <c r="CE179" s="424"/>
      <c r="CF179" s="425"/>
      <c r="CG179" s="426"/>
      <c r="CH179" s="426"/>
      <c r="CI179" s="425"/>
      <c r="CJ179" s="424"/>
      <c r="CK179" s="424"/>
      <c r="CL179" s="425"/>
      <c r="CM179" s="426"/>
      <c r="CN179" s="426"/>
      <c r="CO179" s="425"/>
      <c r="CP179" s="424"/>
      <c r="CQ179" s="424"/>
      <c r="CR179" s="425"/>
      <c r="CS179" s="426"/>
      <c r="CT179" s="426"/>
      <c r="CU179" s="425"/>
      <c r="CV179" s="424"/>
      <c r="CW179" s="424"/>
      <c r="CX179" s="425"/>
      <c r="CY179" s="426"/>
      <c r="CZ179" s="426"/>
      <c r="DA179" s="425"/>
      <c r="DB179" s="424"/>
      <c r="DC179" s="424"/>
      <c r="DD179" s="425"/>
      <c r="DE179" s="426"/>
      <c r="DF179" s="426"/>
      <c r="DG179" s="425"/>
      <c r="DH179" s="424"/>
      <c r="DI179" s="424"/>
      <c r="DJ179" s="425"/>
      <c r="DK179" s="426"/>
      <c r="DL179" s="426"/>
      <c r="DM179" s="425"/>
      <c r="DN179" s="424"/>
      <c r="DO179" s="424"/>
      <c r="DP179" s="425"/>
      <c r="DQ179" s="426"/>
      <c r="DR179" s="426"/>
      <c r="DS179" s="425"/>
      <c r="DT179" s="424"/>
      <c r="DU179" s="424"/>
      <c r="DV179" s="425"/>
      <c r="DW179" s="426"/>
      <c r="DX179" s="426"/>
      <c r="DY179" s="425"/>
      <c r="DZ179" s="424"/>
      <c r="EA179" s="424"/>
    </row>
    <row r="180" spans="3:131">
      <c r="C180" s="423"/>
      <c r="D180" s="1"/>
      <c r="E180" s="16" t="s">
        <v>961</v>
      </c>
      <c r="F180" s="422">
        <f>'MF Unit Material'!Y350</f>
        <v>350.85875999999996</v>
      </c>
      <c r="G180" s="421">
        <f>'MF Unit Material'!Z350</f>
        <v>0</v>
      </c>
      <c r="H180" s="420">
        <f>'MF Unit Material'!AA350</f>
        <v>4912.0226400000001</v>
      </c>
      <c r="I180" s="429"/>
      <c r="J180" s="429">
        <f t="shared" si="6"/>
        <v>0</v>
      </c>
      <c r="K180" s="428">
        <f t="shared" si="7"/>
        <v>0</v>
      </c>
      <c r="L180" s="427"/>
      <c r="M180" s="426"/>
      <c r="N180" s="426"/>
      <c r="O180" s="425"/>
      <c r="P180" s="424"/>
      <c r="Q180" s="424"/>
      <c r="R180" s="425"/>
      <c r="S180" s="426"/>
      <c r="T180" s="426"/>
      <c r="U180" s="425"/>
      <c r="V180" s="424"/>
      <c r="W180" s="424"/>
      <c r="X180" s="425"/>
      <c r="Y180" s="426"/>
      <c r="Z180" s="426"/>
      <c r="AA180" s="425"/>
      <c r="AB180" s="424"/>
      <c r="AC180" s="424"/>
      <c r="AD180" s="425"/>
      <c r="AE180" s="426"/>
      <c r="AF180" s="426"/>
      <c r="AG180" s="425"/>
      <c r="AH180" s="424"/>
      <c r="AI180" s="424"/>
      <c r="AJ180" s="425"/>
      <c r="AK180" s="426"/>
      <c r="AL180" s="426"/>
      <c r="AM180" s="425"/>
      <c r="AN180" s="424"/>
      <c r="AO180" s="424"/>
      <c r="AP180" s="425"/>
      <c r="AQ180" s="426"/>
      <c r="AR180" s="426"/>
      <c r="AS180" s="425"/>
      <c r="AT180" s="424"/>
      <c r="AU180" s="424"/>
      <c r="AV180" s="425"/>
      <c r="AW180" s="426"/>
      <c r="AX180" s="426"/>
      <c r="AY180" s="425"/>
      <c r="AZ180" s="424"/>
      <c r="BA180" s="424"/>
      <c r="BB180" s="425"/>
      <c r="BC180" s="426"/>
      <c r="BD180" s="426"/>
      <c r="BE180" s="425"/>
      <c r="BF180" s="424"/>
      <c r="BG180" s="424"/>
      <c r="BH180" s="425"/>
      <c r="BI180" s="426"/>
      <c r="BJ180" s="426"/>
      <c r="BK180" s="425"/>
      <c r="BL180" s="424"/>
      <c r="BM180" s="424"/>
      <c r="BN180" s="425"/>
      <c r="BO180" s="426"/>
      <c r="BP180" s="426"/>
      <c r="BQ180" s="425"/>
      <c r="BR180" s="424"/>
      <c r="BS180" s="424"/>
      <c r="BT180" s="425"/>
      <c r="BU180" s="426"/>
      <c r="BV180" s="426"/>
      <c r="BW180" s="425"/>
      <c r="BX180" s="424"/>
      <c r="BY180" s="424"/>
      <c r="BZ180" s="425"/>
      <c r="CA180" s="426"/>
      <c r="CB180" s="426"/>
      <c r="CC180" s="425"/>
      <c r="CD180" s="424"/>
      <c r="CE180" s="424"/>
      <c r="CF180" s="425"/>
      <c r="CG180" s="426"/>
      <c r="CH180" s="426"/>
      <c r="CI180" s="425"/>
      <c r="CJ180" s="424"/>
      <c r="CK180" s="424"/>
      <c r="CL180" s="425"/>
      <c r="CM180" s="426"/>
      <c r="CN180" s="426"/>
      <c r="CO180" s="425"/>
      <c r="CP180" s="424"/>
      <c r="CQ180" s="424"/>
      <c r="CR180" s="425"/>
      <c r="CS180" s="426"/>
      <c r="CT180" s="426"/>
      <c r="CU180" s="425"/>
      <c r="CV180" s="424"/>
      <c r="CW180" s="424"/>
      <c r="CX180" s="425"/>
      <c r="CY180" s="426"/>
      <c r="CZ180" s="426"/>
      <c r="DA180" s="425"/>
      <c r="DB180" s="424"/>
      <c r="DC180" s="424"/>
      <c r="DD180" s="425"/>
      <c r="DE180" s="426"/>
      <c r="DF180" s="426"/>
      <c r="DG180" s="425"/>
      <c r="DH180" s="424"/>
      <c r="DI180" s="424"/>
      <c r="DJ180" s="425"/>
      <c r="DK180" s="426"/>
      <c r="DL180" s="426"/>
      <c r="DM180" s="425"/>
      <c r="DN180" s="424"/>
      <c r="DO180" s="424"/>
      <c r="DP180" s="425"/>
      <c r="DQ180" s="426"/>
      <c r="DR180" s="426"/>
      <c r="DS180" s="425"/>
      <c r="DT180" s="424"/>
      <c r="DU180" s="424"/>
      <c r="DV180" s="425"/>
      <c r="DW180" s="426"/>
      <c r="DX180" s="426"/>
      <c r="DY180" s="425"/>
      <c r="DZ180" s="424"/>
      <c r="EA180" s="424"/>
    </row>
    <row r="181" spans="3:131">
      <c r="C181" s="96" t="s">
        <v>1063</v>
      </c>
      <c r="D181" s="65"/>
      <c r="E181" s="65"/>
      <c r="F181" s="437" t="s">
        <v>948</v>
      </c>
      <c r="G181" s="436" t="s">
        <v>949</v>
      </c>
      <c r="H181" s="412" t="s">
        <v>950</v>
      </c>
      <c r="I181" s="429"/>
      <c r="J181" s="429">
        <f t="shared" si="6"/>
        <v>0</v>
      </c>
      <c r="K181" s="428">
        <f t="shared" si="7"/>
        <v>0</v>
      </c>
      <c r="L181" s="427"/>
      <c r="M181" s="426"/>
      <c r="N181" s="426"/>
      <c r="O181" s="425"/>
      <c r="P181" s="424"/>
      <c r="Q181" s="424"/>
      <c r="R181" s="425"/>
      <c r="S181" s="426"/>
      <c r="T181" s="426"/>
      <c r="U181" s="425"/>
      <c r="V181" s="424"/>
      <c r="W181" s="424"/>
      <c r="X181" s="425"/>
      <c r="Y181" s="426"/>
      <c r="Z181" s="426"/>
      <c r="AA181" s="425"/>
      <c r="AB181" s="424"/>
      <c r="AC181" s="424"/>
      <c r="AD181" s="425"/>
      <c r="AE181" s="426"/>
      <c r="AF181" s="426"/>
      <c r="AG181" s="425"/>
      <c r="AH181" s="424"/>
      <c r="AI181" s="424"/>
      <c r="AJ181" s="425"/>
      <c r="AK181" s="426"/>
      <c r="AL181" s="426"/>
      <c r="AM181" s="425"/>
      <c r="AN181" s="424"/>
      <c r="AO181" s="424"/>
      <c r="AP181" s="425"/>
      <c r="AQ181" s="426"/>
      <c r="AR181" s="426"/>
      <c r="AS181" s="425"/>
      <c r="AT181" s="424"/>
      <c r="AU181" s="424"/>
      <c r="AV181" s="425"/>
      <c r="AW181" s="426"/>
      <c r="AX181" s="426"/>
      <c r="AY181" s="425"/>
      <c r="AZ181" s="424"/>
      <c r="BA181" s="424"/>
      <c r="BB181" s="425"/>
      <c r="BC181" s="426"/>
      <c r="BD181" s="426"/>
      <c r="BE181" s="425"/>
      <c r="BF181" s="424"/>
      <c r="BG181" s="424"/>
      <c r="BH181" s="425"/>
      <c r="BI181" s="426"/>
      <c r="BJ181" s="426"/>
      <c r="BK181" s="425"/>
      <c r="BL181" s="424"/>
      <c r="BM181" s="424"/>
      <c r="BN181" s="425"/>
      <c r="BO181" s="426"/>
      <c r="BP181" s="426"/>
      <c r="BQ181" s="425"/>
      <c r="BR181" s="424"/>
      <c r="BS181" s="424"/>
      <c r="BT181" s="425"/>
      <c r="BU181" s="426"/>
      <c r="BV181" s="426"/>
      <c r="BW181" s="425"/>
      <c r="BX181" s="424"/>
      <c r="BY181" s="424"/>
      <c r="BZ181" s="425"/>
      <c r="CA181" s="426"/>
      <c r="CB181" s="426"/>
      <c r="CC181" s="425"/>
      <c r="CD181" s="424"/>
      <c r="CE181" s="424"/>
      <c r="CF181" s="425"/>
      <c r="CG181" s="426"/>
      <c r="CH181" s="426"/>
      <c r="CI181" s="425"/>
      <c r="CJ181" s="424"/>
      <c r="CK181" s="424"/>
      <c r="CL181" s="425"/>
      <c r="CM181" s="426"/>
      <c r="CN181" s="426"/>
      <c r="CO181" s="425"/>
      <c r="CP181" s="424"/>
      <c r="CQ181" s="424"/>
      <c r="CR181" s="425"/>
      <c r="CS181" s="426"/>
      <c r="CT181" s="426"/>
      <c r="CU181" s="425"/>
      <c r="CV181" s="424"/>
      <c r="CW181" s="424"/>
      <c r="CX181" s="425"/>
      <c r="CY181" s="426"/>
      <c r="CZ181" s="426"/>
      <c r="DA181" s="425"/>
      <c r="DB181" s="424"/>
      <c r="DC181" s="424"/>
      <c r="DD181" s="425"/>
      <c r="DE181" s="426"/>
      <c r="DF181" s="426"/>
      <c r="DG181" s="425"/>
      <c r="DH181" s="424"/>
      <c r="DI181" s="424"/>
      <c r="DJ181" s="425"/>
      <c r="DK181" s="426"/>
      <c r="DL181" s="426"/>
      <c r="DM181" s="425"/>
      <c r="DN181" s="424"/>
      <c r="DO181" s="424"/>
      <c r="DP181" s="425"/>
      <c r="DQ181" s="426"/>
      <c r="DR181" s="426"/>
      <c r="DS181" s="425"/>
      <c r="DT181" s="424"/>
      <c r="DU181" s="424"/>
      <c r="DV181" s="425"/>
      <c r="DW181" s="426"/>
      <c r="DX181" s="426"/>
      <c r="DY181" s="425"/>
      <c r="DZ181" s="424"/>
      <c r="EA181" s="424"/>
    </row>
    <row r="182" spans="3:131">
      <c r="D182" s="446"/>
      <c r="E182" s="1" t="s">
        <v>968</v>
      </c>
      <c r="F182" s="432">
        <f>'MF Unit Material'!Y352</f>
        <v>89.6</v>
      </c>
      <c r="G182" s="431">
        <f>'MF Unit Material'!Z352</f>
        <v>17</v>
      </c>
      <c r="H182" s="158">
        <f>'MF Unit Material'!AA352</f>
        <v>1523.1999999999998</v>
      </c>
      <c r="I182" s="430">
        <f>F182-J182</f>
        <v>89.6</v>
      </c>
      <c r="J182" s="429">
        <f t="shared" si="6"/>
        <v>0</v>
      </c>
      <c r="K182" s="428">
        <f t="shared" si="7"/>
        <v>0</v>
      </c>
      <c r="L182" s="427"/>
      <c r="M182" s="426"/>
      <c r="N182" s="426"/>
      <c r="O182" s="425"/>
      <c r="P182" s="424"/>
      <c r="Q182" s="424"/>
      <c r="R182" s="425"/>
      <c r="S182" s="426"/>
      <c r="T182" s="426"/>
      <c r="U182" s="425"/>
      <c r="V182" s="424"/>
      <c r="W182" s="424"/>
      <c r="X182" s="425"/>
      <c r="Y182" s="426"/>
      <c r="Z182" s="426"/>
      <c r="AA182" s="425"/>
      <c r="AB182" s="424"/>
      <c r="AC182" s="424"/>
      <c r="AD182" s="425"/>
      <c r="AE182" s="426"/>
      <c r="AF182" s="426"/>
      <c r="AG182" s="425"/>
      <c r="AH182" s="424"/>
      <c r="AI182" s="424"/>
      <c r="AJ182" s="425"/>
      <c r="AK182" s="426"/>
      <c r="AL182" s="426"/>
      <c r="AM182" s="425"/>
      <c r="AN182" s="424"/>
      <c r="AO182" s="424"/>
      <c r="AP182" s="425"/>
      <c r="AQ182" s="426"/>
      <c r="AR182" s="426"/>
      <c r="AS182" s="425"/>
      <c r="AT182" s="424"/>
      <c r="AU182" s="424"/>
      <c r="AV182" s="425"/>
      <c r="AW182" s="426"/>
      <c r="AX182" s="426"/>
      <c r="AY182" s="425"/>
      <c r="AZ182" s="424"/>
      <c r="BA182" s="424"/>
      <c r="BB182" s="425"/>
      <c r="BC182" s="426"/>
      <c r="BD182" s="426"/>
      <c r="BE182" s="425"/>
      <c r="BF182" s="424"/>
      <c r="BG182" s="424"/>
      <c r="BH182" s="425"/>
      <c r="BI182" s="426"/>
      <c r="BJ182" s="426"/>
      <c r="BK182" s="425"/>
      <c r="BL182" s="424"/>
      <c r="BM182" s="424"/>
      <c r="BN182" s="425"/>
      <c r="BO182" s="426"/>
      <c r="BP182" s="426"/>
      <c r="BQ182" s="425"/>
      <c r="BR182" s="424"/>
      <c r="BS182" s="424"/>
      <c r="BT182" s="425"/>
      <c r="BU182" s="426"/>
      <c r="BV182" s="426"/>
      <c r="BW182" s="425"/>
      <c r="BX182" s="424"/>
      <c r="BY182" s="424"/>
      <c r="BZ182" s="425"/>
      <c r="CA182" s="426"/>
      <c r="CB182" s="426"/>
      <c r="CC182" s="425"/>
      <c r="CD182" s="424"/>
      <c r="CE182" s="424"/>
      <c r="CF182" s="425"/>
      <c r="CG182" s="426"/>
      <c r="CH182" s="426"/>
      <c r="CI182" s="425"/>
      <c r="CJ182" s="424"/>
      <c r="CK182" s="424"/>
      <c r="CL182" s="425"/>
      <c r="CM182" s="426"/>
      <c r="CN182" s="426"/>
      <c r="CO182" s="425"/>
      <c r="CP182" s="424"/>
      <c r="CQ182" s="424"/>
      <c r="CR182" s="425"/>
      <c r="CS182" s="426"/>
      <c r="CT182" s="426"/>
      <c r="CU182" s="425"/>
      <c r="CV182" s="424"/>
      <c r="CW182" s="424"/>
      <c r="CX182" s="425"/>
      <c r="CY182" s="426"/>
      <c r="CZ182" s="426"/>
      <c r="DA182" s="425"/>
      <c r="DB182" s="424"/>
      <c r="DC182" s="424"/>
      <c r="DD182" s="425"/>
      <c r="DE182" s="426"/>
      <c r="DF182" s="426"/>
      <c r="DG182" s="425"/>
      <c r="DH182" s="424"/>
      <c r="DI182" s="424"/>
      <c r="DJ182" s="425"/>
      <c r="DK182" s="426"/>
      <c r="DL182" s="426"/>
      <c r="DM182" s="425"/>
      <c r="DN182" s="424"/>
      <c r="DO182" s="424"/>
      <c r="DP182" s="425"/>
      <c r="DQ182" s="426"/>
      <c r="DR182" s="426"/>
      <c r="DS182" s="425"/>
      <c r="DT182" s="424"/>
      <c r="DU182" s="424"/>
      <c r="DV182" s="425"/>
      <c r="DW182" s="426"/>
      <c r="DX182" s="426"/>
      <c r="DY182" s="425"/>
      <c r="DZ182" s="424"/>
      <c r="EA182" s="424"/>
    </row>
    <row r="183" spans="3:131">
      <c r="C183" s="423"/>
      <c r="D183" s="1"/>
      <c r="E183" s="16" t="s">
        <v>961</v>
      </c>
      <c r="F183" s="422">
        <f>'MF Unit Material'!Y354</f>
        <v>89.6</v>
      </c>
      <c r="G183" s="421">
        <f>'MF Unit Material'!Z354</f>
        <v>0</v>
      </c>
      <c r="H183" s="420">
        <f>'MF Unit Material'!AA354</f>
        <v>1523.1999999999998</v>
      </c>
      <c r="I183" s="429"/>
      <c r="J183" s="429">
        <f t="shared" si="6"/>
        <v>0</v>
      </c>
      <c r="K183" s="428">
        <f t="shared" si="7"/>
        <v>0</v>
      </c>
      <c r="L183" s="427"/>
      <c r="M183" s="426"/>
      <c r="N183" s="426"/>
      <c r="O183" s="425"/>
      <c r="P183" s="424"/>
      <c r="Q183" s="424"/>
      <c r="R183" s="425"/>
      <c r="S183" s="426"/>
      <c r="T183" s="426"/>
      <c r="U183" s="425"/>
      <c r="V183" s="424"/>
      <c r="W183" s="424"/>
      <c r="X183" s="425"/>
      <c r="Y183" s="426"/>
      <c r="Z183" s="426"/>
      <c r="AA183" s="425"/>
      <c r="AB183" s="424"/>
      <c r="AC183" s="424"/>
      <c r="AD183" s="425"/>
      <c r="AE183" s="426"/>
      <c r="AF183" s="426"/>
      <c r="AG183" s="425"/>
      <c r="AH183" s="424"/>
      <c r="AI183" s="424"/>
      <c r="AJ183" s="425"/>
      <c r="AK183" s="426"/>
      <c r="AL183" s="426"/>
      <c r="AM183" s="425"/>
      <c r="AN183" s="424"/>
      <c r="AO183" s="424"/>
      <c r="AP183" s="425"/>
      <c r="AQ183" s="426"/>
      <c r="AR183" s="426"/>
      <c r="AS183" s="425"/>
      <c r="AT183" s="424"/>
      <c r="AU183" s="424"/>
      <c r="AV183" s="425"/>
      <c r="AW183" s="426"/>
      <c r="AX183" s="426"/>
      <c r="AY183" s="425"/>
      <c r="AZ183" s="424"/>
      <c r="BA183" s="424"/>
      <c r="BB183" s="425"/>
      <c r="BC183" s="426"/>
      <c r="BD183" s="426"/>
      <c r="BE183" s="425"/>
      <c r="BF183" s="424"/>
      <c r="BG183" s="424"/>
      <c r="BH183" s="425"/>
      <c r="BI183" s="426"/>
      <c r="BJ183" s="426"/>
      <c r="BK183" s="425"/>
      <c r="BL183" s="424"/>
      <c r="BM183" s="424"/>
      <c r="BN183" s="425"/>
      <c r="BO183" s="426"/>
      <c r="BP183" s="426"/>
      <c r="BQ183" s="425"/>
      <c r="BR183" s="424"/>
      <c r="BS183" s="424"/>
      <c r="BT183" s="425"/>
      <c r="BU183" s="426"/>
      <c r="BV183" s="426"/>
      <c r="BW183" s="425"/>
      <c r="BX183" s="424"/>
      <c r="BY183" s="424"/>
      <c r="BZ183" s="425"/>
      <c r="CA183" s="426"/>
      <c r="CB183" s="426"/>
      <c r="CC183" s="425"/>
      <c r="CD183" s="424"/>
      <c r="CE183" s="424"/>
      <c r="CF183" s="425"/>
      <c r="CG183" s="426"/>
      <c r="CH183" s="426"/>
      <c r="CI183" s="425"/>
      <c r="CJ183" s="424"/>
      <c r="CK183" s="424"/>
      <c r="CL183" s="425"/>
      <c r="CM183" s="426"/>
      <c r="CN183" s="426"/>
      <c r="CO183" s="425"/>
      <c r="CP183" s="424"/>
      <c r="CQ183" s="424"/>
      <c r="CR183" s="425"/>
      <c r="CS183" s="426"/>
      <c r="CT183" s="426"/>
      <c r="CU183" s="425"/>
      <c r="CV183" s="424"/>
      <c r="CW183" s="424"/>
      <c r="CX183" s="425"/>
      <c r="CY183" s="426"/>
      <c r="CZ183" s="426"/>
      <c r="DA183" s="425"/>
      <c r="DB183" s="424"/>
      <c r="DC183" s="424"/>
      <c r="DD183" s="425"/>
      <c r="DE183" s="426"/>
      <c r="DF183" s="426"/>
      <c r="DG183" s="425"/>
      <c r="DH183" s="424"/>
      <c r="DI183" s="424"/>
      <c r="DJ183" s="425"/>
      <c r="DK183" s="426"/>
      <c r="DL183" s="426"/>
      <c r="DM183" s="425"/>
      <c r="DN183" s="424"/>
      <c r="DO183" s="424"/>
      <c r="DP183" s="425"/>
      <c r="DQ183" s="426"/>
      <c r="DR183" s="426"/>
      <c r="DS183" s="425"/>
      <c r="DT183" s="424"/>
      <c r="DU183" s="424"/>
      <c r="DV183" s="425"/>
      <c r="DW183" s="426"/>
      <c r="DX183" s="426"/>
      <c r="DY183" s="425"/>
      <c r="DZ183" s="424"/>
      <c r="EA183" s="424"/>
    </row>
    <row r="184" spans="3:131">
      <c r="C184" s="96" t="s">
        <v>1064</v>
      </c>
      <c r="D184" s="65"/>
      <c r="E184" s="65"/>
      <c r="F184" s="437" t="s">
        <v>948</v>
      </c>
      <c r="G184" s="436" t="s">
        <v>949</v>
      </c>
      <c r="H184" s="412" t="s">
        <v>950</v>
      </c>
      <c r="I184" s="429"/>
      <c r="J184" s="429">
        <f t="shared" si="6"/>
        <v>0</v>
      </c>
      <c r="K184" s="428">
        <f t="shared" si="7"/>
        <v>0</v>
      </c>
      <c r="L184" s="427"/>
      <c r="M184" s="426"/>
      <c r="N184" s="426"/>
      <c r="O184" s="425"/>
      <c r="P184" s="424"/>
      <c r="Q184" s="424"/>
      <c r="R184" s="425"/>
      <c r="S184" s="426"/>
      <c r="T184" s="426"/>
      <c r="U184" s="425"/>
      <c r="V184" s="424"/>
      <c r="W184" s="424"/>
      <c r="X184" s="425"/>
      <c r="Y184" s="426"/>
      <c r="Z184" s="426"/>
      <c r="AA184" s="425"/>
      <c r="AB184" s="424"/>
      <c r="AC184" s="424"/>
      <c r="AD184" s="425"/>
      <c r="AE184" s="426"/>
      <c r="AF184" s="426"/>
      <c r="AG184" s="425"/>
      <c r="AH184" s="424"/>
      <c r="AI184" s="424"/>
      <c r="AJ184" s="425"/>
      <c r="AK184" s="426"/>
      <c r="AL184" s="426"/>
      <c r="AM184" s="425"/>
      <c r="AN184" s="424"/>
      <c r="AO184" s="424"/>
      <c r="AP184" s="425"/>
      <c r="AQ184" s="426"/>
      <c r="AR184" s="426"/>
      <c r="AS184" s="425"/>
      <c r="AT184" s="424"/>
      <c r="AU184" s="424"/>
      <c r="AV184" s="425"/>
      <c r="AW184" s="426"/>
      <c r="AX184" s="426"/>
      <c r="AY184" s="425"/>
      <c r="AZ184" s="424"/>
      <c r="BA184" s="424"/>
      <c r="BB184" s="425"/>
      <c r="BC184" s="426"/>
      <c r="BD184" s="426"/>
      <c r="BE184" s="425"/>
      <c r="BF184" s="424"/>
      <c r="BG184" s="424"/>
      <c r="BH184" s="425"/>
      <c r="BI184" s="426"/>
      <c r="BJ184" s="426"/>
      <c r="BK184" s="425"/>
      <c r="BL184" s="424"/>
      <c r="BM184" s="424"/>
      <c r="BN184" s="425"/>
      <c r="BO184" s="426"/>
      <c r="BP184" s="426"/>
      <c r="BQ184" s="425"/>
      <c r="BR184" s="424"/>
      <c r="BS184" s="424"/>
      <c r="BT184" s="425"/>
      <c r="BU184" s="426"/>
      <c r="BV184" s="426"/>
      <c r="BW184" s="425"/>
      <c r="BX184" s="424"/>
      <c r="BY184" s="424"/>
      <c r="BZ184" s="425"/>
      <c r="CA184" s="426"/>
      <c r="CB184" s="426"/>
      <c r="CC184" s="425"/>
      <c r="CD184" s="424"/>
      <c r="CE184" s="424"/>
      <c r="CF184" s="425"/>
      <c r="CG184" s="426"/>
      <c r="CH184" s="426"/>
      <c r="CI184" s="425"/>
      <c r="CJ184" s="424"/>
      <c r="CK184" s="424"/>
      <c r="CL184" s="425"/>
      <c r="CM184" s="426"/>
      <c r="CN184" s="426"/>
      <c r="CO184" s="425"/>
      <c r="CP184" s="424"/>
      <c r="CQ184" s="424"/>
      <c r="CR184" s="425"/>
      <c r="CS184" s="426"/>
      <c r="CT184" s="426"/>
      <c r="CU184" s="425"/>
      <c r="CV184" s="424"/>
      <c r="CW184" s="424"/>
      <c r="CX184" s="425"/>
      <c r="CY184" s="426"/>
      <c r="CZ184" s="426"/>
      <c r="DA184" s="425"/>
      <c r="DB184" s="424"/>
      <c r="DC184" s="424"/>
      <c r="DD184" s="425"/>
      <c r="DE184" s="426"/>
      <c r="DF184" s="426"/>
      <c r="DG184" s="425"/>
      <c r="DH184" s="424"/>
      <c r="DI184" s="424"/>
      <c r="DJ184" s="425"/>
      <c r="DK184" s="426"/>
      <c r="DL184" s="426"/>
      <c r="DM184" s="425"/>
      <c r="DN184" s="424"/>
      <c r="DO184" s="424"/>
      <c r="DP184" s="425"/>
      <c r="DQ184" s="426"/>
      <c r="DR184" s="426"/>
      <c r="DS184" s="425"/>
      <c r="DT184" s="424"/>
      <c r="DU184" s="424"/>
      <c r="DV184" s="425"/>
      <c r="DW184" s="426"/>
      <c r="DX184" s="426"/>
      <c r="DY184" s="425"/>
      <c r="DZ184" s="424"/>
      <c r="EA184" s="424"/>
    </row>
    <row r="185" spans="3:131">
      <c r="D185" s="1" t="s">
        <v>1065</v>
      </c>
      <c r="E185" s="1" t="s">
        <v>968</v>
      </c>
      <c r="F185" s="432">
        <f>'MF Unit Material'!Y356</f>
        <v>224.00000000000003</v>
      </c>
      <c r="G185" s="431">
        <f>'MF Unit Material'!Z356</f>
        <v>14.5</v>
      </c>
      <c r="H185" s="158">
        <f>'MF Unit Material'!AA356</f>
        <v>3248.0000000000005</v>
      </c>
      <c r="I185" s="430">
        <f>F185-J185</f>
        <v>224.00000000000003</v>
      </c>
      <c r="J185" s="429">
        <f t="shared" si="6"/>
        <v>0</v>
      </c>
      <c r="K185" s="428">
        <f t="shared" si="7"/>
        <v>0</v>
      </c>
      <c r="L185" s="427"/>
      <c r="M185" s="426"/>
      <c r="N185" s="426"/>
      <c r="O185" s="425"/>
      <c r="P185" s="424"/>
      <c r="Q185" s="424"/>
      <c r="R185" s="425"/>
      <c r="S185" s="426"/>
      <c r="T185" s="426"/>
      <c r="U185" s="425"/>
      <c r="V185" s="424"/>
      <c r="W185" s="424"/>
      <c r="X185" s="425"/>
      <c r="Y185" s="426"/>
      <c r="Z185" s="426"/>
      <c r="AA185" s="425"/>
      <c r="AB185" s="424"/>
      <c r="AC185" s="424"/>
      <c r="AD185" s="425"/>
      <c r="AE185" s="426"/>
      <c r="AF185" s="426"/>
      <c r="AG185" s="425"/>
      <c r="AH185" s="424"/>
      <c r="AI185" s="424"/>
      <c r="AJ185" s="425"/>
      <c r="AK185" s="426"/>
      <c r="AL185" s="426"/>
      <c r="AM185" s="425"/>
      <c r="AN185" s="424"/>
      <c r="AO185" s="424"/>
      <c r="AP185" s="425"/>
      <c r="AQ185" s="426"/>
      <c r="AR185" s="426"/>
      <c r="AS185" s="425"/>
      <c r="AT185" s="424"/>
      <c r="AU185" s="424"/>
      <c r="AV185" s="425"/>
      <c r="AW185" s="426"/>
      <c r="AX185" s="426"/>
      <c r="AY185" s="425"/>
      <c r="AZ185" s="424"/>
      <c r="BA185" s="424"/>
      <c r="BB185" s="425"/>
      <c r="BC185" s="426"/>
      <c r="BD185" s="426"/>
      <c r="BE185" s="425"/>
      <c r="BF185" s="424"/>
      <c r="BG185" s="424"/>
      <c r="BH185" s="425"/>
      <c r="BI185" s="426"/>
      <c r="BJ185" s="426"/>
      <c r="BK185" s="425"/>
      <c r="BL185" s="424"/>
      <c r="BM185" s="424"/>
      <c r="BN185" s="425"/>
      <c r="BO185" s="426"/>
      <c r="BP185" s="426"/>
      <c r="BQ185" s="425"/>
      <c r="BR185" s="424"/>
      <c r="BS185" s="424"/>
      <c r="BT185" s="425"/>
      <c r="BU185" s="426"/>
      <c r="BV185" s="426"/>
      <c r="BW185" s="425"/>
      <c r="BX185" s="424"/>
      <c r="BY185" s="424"/>
      <c r="BZ185" s="425"/>
      <c r="CA185" s="426"/>
      <c r="CB185" s="426"/>
      <c r="CC185" s="425"/>
      <c r="CD185" s="424"/>
      <c r="CE185" s="424"/>
      <c r="CF185" s="425"/>
      <c r="CG185" s="426"/>
      <c r="CH185" s="426"/>
      <c r="CI185" s="425"/>
      <c r="CJ185" s="424"/>
      <c r="CK185" s="424"/>
      <c r="CL185" s="425"/>
      <c r="CM185" s="426"/>
      <c r="CN185" s="426"/>
      <c r="CO185" s="425"/>
      <c r="CP185" s="424"/>
      <c r="CQ185" s="424"/>
      <c r="CR185" s="425"/>
      <c r="CS185" s="426"/>
      <c r="CT185" s="426"/>
      <c r="CU185" s="425"/>
      <c r="CV185" s="424"/>
      <c r="CW185" s="424"/>
      <c r="CX185" s="425"/>
      <c r="CY185" s="426"/>
      <c r="CZ185" s="426"/>
      <c r="DA185" s="425"/>
      <c r="DB185" s="424"/>
      <c r="DC185" s="424"/>
      <c r="DD185" s="425"/>
      <c r="DE185" s="426"/>
      <c r="DF185" s="426"/>
      <c r="DG185" s="425"/>
      <c r="DH185" s="424"/>
      <c r="DI185" s="424"/>
      <c r="DJ185" s="425"/>
      <c r="DK185" s="426"/>
      <c r="DL185" s="426"/>
      <c r="DM185" s="425"/>
      <c r="DN185" s="424"/>
      <c r="DO185" s="424"/>
      <c r="DP185" s="425"/>
      <c r="DQ185" s="426"/>
      <c r="DR185" s="426"/>
      <c r="DS185" s="425"/>
      <c r="DT185" s="424"/>
      <c r="DU185" s="424"/>
      <c r="DV185" s="425"/>
      <c r="DW185" s="426"/>
      <c r="DX185" s="426"/>
      <c r="DY185" s="425"/>
      <c r="DZ185" s="424"/>
      <c r="EA185" s="424"/>
    </row>
    <row r="186" spans="3:131">
      <c r="C186" s="423"/>
      <c r="D186" s="1"/>
      <c r="E186" s="16" t="s">
        <v>961</v>
      </c>
      <c r="F186" s="422">
        <f>'MF Unit Material'!Y358</f>
        <v>224.00000000000003</v>
      </c>
      <c r="G186" s="421">
        <f>'MF Unit Material'!Z358</f>
        <v>0</v>
      </c>
      <c r="H186" s="420">
        <f>'MF Unit Material'!AA358</f>
        <v>3247.9999999999995</v>
      </c>
      <c r="I186" s="429"/>
      <c r="J186" s="429">
        <f t="shared" si="6"/>
        <v>0</v>
      </c>
      <c r="K186" s="428">
        <f t="shared" si="7"/>
        <v>0</v>
      </c>
      <c r="L186" s="427"/>
      <c r="M186" s="426"/>
      <c r="N186" s="426"/>
      <c r="O186" s="425"/>
      <c r="P186" s="424"/>
      <c r="Q186" s="424"/>
      <c r="R186" s="425"/>
      <c r="S186" s="426"/>
      <c r="T186" s="426"/>
      <c r="U186" s="425"/>
      <c r="V186" s="424"/>
      <c r="W186" s="424"/>
      <c r="X186" s="425"/>
      <c r="Y186" s="426"/>
      <c r="Z186" s="426"/>
      <c r="AA186" s="425"/>
      <c r="AB186" s="424"/>
      <c r="AC186" s="424"/>
      <c r="AD186" s="425"/>
      <c r="AE186" s="426"/>
      <c r="AF186" s="426"/>
      <c r="AG186" s="425"/>
      <c r="AH186" s="424"/>
      <c r="AI186" s="424"/>
      <c r="AJ186" s="425"/>
      <c r="AK186" s="426"/>
      <c r="AL186" s="426"/>
      <c r="AM186" s="425"/>
      <c r="AN186" s="424"/>
      <c r="AO186" s="424"/>
      <c r="AP186" s="425"/>
      <c r="AQ186" s="426"/>
      <c r="AR186" s="426"/>
      <c r="AS186" s="425"/>
      <c r="AT186" s="424"/>
      <c r="AU186" s="424"/>
      <c r="AV186" s="425"/>
      <c r="AW186" s="426"/>
      <c r="AX186" s="426"/>
      <c r="AY186" s="425"/>
      <c r="AZ186" s="424"/>
      <c r="BA186" s="424"/>
      <c r="BB186" s="425"/>
      <c r="BC186" s="426"/>
      <c r="BD186" s="426"/>
      <c r="BE186" s="425"/>
      <c r="BF186" s="424"/>
      <c r="BG186" s="424"/>
      <c r="BH186" s="425"/>
      <c r="BI186" s="426"/>
      <c r="BJ186" s="426"/>
      <c r="BK186" s="425"/>
      <c r="BL186" s="424"/>
      <c r="BM186" s="424"/>
      <c r="BN186" s="425"/>
      <c r="BO186" s="426"/>
      <c r="BP186" s="426"/>
      <c r="BQ186" s="425"/>
      <c r="BR186" s="424"/>
      <c r="BS186" s="424"/>
      <c r="BT186" s="425"/>
      <c r="BU186" s="426"/>
      <c r="BV186" s="426"/>
      <c r="BW186" s="425"/>
      <c r="BX186" s="424"/>
      <c r="BY186" s="424"/>
      <c r="BZ186" s="425"/>
      <c r="CA186" s="426"/>
      <c r="CB186" s="426"/>
      <c r="CC186" s="425"/>
      <c r="CD186" s="424"/>
      <c r="CE186" s="424"/>
      <c r="CF186" s="425"/>
      <c r="CG186" s="426"/>
      <c r="CH186" s="426"/>
      <c r="CI186" s="425"/>
      <c r="CJ186" s="424"/>
      <c r="CK186" s="424"/>
      <c r="CL186" s="425"/>
      <c r="CM186" s="426"/>
      <c r="CN186" s="426"/>
      <c r="CO186" s="425"/>
      <c r="CP186" s="424"/>
      <c r="CQ186" s="424"/>
      <c r="CR186" s="425"/>
      <c r="CS186" s="426"/>
      <c r="CT186" s="426"/>
      <c r="CU186" s="425"/>
      <c r="CV186" s="424"/>
      <c r="CW186" s="424"/>
      <c r="CX186" s="425"/>
      <c r="CY186" s="426"/>
      <c r="CZ186" s="426"/>
      <c r="DA186" s="425"/>
      <c r="DB186" s="424"/>
      <c r="DC186" s="424"/>
      <c r="DD186" s="425"/>
      <c r="DE186" s="426"/>
      <c r="DF186" s="426"/>
      <c r="DG186" s="425"/>
      <c r="DH186" s="424"/>
      <c r="DI186" s="424"/>
      <c r="DJ186" s="425"/>
      <c r="DK186" s="426"/>
      <c r="DL186" s="426"/>
      <c r="DM186" s="425"/>
      <c r="DN186" s="424"/>
      <c r="DO186" s="424"/>
      <c r="DP186" s="425"/>
      <c r="DQ186" s="426"/>
      <c r="DR186" s="426"/>
      <c r="DS186" s="425"/>
      <c r="DT186" s="424"/>
      <c r="DU186" s="424"/>
      <c r="DV186" s="425"/>
      <c r="DW186" s="426"/>
      <c r="DX186" s="426"/>
      <c r="DY186" s="425"/>
      <c r="DZ186" s="424"/>
      <c r="EA186" s="424"/>
    </row>
    <row r="187" spans="3:131">
      <c r="C187" s="96" t="s">
        <v>1066</v>
      </c>
      <c r="D187" s="65"/>
      <c r="E187" s="65"/>
      <c r="F187" s="437" t="s">
        <v>948</v>
      </c>
      <c r="G187" s="436" t="s">
        <v>949</v>
      </c>
      <c r="H187" s="412" t="s">
        <v>950</v>
      </c>
      <c r="I187" s="429"/>
      <c r="J187" s="429">
        <f t="shared" si="6"/>
        <v>0</v>
      </c>
      <c r="K187" s="428">
        <f t="shared" si="7"/>
        <v>0</v>
      </c>
      <c r="L187" s="427"/>
      <c r="M187" s="426"/>
      <c r="N187" s="426"/>
      <c r="O187" s="425"/>
      <c r="P187" s="424"/>
      <c r="Q187" s="424"/>
      <c r="R187" s="425"/>
      <c r="S187" s="426"/>
      <c r="T187" s="426"/>
      <c r="U187" s="425"/>
      <c r="V187" s="424"/>
      <c r="W187" s="424"/>
      <c r="X187" s="425"/>
      <c r="Y187" s="426"/>
      <c r="Z187" s="426"/>
      <c r="AA187" s="425"/>
      <c r="AB187" s="424"/>
      <c r="AC187" s="424"/>
      <c r="AD187" s="425"/>
      <c r="AE187" s="426"/>
      <c r="AF187" s="426"/>
      <c r="AG187" s="425"/>
      <c r="AH187" s="424"/>
      <c r="AI187" s="424"/>
      <c r="AJ187" s="425"/>
      <c r="AK187" s="426"/>
      <c r="AL187" s="426"/>
      <c r="AM187" s="425"/>
      <c r="AN187" s="424"/>
      <c r="AO187" s="424"/>
      <c r="AP187" s="425"/>
      <c r="AQ187" s="426"/>
      <c r="AR187" s="426"/>
      <c r="AS187" s="425"/>
      <c r="AT187" s="424"/>
      <c r="AU187" s="424"/>
      <c r="AV187" s="425"/>
      <c r="AW187" s="426"/>
      <c r="AX187" s="426"/>
      <c r="AY187" s="425"/>
      <c r="AZ187" s="424"/>
      <c r="BA187" s="424"/>
      <c r="BB187" s="425"/>
      <c r="BC187" s="426"/>
      <c r="BD187" s="426"/>
      <c r="BE187" s="425"/>
      <c r="BF187" s="424"/>
      <c r="BG187" s="424"/>
      <c r="BH187" s="425"/>
      <c r="BI187" s="426"/>
      <c r="BJ187" s="426"/>
      <c r="BK187" s="425"/>
      <c r="BL187" s="424"/>
      <c r="BM187" s="424"/>
      <c r="BN187" s="425"/>
      <c r="BO187" s="426"/>
      <c r="BP187" s="426"/>
      <c r="BQ187" s="425"/>
      <c r="BR187" s="424"/>
      <c r="BS187" s="424"/>
      <c r="BT187" s="425"/>
      <c r="BU187" s="426"/>
      <c r="BV187" s="426"/>
      <c r="BW187" s="425"/>
      <c r="BX187" s="424"/>
      <c r="BY187" s="424"/>
      <c r="BZ187" s="425"/>
      <c r="CA187" s="426"/>
      <c r="CB187" s="426"/>
      <c r="CC187" s="425"/>
      <c r="CD187" s="424"/>
      <c r="CE187" s="424"/>
      <c r="CF187" s="425"/>
      <c r="CG187" s="426"/>
      <c r="CH187" s="426"/>
      <c r="CI187" s="425"/>
      <c r="CJ187" s="424"/>
      <c r="CK187" s="424"/>
      <c r="CL187" s="425"/>
      <c r="CM187" s="426"/>
      <c r="CN187" s="426"/>
      <c r="CO187" s="425"/>
      <c r="CP187" s="424"/>
      <c r="CQ187" s="424"/>
      <c r="CR187" s="425"/>
      <c r="CS187" s="426"/>
      <c r="CT187" s="426"/>
      <c r="CU187" s="425"/>
      <c r="CV187" s="424"/>
      <c r="CW187" s="424"/>
      <c r="CX187" s="425"/>
      <c r="CY187" s="426"/>
      <c r="CZ187" s="426"/>
      <c r="DA187" s="425"/>
      <c r="DB187" s="424"/>
      <c r="DC187" s="424"/>
      <c r="DD187" s="425"/>
      <c r="DE187" s="426"/>
      <c r="DF187" s="426"/>
      <c r="DG187" s="425"/>
      <c r="DH187" s="424"/>
      <c r="DI187" s="424"/>
      <c r="DJ187" s="425"/>
      <c r="DK187" s="426"/>
      <c r="DL187" s="426"/>
      <c r="DM187" s="425"/>
      <c r="DN187" s="424"/>
      <c r="DO187" s="424"/>
      <c r="DP187" s="425"/>
      <c r="DQ187" s="426"/>
      <c r="DR187" s="426"/>
      <c r="DS187" s="425"/>
      <c r="DT187" s="424"/>
      <c r="DU187" s="424"/>
      <c r="DV187" s="425"/>
      <c r="DW187" s="426"/>
      <c r="DX187" s="426"/>
      <c r="DY187" s="425"/>
      <c r="DZ187" s="424"/>
      <c r="EA187" s="424"/>
    </row>
    <row r="188" spans="3:131">
      <c r="C188" s="198" t="s">
        <v>1035</v>
      </c>
      <c r="D188" s="445" t="s">
        <v>1036</v>
      </c>
      <c r="E188" s="198" t="s">
        <v>968</v>
      </c>
      <c r="F188" s="432">
        <f>'MF Unit Material'!Y360</f>
        <v>172</v>
      </c>
      <c r="G188" s="431">
        <f>'MF Unit Material'!Z360</f>
        <v>1.8</v>
      </c>
      <c r="H188" s="158">
        <f>'MF Unit Material'!AA360</f>
        <v>309.60000000000002</v>
      </c>
      <c r="I188" s="430">
        <f t="shared" ref="I188:I198" si="11">F188-J188</f>
        <v>172</v>
      </c>
      <c r="J188" s="429">
        <f t="shared" si="6"/>
        <v>0</v>
      </c>
      <c r="K188" s="428">
        <f t="shared" si="7"/>
        <v>0</v>
      </c>
      <c r="L188" s="427"/>
      <c r="M188" s="426"/>
      <c r="N188" s="426"/>
      <c r="O188" s="425"/>
      <c r="P188" s="424"/>
      <c r="Q188" s="424"/>
      <c r="R188" s="425"/>
      <c r="S188" s="426"/>
      <c r="T188" s="426"/>
      <c r="U188" s="425"/>
      <c r="V188" s="424"/>
      <c r="W188" s="424"/>
      <c r="X188" s="425"/>
      <c r="Y188" s="426"/>
      <c r="Z188" s="426"/>
      <c r="AA188" s="425"/>
      <c r="AB188" s="424"/>
      <c r="AC188" s="424"/>
      <c r="AD188" s="425"/>
      <c r="AE188" s="426"/>
      <c r="AF188" s="426"/>
      <c r="AG188" s="425"/>
      <c r="AH188" s="424"/>
      <c r="AI188" s="424"/>
      <c r="AJ188" s="425"/>
      <c r="AK188" s="426"/>
      <c r="AL188" s="426"/>
      <c r="AM188" s="425"/>
      <c r="AN188" s="424"/>
      <c r="AO188" s="424"/>
      <c r="AP188" s="425"/>
      <c r="AQ188" s="426"/>
      <c r="AR188" s="426"/>
      <c r="AS188" s="425"/>
      <c r="AT188" s="424"/>
      <c r="AU188" s="424"/>
      <c r="AV188" s="425"/>
      <c r="AW188" s="426"/>
      <c r="AX188" s="426"/>
      <c r="AY188" s="425"/>
      <c r="AZ188" s="424"/>
      <c r="BA188" s="424"/>
      <c r="BB188" s="425"/>
      <c r="BC188" s="426"/>
      <c r="BD188" s="426"/>
      <c r="BE188" s="425"/>
      <c r="BF188" s="424"/>
      <c r="BG188" s="424"/>
      <c r="BH188" s="425"/>
      <c r="BI188" s="426"/>
      <c r="BJ188" s="426"/>
      <c r="BK188" s="425"/>
      <c r="BL188" s="424"/>
      <c r="BM188" s="424"/>
      <c r="BN188" s="425"/>
      <c r="BO188" s="426"/>
      <c r="BP188" s="426"/>
      <c r="BQ188" s="425"/>
      <c r="BR188" s="424"/>
      <c r="BS188" s="424"/>
      <c r="BT188" s="425"/>
      <c r="BU188" s="426"/>
      <c r="BV188" s="426"/>
      <c r="BW188" s="425"/>
      <c r="BX188" s="424"/>
      <c r="BY188" s="424"/>
      <c r="BZ188" s="425"/>
      <c r="CA188" s="426"/>
      <c r="CB188" s="426"/>
      <c r="CC188" s="425"/>
      <c r="CD188" s="424"/>
      <c r="CE188" s="424"/>
      <c r="CF188" s="425"/>
      <c r="CG188" s="426"/>
      <c r="CH188" s="426"/>
      <c r="CI188" s="425"/>
      <c r="CJ188" s="424"/>
      <c r="CK188" s="424"/>
      <c r="CL188" s="425"/>
      <c r="CM188" s="426"/>
      <c r="CN188" s="426"/>
      <c r="CO188" s="425"/>
      <c r="CP188" s="424"/>
      <c r="CQ188" s="424"/>
      <c r="CR188" s="425"/>
      <c r="CS188" s="426"/>
      <c r="CT188" s="426"/>
      <c r="CU188" s="425"/>
      <c r="CV188" s="424"/>
      <c r="CW188" s="424"/>
      <c r="CX188" s="425"/>
      <c r="CY188" s="426"/>
      <c r="CZ188" s="426"/>
      <c r="DA188" s="425"/>
      <c r="DB188" s="424"/>
      <c r="DC188" s="424"/>
      <c r="DD188" s="425"/>
      <c r="DE188" s="426"/>
      <c r="DF188" s="426"/>
      <c r="DG188" s="425"/>
      <c r="DH188" s="424"/>
      <c r="DI188" s="424"/>
      <c r="DJ188" s="425"/>
      <c r="DK188" s="426"/>
      <c r="DL188" s="426"/>
      <c r="DM188" s="425"/>
      <c r="DN188" s="424"/>
      <c r="DO188" s="424"/>
      <c r="DP188" s="425"/>
      <c r="DQ188" s="426"/>
      <c r="DR188" s="426"/>
      <c r="DS188" s="425"/>
      <c r="DT188" s="424"/>
      <c r="DU188" s="424"/>
      <c r="DV188" s="425"/>
      <c r="DW188" s="426"/>
      <c r="DX188" s="426"/>
      <c r="DY188" s="425"/>
      <c r="DZ188" s="424"/>
      <c r="EA188" s="424"/>
    </row>
    <row r="189" spans="3:131">
      <c r="C189" s="200" t="s">
        <v>1038</v>
      </c>
      <c r="D189" s="434" t="s">
        <v>1039</v>
      </c>
      <c r="E189" s="200" t="s">
        <v>968</v>
      </c>
      <c r="F189" s="432">
        <f>'MF Unit Material'!Y361</f>
        <v>1158</v>
      </c>
      <c r="G189" s="431">
        <f>'MF Unit Material'!Z361</f>
        <v>1.95</v>
      </c>
      <c r="H189" s="158">
        <f>'MF Unit Material'!AA361</f>
        <v>2258.1</v>
      </c>
      <c r="I189" s="430">
        <f t="shared" si="11"/>
        <v>1158</v>
      </c>
      <c r="J189" s="429">
        <f t="shared" si="6"/>
        <v>0</v>
      </c>
      <c r="K189" s="428">
        <f t="shared" si="7"/>
        <v>0</v>
      </c>
      <c r="L189" s="427"/>
      <c r="M189" s="426"/>
      <c r="N189" s="426"/>
      <c r="O189" s="425"/>
      <c r="P189" s="424"/>
      <c r="Q189" s="424"/>
      <c r="R189" s="425"/>
      <c r="S189" s="426"/>
      <c r="T189" s="426"/>
      <c r="U189" s="425"/>
      <c r="V189" s="424"/>
      <c r="W189" s="424"/>
      <c r="X189" s="425"/>
      <c r="Y189" s="426"/>
      <c r="Z189" s="426"/>
      <c r="AA189" s="425"/>
      <c r="AB189" s="424"/>
      <c r="AC189" s="424"/>
      <c r="AD189" s="425"/>
      <c r="AE189" s="426"/>
      <c r="AF189" s="426"/>
      <c r="AG189" s="425"/>
      <c r="AH189" s="424"/>
      <c r="AI189" s="424"/>
      <c r="AJ189" s="425"/>
      <c r="AK189" s="426"/>
      <c r="AL189" s="426"/>
      <c r="AM189" s="425"/>
      <c r="AN189" s="424"/>
      <c r="AO189" s="424"/>
      <c r="AP189" s="425"/>
      <c r="AQ189" s="426"/>
      <c r="AR189" s="426"/>
      <c r="AS189" s="425"/>
      <c r="AT189" s="424"/>
      <c r="AU189" s="424"/>
      <c r="AV189" s="425"/>
      <c r="AW189" s="426"/>
      <c r="AX189" s="426"/>
      <c r="AY189" s="425"/>
      <c r="AZ189" s="424"/>
      <c r="BA189" s="424"/>
      <c r="BB189" s="425"/>
      <c r="BC189" s="426"/>
      <c r="BD189" s="426"/>
      <c r="BE189" s="425"/>
      <c r="BF189" s="424"/>
      <c r="BG189" s="424"/>
      <c r="BH189" s="425"/>
      <c r="BI189" s="426"/>
      <c r="BJ189" s="426"/>
      <c r="BK189" s="425"/>
      <c r="BL189" s="424"/>
      <c r="BM189" s="424"/>
      <c r="BN189" s="425"/>
      <c r="BO189" s="426"/>
      <c r="BP189" s="426"/>
      <c r="BQ189" s="425"/>
      <c r="BR189" s="424"/>
      <c r="BS189" s="424"/>
      <c r="BT189" s="425"/>
      <c r="BU189" s="426"/>
      <c r="BV189" s="426"/>
      <c r="BW189" s="425"/>
      <c r="BX189" s="424"/>
      <c r="BY189" s="424"/>
      <c r="BZ189" s="425"/>
      <c r="CA189" s="426"/>
      <c r="CB189" s="426"/>
      <c r="CC189" s="425"/>
      <c r="CD189" s="424"/>
      <c r="CE189" s="424"/>
      <c r="CF189" s="425"/>
      <c r="CG189" s="426"/>
      <c r="CH189" s="426"/>
      <c r="CI189" s="425"/>
      <c r="CJ189" s="424"/>
      <c r="CK189" s="424"/>
      <c r="CL189" s="425"/>
      <c r="CM189" s="426"/>
      <c r="CN189" s="426"/>
      <c r="CO189" s="425"/>
      <c r="CP189" s="424"/>
      <c r="CQ189" s="424"/>
      <c r="CR189" s="425"/>
      <c r="CS189" s="426"/>
      <c r="CT189" s="426"/>
      <c r="CU189" s="425"/>
      <c r="CV189" s="424"/>
      <c r="CW189" s="424"/>
      <c r="CX189" s="425"/>
      <c r="CY189" s="426"/>
      <c r="CZ189" s="426"/>
      <c r="DA189" s="425"/>
      <c r="DB189" s="424"/>
      <c r="DC189" s="424"/>
      <c r="DD189" s="425"/>
      <c r="DE189" s="426"/>
      <c r="DF189" s="426"/>
      <c r="DG189" s="425"/>
      <c r="DH189" s="424"/>
      <c r="DI189" s="424"/>
      <c r="DJ189" s="425"/>
      <c r="DK189" s="426"/>
      <c r="DL189" s="426"/>
      <c r="DM189" s="425"/>
      <c r="DN189" s="424"/>
      <c r="DO189" s="424"/>
      <c r="DP189" s="425"/>
      <c r="DQ189" s="426"/>
      <c r="DR189" s="426"/>
      <c r="DS189" s="425"/>
      <c r="DT189" s="424"/>
      <c r="DU189" s="424"/>
      <c r="DV189" s="425"/>
      <c r="DW189" s="426"/>
      <c r="DX189" s="426"/>
      <c r="DY189" s="425"/>
      <c r="DZ189" s="424"/>
      <c r="EA189" s="424"/>
    </row>
    <row r="190" spans="3:131">
      <c r="C190" s="200" t="s">
        <v>1040</v>
      </c>
      <c r="D190" s="434" t="s">
        <v>1041</v>
      </c>
      <c r="E190" s="200" t="s">
        <v>968</v>
      </c>
      <c r="F190" s="432">
        <f>'MF Unit Material'!Y362</f>
        <v>484</v>
      </c>
      <c r="G190" s="431">
        <f>'MF Unit Material'!Z362</f>
        <v>2.15</v>
      </c>
      <c r="H190" s="158">
        <f>'MF Unit Material'!AA362</f>
        <v>1040.5999999999999</v>
      </c>
      <c r="I190" s="430">
        <f t="shared" si="11"/>
        <v>484</v>
      </c>
      <c r="J190" s="429">
        <f t="shared" si="6"/>
        <v>0</v>
      </c>
      <c r="K190" s="428">
        <f t="shared" si="7"/>
        <v>0</v>
      </c>
      <c r="L190" s="427"/>
      <c r="M190" s="426"/>
      <c r="N190" s="426"/>
      <c r="O190" s="425"/>
      <c r="P190" s="424"/>
      <c r="Q190" s="424"/>
      <c r="R190" s="425"/>
      <c r="S190" s="426"/>
      <c r="T190" s="426"/>
      <c r="U190" s="425"/>
      <c r="V190" s="424"/>
      <c r="W190" s="424"/>
      <c r="X190" s="425"/>
      <c r="Y190" s="426"/>
      <c r="Z190" s="426"/>
      <c r="AA190" s="425"/>
      <c r="AB190" s="424"/>
      <c r="AC190" s="424"/>
      <c r="AD190" s="425"/>
      <c r="AE190" s="426"/>
      <c r="AF190" s="426"/>
      <c r="AG190" s="425"/>
      <c r="AH190" s="424"/>
      <c r="AI190" s="424"/>
      <c r="AJ190" s="425"/>
      <c r="AK190" s="426"/>
      <c r="AL190" s="426"/>
      <c r="AM190" s="425"/>
      <c r="AN190" s="424"/>
      <c r="AO190" s="424"/>
      <c r="AP190" s="425"/>
      <c r="AQ190" s="426"/>
      <c r="AR190" s="426"/>
      <c r="AS190" s="425"/>
      <c r="AT190" s="424"/>
      <c r="AU190" s="424"/>
      <c r="AV190" s="425"/>
      <c r="AW190" s="426"/>
      <c r="AX190" s="426"/>
      <c r="AY190" s="425"/>
      <c r="AZ190" s="424"/>
      <c r="BA190" s="424"/>
      <c r="BB190" s="425"/>
      <c r="BC190" s="426"/>
      <c r="BD190" s="426"/>
      <c r="BE190" s="425"/>
      <c r="BF190" s="424"/>
      <c r="BG190" s="424"/>
      <c r="BH190" s="425"/>
      <c r="BI190" s="426"/>
      <c r="BJ190" s="426"/>
      <c r="BK190" s="425"/>
      <c r="BL190" s="424"/>
      <c r="BM190" s="424"/>
      <c r="BN190" s="425"/>
      <c r="BO190" s="426"/>
      <c r="BP190" s="426"/>
      <c r="BQ190" s="425"/>
      <c r="BR190" s="424"/>
      <c r="BS190" s="424"/>
      <c r="BT190" s="425"/>
      <c r="BU190" s="426"/>
      <c r="BV190" s="426"/>
      <c r="BW190" s="425"/>
      <c r="BX190" s="424"/>
      <c r="BY190" s="424"/>
      <c r="BZ190" s="425"/>
      <c r="CA190" s="426"/>
      <c r="CB190" s="426"/>
      <c r="CC190" s="425"/>
      <c r="CD190" s="424"/>
      <c r="CE190" s="424"/>
      <c r="CF190" s="425"/>
      <c r="CG190" s="426"/>
      <c r="CH190" s="426"/>
      <c r="CI190" s="425"/>
      <c r="CJ190" s="424"/>
      <c r="CK190" s="424"/>
      <c r="CL190" s="425"/>
      <c r="CM190" s="426"/>
      <c r="CN190" s="426"/>
      <c r="CO190" s="425"/>
      <c r="CP190" s="424"/>
      <c r="CQ190" s="424"/>
      <c r="CR190" s="425"/>
      <c r="CS190" s="426"/>
      <c r="CT190" s="426"/>
      <c r="CU190" s="425"/>
      <c r="CV190" s="424"/>
      <c r="CW190" s="424"/>
      <c r="CX190" s="425"/>
      <c r="CY190" s="426"/>
      <c r="CZ190" s="426"/>
      <c r="DA190" s="425"/>
      <c r="DB190" s="424"/>
      <c r="DC190" s="424"/>
      <c r="DD190" s="425"/>
      <c r="DE190" s="426"/>
      <c r="DF190" s="426"/>
      <c r="DG190" s="425"/>
      <c r="DH190" s="424"/>
      <c r="DI190" s="424"/>
      <c r="DJ190" s="425"/>
      <c r="DK190" s="426"/>
      <c r="DL190" s="426"/>
      <c r="DM190" s="425"/>
      <c r="DN190" s="424"/>
      <c r="DO190" s="424"/>
      <c r="DP190" s="425"/>
      <c r="DQ190" s="426"/>
      <c r="DR190" s="426"/>
      <c r="DS190" s="425"/>
      <c r="DT190" s="424"/>
      <c r="DU190" s="424"/>
      <c r="DV190" s="425"/>
      <c r="DW190" s="426"/>
      <c r="DX190" s="426"/>
      <c r="DY190" s="425"/>
      <c r="DZ190" s="424"/>
      <c r="EA190" s="424"/>
    </row>
    <row r="191" spans="3:131">
      <c r="C191" s="200" t="s">
        <v>1042</v>
      </c>
      <c r="D191" s="434" t="s">
        <v>1043</v>
      </c>
      <c r="E191" s="200" t="s">
        <v>968</v>
      </c>
      <c r="F191" s="432">
        <f>'MF Unit Material'!Y363</f>
        <v>1312</v>
      </c>
      <c r="G191" s="431">
        <f>'MF Unit Material'!Z363</f>
        <v>2.58</v>
      </c>
      <c r="H191" s="158">
        <f>'MF Unit Material'!AA363</f>
        <v>3384.96</v>
      </c>
      <c r="I191" s="430">
        <f t="shared" si="11"/>
        <v>1312</v>
      </c>
      <c r="J191" s="429">
        <f t="shared" si="6"/>
        <v>0</v>
      </c>
      <c r="K191" s="428">
        <f t="shared" si="7"/>
        <v>0</v>
      </c>
      <c r="L191" s="427"/>
      <c r="M191" s="426"/>
      <c r="N191" s="426"/>
      <c r="O191" s="425"/>
      <c r="P191" s="424"/>
      <c r="Q191" s="424"/>
      <c r="R191" s="425"/>
      <c r="S191" s="426"/>
      <c r="T191" s="426"/>
      <c r="U191" s="425"/>
      <c r="V191" s="424"/>
      <c r="W191" s="424"/>
      <c r="X191" s="425"/>
      <c r="Y191" s="426"/>
      <c r="Z191" s="426"/>
      <c r="AA191" s="425"/>
      <c r="AB191" s="424"/>
      <c r="AC191" s="424"/>
      <c r="AD191" s="425"/>
      <c r="AE191" s="426"/>
      <c r="AF191" s="426"/>
      <c r="AG191" s="425"/>
      <c r="AH191" s="424"/>
      <c r="AI191" s="424"/>
      <c r="AJ191" s="425"/>
      <c r="AK191" s="426"/>
      <c r="AL191" s="426"/>
      <c r="AM191" s="425"/>
      <c r="AN191" s="424"/>
      <c r="AO191" s="424"/>
      <c r="AP191" s="425"/>
      <c r="AQ191" s="426"/>
      <c r="AR191" s="426"/>
      <c r="AS191" s="425"/>
      <c r="AT191" s="424"/>
      <c r="AU191" s="424"/>
      <c r="AV191" s="425"/>
      <c r="AW191" s="426"/>
      <c r="AX191" s="426"/>
      <c r="AY191" s="425"/>
      <c r="AZ191" s="424"/>
      <c r="BA191" s="424"/>
      <c r="BB191" s="425"/>
      <c r="BC191" s="426"/>
      <c r="BD191" s="426"/>
      <c r="BE191" s="425"/>
      <c r="BF191" s="424"/>
      <c r="BG191" s="424"/>
      <c r="BH191" s="425"/>
      <c r="BI191" s="426"/>
      <c r="BJ191" s="426"/>
      <c r="BK191" s="425"/>
      <c r="BL191" s="424"/>
      <c r="BM191" s="424"/>
      <c r="BN191" s="425"/>
      <c r="BO191" s="426"/>
      <c r="BP191" s="426"/>
      <c r="BQ191" s="425"/>
      <c r="BR191" s="424"/>
      <c r="BS191" s="424"/>
      <c r="BT191" s="425"/>
      <c r="BU191" s="426"/>
      <c r="BV191" s="426"/>
      <c r="BW191" s="425"/>
      <c r="BX191" s="424"/>
      <c r="BY191" s="424"/>
      <c r="BZ191" s="425"/>
      <c r="CA191" s="426"/>
      <c r="CB191" s="426"/>
      <c r="CC191" s="425"/>
      <c r="CD191" s="424"/>
      <c r="CE191" s="424"/>
      <c r="CF191" s="425"/>
      <c r="CG191" s="426"/>
      <c r="CH191" s="426"/>
      <c r="CI191" s="425"/>
      <c r="CJ191" s="424"/>
      <c r="CK191" s="424"/>
      <c r="CL191" s="425"/>
      <c r="CM191" s="426"/>
      <c r="CN191" s="426"/>
      <c r="CO191" s="425"/>
      <c r="CP191" s="424"/>
      <c r="CQ191" s="424"/>
      <c r="CR191" s="425"/>
      <c r="CS191" s="426"/>
      <c r="CT191" s="426"/>
      <c r="CU191" s="425"/>
      <c r="CV191" s="424"/>
      <c r="CW191" s="424"/>
      <c r="CX191" s="425"/>
      <c r="CY191" s="426"/>
      <c r="CZ191" s="426"/>
      <c r="DA191" s="425"/>
      <c r="DB191" s="424"/>
      <c r="DC191" s="424"/>
      <c r="DD191" s="425"/>
      <c r="DE191" s="426"/>
      <c r="DF191" s="426"/>
      <c r="DG191" s="425"/>
      <c r="DH191" s="424"/>
      <c r="DI191" s="424"/>
      <c r="DJ191" s="425"/>
      <c r="DK191" s="426"/>
      <c r="DL191" s="426"/>
      <c r="DM191" s="425"/>
      <c r="DN191" s="424"/>
      <c r="DO191" s="424"/>
      <c r="DP191" s="425"/>
      <c r="DQ191" s="426"/>
      <c r="DR191" s="426"/>
      <c r="DS191" s="425"/>
      <c r="DT191" s="424"/>
      <c r="DU191" s="424"/>
      <c r="DV191" s="425"/>
      <c r="DW191" s="426"/>
      <c r="DX191" s="426"/>
      <c r="DY191" s="425"/>
      <c r="DZ191" s="424"/>
      <c r="EA191" s="424"/>
    </row>
    <row r="192" spans="3:131">
      <c r="C192" s="200" t="s">
        <v>1044</v>
      </c>
      <c r="D192" s="434" t="s">
        <v>1045</v>
      </c>
      <c r="E192" s="200" t="s">
        <v>968</v>
      </c>
      <c r="F192" s="432">
        <f>'MF Unit Material'!Y364</f>
        <v>844</v>
      </c>
      <c r="G192" s="431">
        <f>'MF Unit Material'!Z364</f>
        <v>3.15</v>
      </c>
      <c r="H192" s="158">
        <f>'MF Unit Material'!AA364</f>
        <v>2658.6</v>
      </c>
      <c r="I192" s="430">
        <f t="shared" si="11"/>
        <v>844</v>
      </c>
      <c r="J192" s="429">
        <f t="shared" si="6"/>
        <v>0</v>
      </c>
      <c r="K192" s="428">
        <f t="shared" si="7"/>
        <v>0</v>
      </c>
      <c r="L192" s="427"/>
      <c r="M192" s="426"/>
      <c r="N192" s="426"/>
      <c r="O192" s="425"/>
      <c r="P192" s="424"/>
      <c r="Q192" s="424"/>
      <c r="R192" s="425"/>
      <c r="S192" s="426"/>
      <c r="T192" s="426"/>
      <c r="U192" s="425"/>
      <c r="V192" s="424"/>
      <c r="W192" s="424"/>
      <c r="X192" s="425"/>
      <c r="Y192" s="426"/>
      <c r="Z192" s="426"/>
      <c r="AA192" s="425"/>
      <c r="AB192" s="424"/>
      <c r="AC192" s="424"/>
      <c r="AD192" s="425"/>
      <c r="AE192" s="426"/>
      <c r="AF192" s="426"/>
      <c r="AG192" s="425"/>
      <c r="AH192" s="424"/>
      <c r="AI192" s="424"/>
      <c r="AJ192" s="425"/>
      <c r="AK192" s="426"/>
      <c r="AL192" s="426"/>
      <c r="AM192" s="425"/>
      <c r="AN192" s="424"/>
      <c r="AO192" s="424"/>
      <c r="AP192" s="425"/>
      <c r="AQ192" s="426"/>
      <c r="AR192" s="426"/>
      <c r="AS192" s="425"/>
      <c r="AT192" s="424"/>
      <c r="AU192" s="424"/>
      <c r="AV192" s="425"/>
      <c r="AW192" s="426"/>
      <c r="AX192" s="426"/>
      <c r="AY192" s="425"/>
      <c r="AZ192" s="424"/>
      <c r="BA192" s="424"/>
      <c r="BB192" s="425"/>
      <c r="BC192" s="426"/>
      <c r="BD192" s="426"/>
      <c r="BE192" s="425"/>
      <c r="BF192" s="424"/>
      <c r="BG192" s="424"/>
      <c r="BH192" s="425"/>
      <c r="BI192" s="426"/>
      <c r="BJ192" s="426"/>
      <c r="BK192" s="425"/>
      <c r="BL192" s="424"/>
      <c r="BM192" s="424"/>
      <c r="BN192" s="425"/>
      <c r="BO192" s="426"/>
      <c r="BP192" s="426"/>
      <c r="BQ192" s="425"/>
      <c r="BR192" s="424"/>
      <c r="BS192" s="424"/>
      <c r="BT192" s="425"/>
      <c r="BU192" s="426"/>
      <c r="BV192" s="426"/>
      <c r="BW192" s="425"/>
      <c r="BX192" s="424"/>
      <c r="BY192" s="424"/>
      <c r="BZ192" s="425"/>
      <c r="CA192" s="426"/>
      <c r="CB192" s="426"/>
      <c r="CC192" s="425"/>
      <c r="CD192" s="424"/>
      <c r="CE192" s="424"/>
      <c r="CF192" s="425"/>
      <c r="CG192" s="426"/>
      <c r="CH192" s="426"/>
      <c r="CI192" s="425"/>
      <c r="CJ192" s="424"/>
      <c r="CK192" s="424"/>
      <c r="CL192" s="425"/>
      <c r="CM192" s="426"/>
      <c r="CN192" s="426"/>
      <c r="CO192" s="425"/>
      <c r="CP192" s="424"/>
      <c r="CQ192" s="424"/>
      <c r="CR192" s="425"/>
      <c r="CS192" s="426"/>
      <c r="CT192" s="426"/>
      <c r="CU192" s="425"/>
      <c r="CV192" s="424"/>
      <c r="CW192" s="424"/>
      <c r="CX192" s="425"/>
      <c r="CY192" s="426"/>
      <c r="CZ192" s="426"/>
      <c r="DA192" s="425"/>
      <c r="DB192" s="424"/>
      <c r="DC192" s="424"/>
      <c r="DD192" s="425"/>
      <c r="DE192" s="426"/>
      <c r="DF192" s="426"/>
      <c r="DG192" s="425"/>
      <c r="DH192" s="424"/>
      <c r="DI192" s="424"/>
      <c r="DJ192" s="425"/>
      <c r="DK192" s="426"/>
      <c r="DL192" s="426"/>
      <c r="DM192" s="425"/>
      <c r="DN192" s="424"/>
      <c r="DO192" s="424"/>
      <c r="DP192" s="425"/>
      <c r="DQ192" s="426"/>
      <c r="DR192" s="426"/>
      <c r="DS192" s="425"/>
      <c r="DT192" s="424"/>
      <c r="DU192" s="424"/>
      <c r="DV192" s="425"/>
      <c r="DW192" s="426"/>
      <c r="DX192" s="426"/>
      <c r="DY192" s="425"/>
      <c r="DZ192" s="424"/>
      <c r="EA192" s="424"/>
    </row>
    <row r="193" spans="3:131">
      <c r="C193" s="200" t="s">
        <v>1046</v>
      </c>
      <c r="D193" s="434" t="s">
        <v>1047</v>
      </c>
      <c r="E193" s="200" t="s">
        <v>968</v>
      </c>
      <c r="F193" s="432">
        <f>'MF Unit Material'!Y365</f>
        <v>284</v>
      </c>
      <c r="G193" s="431">
        <f>'MF Unit Material'!Z365</f>
        <v>3.5</v>
      </c>
      <c r="H193" s="158">
        <f>'MF Unit Material'!AA365</f>
        <v>994</v>
      </c>
      <c r="I193" s="430">
        <f t="shared" si="11"/>
        <v>284</v>
      </c>
      <c r="J193" s="429">
        <f t="shared" si="6"/>
        <v>0</v>
      </c>
      <c r="K193" s="428">
        <f t="shared" si="7"/>
        <v>0</v>
      </c>
      <c r="L193" s="427"/>
      <c r="M193" s="426"/>
      <c r="N193" s="426"/>
      <c r="O193" s="425"/>
      <c r="P193" s="424"/>
      <c r="Q193" s="424"/>
      <c r="R193" s="425"/>
      <c r="S193" s="426"/>
      <c r="T193" s="426"/>
      <c r="U193" s="425"/>
      <c r="V193" s="424"/>
      <c r="W193" s="424"/>
      <c r="X193" s="425"/>
      <c r="Y193" s="426"/>
      <c r="Z193" s="426"/>
      <c r="AA193" s="425"/>
      <c r="AB193" s="424"/>
      <c r="AC193" s="424"/>
      <c r="AD193" s="425"/>
      <c r="AE193" s="426"/>
      <c r="AF193" s="426"/>
      <c r="AG193" s="425"/>
      <c r="AH193" s="424"/>
      <c r="AI193" s="424"/>
      <c r="AJ193" s="425"/>
      <c r="AK193" s="426"/>
      <c r="AL193" s="426"/>
      <c r="AM193" s="425"/>
      <c r="AN193" s="424"/>
      <c r="AO193" s="424"/>
      <c r="AP193" s="425"/>
      <c r="AQ193" s="426"/>
      <c r="AR193" s="426"/>
      <c r="AS193" s="425"/>
      <c r="AT193" s="424"/>
      <c r="AU193" s="424"/>
      <c r="AV193" s="425"/>
      <c r="AW193" s="426"/>
      <c r="AX193" s="426"/>
      <c r="AY193" s="425"/>
      <c r="AZ193" s="424"/>
      <c r="BA193" s="424"/>
      <c r="BB193" s="425"/>
      <c r="BC193" s="426"/>
      <c r="BD193" s="426"/>
      <c r="BE193" s="425"/>
      <c r="BF193" s="424"/>
      <c r="BG193" s="424"/>
      <c r="BH193" s="425"/>
      <c r="BI193" s="426"/>
      <c r="BJ193" s="426"/>
      <c r="BK193" s="425"/>
      <c r="BL193" s="424"/>
      <c r="BM193" s="424"/>
      <c r="BN193" s="425"/>
      <c r="BO193" s="426"/>
      <c r="BP193" s="426"/>
      <c r="BQ193" s="425"/>
      <c r="BR193" s="424"/>
      <c r="BS193" s="424"/>
      <c r="BT193" s="425"/>
      <c r="BU193" s="426"/>
      <c r="BV193" s="426"/>
      <c r="BW193" s="425"/>
      <c r="BX193" s="424"/>
      <c r="BY193" s="424"/>
      <c r="BZ193" s="425"/>
      <c r="CA193" s="426"/>
      <c r="CB193" s="426"/>
      <c r="CC193" s="425"/>
      <c r="CD193" s="424"/>
      <c r="CE193" s="424"/>
      <c r="CF193" s="425"/>
      <c r="CG193" s="426"/>
      <c r="CH193" s="426"/>
      <c r="CI193" s="425"/>
      <c r="CJ193" s="424"/>
      <c r="CK193" s="424"/>
      <c r="CL193" s="425"/>
      <c r="CM193" s="426"/>
      <c r="CN193" s="426"/>
      <c r="CO193" s="425"/>
      <c r="CP193" s="424"/>
      <c r="CQ193" s="424"/>
      <c r="CR193" s="425"/>
      <c r="CS193" s="426"/>
      <c r="CT193" s="426"/>
      <c r="CU193" s="425"/>
      <c r="CV193" s="424"/>
      <c r="CW193" s="424"/>
      <c r="CX193" s="425"/>
      <c r="CY193" s="426"/>
      <c r="CZ193" s="426"/>
      <c r="DA193" s="425"/>
      <c r="DB193" s="424"/>
      <c r="DC193" s="424"/>
      <c r="DD193" s="425"/>
      <c r="DE193" s="426"/>
      <c r="DF193" s="426"/>
      <c r="DG193" s="425"/>
      <c r="DH193" s="424"/>
      <c r="DI193" s="424"/>
      <c r="DJ193" s="425"/>
      <c r="DK193" s="426"/>
      <c r="DL193" s="426"/>
      <c r="DM193" s="425"/>
      <c r="DN193" s="424"/>
      <c r="DO193" s="424"/>
      <c r="DP193" s="425"/>
      <c r="DQ193" s="426"/>
      <c r="DR193" s="426"/>
      <c r="DS193" s="425"/>
      <c r="DT193" s="424"/>
      <c r="DU193" s="424"/>
      <c r="DV193" s="425"/>
      <c r="DW193" s="426"/>
      <c r="DX193" s="426"/>
      <c r="DY193" s="425"/>
      <c r="DZ193" s="424"/>
      <c r="EA193" s="424"/>
    </row>
    <row r="194" spans="3:131">
      <c r="C194" s="200" t="s">
        <v>1048</v>
      </c>
      <c r="D194" s="434" t="s">
        <v>1049</v>
      </c>
      <c r="E194" s="200" t="s">
        <v>968</v>
      </c>
      <c r="F194" s="432">
        <f>'MF Unit Material'!Y366</f>
        <v>210</v>
      </c>
      <c r="G194" s="431">
        <f>'MF Unit Material'!Z366</f>
        <v>4.25</v>
      </c>
      <c r="H194" s="158">
        <f>'MF Unit Material'!AA366</f>
        <v>892.5</v>
      </c>
      <c r="I194" s="430">
        <f t="shared" si="11"/>
        <v>210</v>
      </c>
      <c r="J194" s="429">
        <f t="shared" si="6"/>
        <v>0</v>
      </c>
      <c r="K194" s="428">
        <f t="shared" si="7"/>
        <v>0</v>
      </c>
      <c r="L194" s="427"/>
      <c r="M194" s="426"/>
      <c r="N194" s="426"/>
      <c r="O194" s="425"/>
      <c r="P194" s="424"/>
      <c r="Q194" s="424"/>
      <c r="R194" s="425"/>
      <c r="S194" s="426"/>
      <c r="T194" s="426"/>
      <c r="U194" s="425"/>
      <c r="V194" s="424"/>
      <c r="W194" s="424"/>
      <c r="X194" s="425"/>
      <c r="Y194" s="426"/>
      <c r="Z194" s="426"/>
      <c r="AA194" s="425"/>
      <c r="AB194" s="424"/>
      <c r="AC194" s="424"/>
      <c r="AD194" s="425"/>
      <c r="AE194" s="426"/>
      <c r="AF194" s="426"/>
      <c r="AG194" s="425"/>
      <c r="AH194" s="424"/>
      <c r="AI194" s="424"/>
      <c r="AJ194" s="425"/>
      <c r="AK194" s="426"/>
      <c r="AL194" s="426"/>
      <c r="AM194" s="425"/>
      <c r="AN194" s="424"/>
      <c r="AO194" s="424"/>
      <c r="AP194" s="425"/>
      <c r="AQ194" s="426"/>
      <c r="AR194" s="426"/>
      <c r="AS194" s="425"/>
      <c r="AT194" s="424"/>
      <c r="AU194" s="424"/>
      <c r="AV194" s="425"/>
      <c r="AW194" s="426"/>
      <c r="AX194" s="426"/>
      <c r="AY194" s="425"/>
      <c r="AZ194" s="424"/>
      <c r="BA194" s="424"/>
      <c r="BB194" s="425"/>
      <c r="BC194" s="426"/>
      <c r="BD194" s="426"/>
      <c r="BE194" s="425"/>
      <c r="BF194" s="424"/>
      <c r="BG194" s="424"/>
      <c r="BH194" s="425"/>
      <c r="BI194" s="426"/>
      <c r="BJ194" s="426"/>
      <c r="BK194" s="425"/>
      <c r="BL194" s="424"/>
      <c r="BM194" s="424"/>
      <c r="BN194" s="425"/>
      <c r="BO194" s="426"/>
      <c r="BP194" s="426"/>
      <c r="BQ194" s="425"/>
      <c r="BR194" s="424"/>
      <c r="BS194" s="424"/>
      <c r="BT194" s="425"/>
      <c r="BU194" s="426"/>
      <c r="BV194" s="426"/>
      <c r="BW194" s="425"/>
      <c r="BX194" s="424"/>
      <c r="BY194" s="424"/>
      <c r="BZ194" s="425"/>
      <c r="CA194" s="426"/>
      <c r="CB194" s="426"/>
      <c r="CC194" s="425"/>
      <c r="CD194" s="424"/>
      <c r="CE194" s="424"/>
      <c r="CF194" s="425"/>
      <c r="CG194" s="426"/>
      <c r="CH194" s="426"/>
      <c r="CI194" s="425"/>
      <c r="CJ194" s="424"/>
      <c r="CK194" s="424"/>
      <c r="CL194" s="425"/>
      <c r="CM194" s="426"/>
      <c r="CN194" s="426"/>
      <c r="CO194" s="425"/>
      <c r="CP194" s="424"/>
      <c r="CQ194" s="424"/>
      <c r="CR194" s="425"/>
      <c r="CS194" s="426"/>
      <c r="CT194" s="426"/>
      <c r="CU194" s="425"/>
      <c r="CV194" s="424"/>
      <c r="CW194" s="424"/>
      <c r="CX194" s="425"/>
      <c r="CY194" s="426"/>
      <c r="CZ194" s="426"/>
      <c r="DA194" s="425"/>
      <c r="DB194" s="424"/>
      <c r="DC194" s="424"/>
      <c r="DD194" s="425"/>
      <c r="DE194" s="426"/>
      <c r="DF194" s="426"/>
      <c r="DG194" s="425"/>
      <c r="DH194" s="424"/>
      <c r="DI194" s="424"/>
      <c r="DJ194" s="425"/>
      <c r="DK194" s="426"/>
      <c r="DL194" s="426"/>
      <c r="DM194" s="425"/>
      <c r="DN194" s="424"/>
      <c r="DO194" s="424"/>
      <c r="DP194" s="425"/>
      <c r="DQ194" s="426"/>
      <c r="DR194" s="426"/>
      <c r="DS194" s="425"/>
      <c r="DT194" s="424"/>
      <c r="DU194" s="424"/>
      <c r="DV194" s="425"/>
      <c r="DW194" s="426"/>
      <c r="DX194" s="426"/>
      <c r="DY194" s="425"/>
      <c r="DZ194" s="424"/>
      <c r="EA194" s="424"/>
    </row>
    <row r="195" spans="3:131">
      <c r="C195" s="200" t="s">
        <v>1050</v>
      </c>
      <c r="D195" s="434" t="s">
        <v>1051</v>
      </c>
      <c r="E195" s="200" t="s">
        <v>968</v>
      </c>
      <c r="F195" s="432">
        <f>'MF Unit Material'!Y367</f>
        <v>16</v>
      </c>
      <c r="G195" s="431">
        <f>'MF Unit Material'!Z367</f>
        <v>5</v>
      </c>
      <c r="H195" s="158">
        <f>'MF Unit Material'!AA367</f>
        <v>80</v>
      </c>
      <c r="I195" s="430">
        <f t="shared" si="11"/>
        <v>16</v>
      </c>
      <c r="J195" s="429">
        <f t="shared" si="6"/>
        <v>0</v>
      </c>
      <c r="K195" s="428">
        <f t="shared" si="7"/>
        <v>0</v>
      </c>
      <c r="L195" s="427"/>
      <c r="M195" s="426"/>
      <c r="N195" s="426"/>
      <c r="O195" s="425"/>
      <c r="P195" s="424"/>
      <c r="Q195" s="424"/>
      <c r="R195" s="425"/>
      <c r="S195" s="426"/>
      <c r="T195" s="426"/>
      <c r="U195" s="425"/>
      <c r="V195" s="424"/>
      <c r="W195" s="424"/>
      <c r="X195" s="425"/>
      <c r="Y195" s="426"/>
      <c r="Z195" s="426"/>
      <c r="AA195" s="425"/>
      <c r="AB195" s="424"/>
      <c r="AC195" s="424"/>
      <c r="AD195" s="425"/>
      <c r="AE195" s="426"/>
      <c r="AF195" s="426"/>
      <c r="AG195" s="425"/>
      <c r="AH195" s="424"/>
      <c r="AI195" s="424"/>
      <c r="AJ195" s="425"/>
      <c r="AK195" s="426"/>
      <c r="AL195" s="426"/>
      <c r="AM195" s="425"/>
      <c r="AN195" s="424"/>
      <c r="AO195" s="424"/>
      <c r="AP195" s="425"/>
      <c r="AQ195" s="426"/>
      <c r="AR195" s="426"/>
      <c r="AS195" s="425"/>
      <c r="AT195" s="424"/>
      <c r="AU195" s="424"/>
      <c r="AV195" s="425"/>
      <c r="AW195" s="426"/>
      <c r="AX195" s="426"/>
      <c r="AY195" s="425"/>
      <c r="AZ195" s="424"/>
      <c r="BA195" s="424"/>
      <c r="BB195" s="425"/>
      <c r="BC195" s="426"/>
      <c r="BD195" s="426"/>
      <c r="BE195" s="425"/>
      <c r="BF195" s="424"/>
      <c r="BG195" s="424"/>
      <c r="BH195" s="425"/>
      <c r="BI195" s="426"/>
      <c r="BJ195" s="426"/>
      <c r="BK195" s="425"/>
      <c r="BL195" s="424"/>
      <c r="BM195" s="424"/>
      <c r="BN195" s="425"/>
      <c r="BO195" s="426"/>
      <c r="BP195" s="426"/>
      <c r="BQ195" s="425"/>
      <c r="BR195" s="424"/>
      <c r="BS195" s="424"/>
      <c r="BT195" s="425"/>
      <c r="BU195" s="426"/>
      <c r="BV195" s="426"/>
      <c r="BW195" s="425"/>
      <c r="BX195" s="424"/>
      <c r="BY195" s="424"/>
      <c r="BZ195" s="425"/>
      <c r="CA195" s="426"/>
      <c r="CB195" s="426"/>
      <c r="CC195" s="425"/>
      <c r="CD195" s="424"/>
      <c r="CE195" s="424"/>
      <c r="CF195" s="425"/>
      <c r="CG195" s="426"/>
      <c r="CH195" s="426"/>
      <c r="CI195" s="425"/>
      <c r="CJ195" s="424"/>
      <c r="CK195" s="424"/>
      <c r="CL195" s="425"/>
      <c r="CM195" s="426"/>
      <c r="CN195" s="426"/>
      <c r="CO195" s="425"/>
      <c r="CP195" s="424"/>
      <c r="CQ195" s="424"/>
      <c r="CR195" s="425"/>
      <c r="CS195" s="426"/>
      <c r="CT195" s="426"/>
      <c r="CU195" s="425"/>
      <c r="CV195" s="424"/>
      <c r="CW195" s="424"/>
      <c r="CX195" s="425"/>
      <c r="CY195" s="426"/>
      <c r="CZ195" s="426"/>
      <c r="DA195" s="425"/>
      <c r="DB195" s="424"/>
      <c r="DC195" s="424"/>
      <c r="DD195" s="425"/>
      <c r="DE195" s="426"/>
      <c r="DF195" s="426"/>
      <c r="DG195" s="425"/>
      <c r="DH195" s="424"/>
      <c r="DI195" s="424"/>
      <c r="DJ195" s="425"/>
      <c r="DK195" s="426"/>
      <c r="DL195" s="426"/>
      <c r="DM195" s="425"/>
      <c r="DN195" s="424"/>
      <c r="DO195" s="424"/>
      <c r="DP195" s="425"/>
      <c r="DQ195" s="426"/>
      <c r="DR195" s="426"/>
      <c r="DS195" s="425"/>
      <c r="DT195" s="424"/>
      <c r="DU195" s="424"/>
      <c r="DV195" s="425"/>
      <c r="DW195" s="426"/>
      <c r="DX195" s="426"/>
      <c r="DY195" s="425"/>
      <c r="DZ195" s="424"/>
      <c r="EA195" s="424"/>
    </row>
    <row r="196" spans="3:131">
      <c r="C196" s="200" t="s">
        <v>1052</v>
      </c>
      <c r="D196" s="434" t="s">
        <v>1053</v>
      </c>
      <c r="E196" s="200" t="s">
        <v>968</v>
      </c>
      <c r="F196" s="432">
        <f>'MF Unit Material'!Y368</f>
        <v>0</v>
      </c>
      <c r="G196" s="431">
        <f>'MF Unit Material'!Z368</f>
        <v>6</v>
      </c>
      <c r="H196" s="158">
        <f>'MF Unit Material'!AA368</f>
        <v>0</v>
      </c>
      <c r="I196" s="430">
        <f t="shared" si="11"/>
        <v>0</v>
      </c>
      <c r="J196" s="429">
        <f t="shared" si="6"/>
        <v>0</v>
      </c>
      <c r="K196" s="428">
        <f t="shared" si="7"/>
        <v>0</v>
      </c>
      <c r="L196" s="427"/>
      <c r="M196" s="426"/>
      <c r="N196" s="426"/>
      <c r="O196" s="425"/>
      <c r="P196" s="424"/>
      <c r="Q196" s="424"/>
      <c r="R196" s="425"/>
      <c r="S196" s="426"/>
      <c r="T196" s="426"/>
      <c r="U196" s="425"/>
      <c r="V196" s="424"/>
      <c r="W196" s="424"/>
      <c r="X196" s="425"/>
      <c r="Y196" s="426"/>
      <c r="Z196" s="426"/>
      <c r="AA196" s="425"/>
      <c r="AB196" s="424"/>
      <c r="AC196" s="424"/>
      <c r="AD196" s="425"/>
      <c r="AE196" s="426"/>
      <c r="AF196" s="426"/>
      <c r="AG196" s="425"/>
      <c r="AH196" s="424"/>
      <c r="AI196" s="424"/>
      <c r="AJ196" s="425"/>
      <c r="AK196" s="426"/>
      <c r="AL196" s="426"/>
      <c r="AM196" s="425"/>
      <c r="AN196" s="424"/>
      <c r="AO196" s="424"/>
      <c r="AP196" s="425"/>
      <c r="AQ196" s="426"/>
      <c r="AR196" s="426"/>
      <c r="AS196" s="425"/>
      <c r="AT196" s="424"/>
      <c r="AU196" s="424"/>
      <c r="AV196" s="425"/>
      <c r="AW196" s="426"/>
      <c r="AX196" s="426"/>
      <c r="AY196" s="425"/>
      <c r="AZ196" s="424"/>
      <c r="BA196" s="424"/>
      <c r="BB196" s="425"/>
      <c r="BC196" s="426"/>
      <c r="BD196" s="426"/>
      <c r="BE196" s="425"/>
      <c r="BF196" s="424"/>
      <c r="BG196" s="424"/>
      <c r="BH196" s="425"/>
      <c r="BI196" s="426"/>
      <c r="BJ196" s="426"/>
      <c r="BK196" s="425"/>
      <c r="BL196" s="424"/>
      <c r="BM196" s="424"/>
      <c r="BN196" s="425"/>
      <c r="BO196" s="426"/>
      <c r="BP196" s="426"/>
      <c r="BQ196" s="425"/>
      <c r="BR196" s="424"/>
      <c r="BS196" s="424"/>
      <c r="BT196" s="425"/>
      <c r="BU196" s="426"/>
      <c r="BV196" s="426"/>
      <c r="BW196" s="425"/>
      <c r="BX196" s="424"/>
      <c r="BY196" s="424"/>
      <c r="BZ196" s="425"/>
      <c r="CA196" s="426"/>
      <c r="CB196" s="426"/>
      <c r="CC196" s="425"/>
      <c r="CD196" s="424"/>
      <c r="CE196" s="424"/>
      <c r="CF196" s="425"/>
      <c r="CG196" s="426"/>
      <c r="CH196" s="426"/>
      <c r="CI196" s="425"/>
      <c r="CJ196" s="424"/>
      <c r="CK196" s="424"/>
      <c r="CL196" s="425"/>
      <c r="CM196" s="426"/>
      <c r="CN196" s="426"/>
      <c r="CO196" s="425"/>
      <c r="CP196" s="424"/>
      <c r="CQ196" s="424"/>
      <c r="CR196" s="425"/>
      <c r="CS196" s="426"/>
      <c r="CT196" s="426"/>
      <c r="CU196" s="425"/>
      <c r="CV196" s="424"/>
      <c r="CW196" s="424"/>
      <c r="CX196" s="425"/>
      <c r="CY196" s="426"/>
      <c r="CZ196" s="426"/>
      <c r="DA196" s="425"/>
      <c r="DB196" s="424"/>
      <c r="DC196" s="424"/>
      <c r="DD196" s="425"/>
      <c r="DE196" s="426"/>
      <c r="DF196" s="426"/>
      <c r="DG196" s="425"/>
      <c r="DH196" s="424"/>
      <c r="DI196" s="424"/>
      <c r="DJ196" s="425"/>
      <c r="DK196" s="426"/>
      <c r="DL196" s="426"/>
      <c r="DM196" s="425"/>
      <c r="DN196" s="424"/>
      <c r="DO196" s="424"/>
      <c r="DP196" s="425"/>
      <c r="DQ196" s="426"/>
      <c r="DR196" s="426"/>
      <c r="DS196" s="425"/>
      <c r="DT196" s="424"/>
      <c r="DU196" s="424"/>
      <c r="DV196" s="425"/>
      <c r="DW196" s="426"/>
      <c r="DX196" s="426"/>
      <c r="DY196" s="425"/>
      <c r="DZ196" s="424"/>
      <c r="EA196" s="424"/>
    </row>
    <row r="197" spans="3:131">
      <c r="C197" s="200" t="s">
        <v>1054</v>
      </c>
      <c r="D197" s="434" t="s">
        <v>1055</v>
      </c>
      <c r="E197" s="200" t="s">
        <v>968</v>
      </c>
      <c r="F197" s="432">
        <f>'MF Unit Material'!Y369</f>
        <v>0</v>
      </c>
      <c r="G197" s="431">
        <f>'MF Unit Material'!Z369</f>
        <v>7</v>
      </c>
      <c r="H197" s="158">
        <f>'MF Unit Material'!AA369</f>
        <v>0</v>
      </c>
      <c r="I197" s="430">
        <f t="shared" si="11"/>
        <v>0</v>
      </c>
      <c r="J197" s="429">
        <f t="shared" ref="J197:J257" si="12">SUMIFS($L197:$EA197,$L$4:$EA$4,"=" &amp; "Qty")</f>
        <v>0</v>
      </c>
      <c r="K197" s="428">
        <f t="shared" ref="K197:K257" si="13">SUMIFS($L197:$EA197,$L$4:$EA$4,"=" &amp; "Total ($)")</f>
        <v>0</v>
      </c>
      <c r="L197" s="427"/>
      <c r="M197" s="426"/>
      <c r="N197" s="426"/>
      <c r="O197" s="425"/>
      <c r="P197" s="424"/>
      <c r="Q197" s="424"/>
      <c r="R197" s="425"/>
      <c r="S197" s="426"/>
      <c r="T197" s="426"/>
      <c r="U197" s="425"/>
      <c r="V197" s="424"/>
      <c r="W197" s="424"/>
      <c r="X197" s="425"/>
      <c r="Y197" s="426"/>
      <c r="Z197" s="426"/>
      <c r="AA197" s="425"/>
      <c r="AB197" s="424"/>
      <c r="AC197" s="424"/>
      <c r="AD197" s="425"/>
      <c r="AE197" s="426"/>
      <c r="AF197" s="426"/>
      <c r="AG197" s="425"/>
      <c r="AH197" s="424"/>
      <c r="AI197" s="424"/>
      <c r="AJ197" s="425"/>
      <c r="AK197" s="426"/>
      <c r="AL197" s="426"/>
      <c r="AM197" s="425"/>
      <c r="AN197" s="424"/>
      <c r="AO197" s="424"/>
      <c r="AP197" s="425"/>
      <c r="AQ197" s="426"/>
      <c r="AR197" s="426"/>
      <c r="AS197" s="425"/>
      <c r="AT197" s="424"/>
      <c r="AU197" s="424"/>
      <c r="AV197" s="425"/>
      <c r="AW197" s="426"/>
      <c r="AX197" s="426"/>
      <c r="AY197" s="425"/>
      <c r="AZ197" s="424"/>
      <c r="BA197" s="424"/>
      <c r="BB197" s="425"/>
      <c r="BC197" s="426"/>
      <c r="BD197" s="426"/>
      <c r="BE197" s="425"/>
      <c r="BF197" s="424"/>
      <c r="BG197" s="424"/>
      <c r="BH197" s="425"/>
      <c r="BI197" s="426"/>
      <c r="BJ197" s="426"/>
      <c r="BK197" s="425"/>
      <c r="BL197" s="424"/>
      <c r="BM197" s="424"/>
      <c r="BN197" s="425"/>
      <c r="BO197" s="426"/>
      <c r="BP197" s="426"/>
      <c r="BQ197" s="425"/>
      <c r="BR197" s="424"/>
      <c r="BS197" s="424"/>
      <c r="BT197" s="425"/>
      <c r="BU197" s="426"/>
      <c r="BV197" s="426"/>
      <c r="BW197" s="425"/>
      <c r="BX197" s="424"/>
      <c r="BY197" s="424"/>
      <c r="BZ197" s="425"/>
      <c r="CA197" s="426"/>
      <c r="CB197" s="426"/>
      <c r="CC197" s="425"/>
      <c r="CD197" s="424"/>
      <c r="CE197" s="424"/>
      <c r="CF197" s="425"/>
      <c r="CG197" s="426"/>
      <c r="CH197" s="426"/>
      <c r="CI197" s="425"/>
      <c r="CJ197" s="424"/>
      <c r="CK197" s="424"/>
      <c r="CL197" s="425"/>
      <c r="CM197" s="426"/>
      <c r="CN197" s="426"/>
      <c r="CO197" s="425"/>
      <c r="CP197" s="424"/>
      <c r="CQ197" s="424"/>
      <c r="CR197" s="425"/>
      <c r="CS197" s="426"/>
      <c r="CT197" s="426"/>
      <c r="CU197" s="425"/>
      <c r="CV197" s="424"/>
      <c r="CW197" s="424"/>
      <c r="CX197" s="425"/>
      <c r="CY197" s="426"/>
      <c r="CZ197" s="426"/>
      <c r="DA197" s="425"/>
      <c r="DB197" s="424"/>
      <c r="DC197" s="424"/>
      <c r="DD197" s="425"/>
      <c r="DE197" s="426"/>
      <c r="DF197" s="426"/>
      <c r="DG197" s="425"/>
      <c r="DH197" s="424"/>
      <c r="DI197" s="424"/>
      <c r="DJ197" s="425"/>
      <c r="DK197" s="426"/>
      <c r="DL197" s="426"/>
      <c r="DM197" s="425"/>
      <c r="DN197" s="424"/>
      <c r="DO197" s="424"/>
      <c r="DP197" s="425"/>
      <c r="DQ197" s="426"/>
      <c r="DR197" s="426"/>
      <c r="DS197" s="425"/>
      <c r="DT197" s="424"/>
      <c r="DU197" s="424"/>
      <c r="DV197" s="425"/>
      <c r="DW197" s="426"/>
      <c r="DX197" s="426"/>
      <c r="DY197" s="425"/>
      <c r="DZ197" s="424"/>
      <c r="EA197" s="424"/>
    </row>
    <row r="198" spans="3:131">
      <c r="C198" s="200" t="s">
        <v>1056</v>
      </c>
      <c r="D198" s="444" t="s">
        <v>1057</v>
      </c>
      <c r="E198" s="200" t="s">
        <v>968</v>
      </c>
      <c r="F198" s="432">
        <f>'MF Unit Material'!Y370</f>
        <v>0</v>
      </c>
      <c r="G198" s="431">
        <f>'MF Unit Material'!Z370</f>
        <v>8</v>
      </c>
      <c r="H198" s="158">
        <f>'MF Unit Material'!AA370</f>
        <v>0</v>
      </c>
      <c r="I198" s="430">
        <f t="shared" si="11"/>
        <v>0</v>
      </c>
      <c r="J198" s="429">
        <f t="shared" si="12"/>
        <v>0</v>
      </c>
      <c r="K198" s="428">
        <f t="shared" si="13"/>
        <v>0</v>
      </c>
      <c r="L198" s="427"/>
      <c r="M198" s="426"/>
      <c r="N198" s="426"/>
      <c r="O198" s="425"/>
      <c r="P198" s="424"/>
      <c r="Q198" s="424"/>
      <c r="R198" s="425"/>
      <c r="S198" s="426"/>
      <c r="T198" s="426"/>
      <c r="U198" s="425"/>
      <c r="V198" s="424"/>
      <c r="W198" s="424"/>
      <c r="X198" s="425"/>
      <c r="Y198" s="426"/>
      <c r="Z198" s="426"/>
      <c r="AA198" s="425"/>
      <c r="AB198" s="424"/>
      <c r="AC198" s="424"/>
      <c r="AD198" s="425"/>
      <c r="AE198" s="426"/>
      <c r="AF198" s="426"/>
      <c r="AG198" s="425"/>
      <c r="AH198" s="424"/>
      <c r="AI198" s="424"/>
      <c r="AJ198" s="425"/>
      <c r="AK198" s="426"/>
      <c r="AL198" s="426"/>
      <c r="AM198" s="425"/>
      <c r="AN198" s="424"/>
      <c r="AO198" s="424"/>
      <c r="AP198" s="425"/>
      <c r="AQ198" s="426"/>
      <c r="AR198" s="426"/>
      <c r="AS198" s="425"/>
      <c r="AT198" s="424"/>
      <c r="AU198" s="424"/>
      <c r="AV198" s="425"/>
      <c r="AW198" s="426"/>
      <c r="AX198" s="426"/>
      <c r="AY198" s="425"/>
      <c r="AZ198" s="424"/>
      <c r="BA198" s="424"/>
      <c r="BB198" s="425"/>
      <c r="BC198" s="426"/>
      <c r="BD198" s="426"/>
      <c r="BE198" s="425"/>
      <c r="BF198" s="424"/>
      <c r="BG198" s="424"/>
      <c r="BH198" s="425"/>
      <c r="BI198" s="426"/>
      <c r="BJ198" s="426"/>
      <c r="BK198" s="425"/>
      <c r="BL198" s="424"/>
      <c r="BM198" s="424"/>
      <c r="BN198" s="425"/>
      <c r="BO198" s="426"/>
      <c r="BP198" s="426"/>
      <c r="BQ198" s="425"/>
      <c r="BR198" s="424"/>
      <c r="BS198" s="424"/>
      <c r="BT198" s="425"/>
      <c r="BU198" s="426"/>
      <c r="BV198" s="426"/>
      <c r="BW198" s="425"/>
      <c r="BX198" s="424"/>
      <c r="BY198" s="424"/>
      <c r="BZ198" s="425"/>
      <c r="CA198" s="426"/>
      <c r="CB198" s="426"/>
      <c r="CC198" s="425"/>
      <c r="CD198" s="424"/>
      <c r="CE198" s="424"/>
      <c r="CF198" s="425"/>
      <c r="CG198" s="426"/>
      <c r="CH198" s="426"/>
      <c r="CI198" s="425"/>
      <c r="CJ198" s="424"/>
      <c r="CK198" s="424"/>
      <c r="CL198" s="425"/>
      <c r="CM198" s="426"/>
      <c r="CN198" s="426"/>
      <c r="CO198" s="425"/>
      <c r="CP198" s="424"/>
      <c r="CQ198" s="424"/>
      <c r="CR198" s="425"/>
      <c r="CS198" s="426"/>
      <c r="CT198" s="426"/>
      <c r="CU198" s="425"/>
      <c r="CV198" s="424"/>
      <c r="CW198" s="424"/>
      <c r="CX198" s="425"/>
      <c r="CY198" s="426"/>
      <c r="CZ198" s="426"/>
      <c r="DA198" s="425"/>
      <c r="DB198" s="424"/>
      <c r="DC198" s="424"/>
      <c r="DD198" s="425"/>
      <c r="DE198" s="426"/>
      <c r="DF198" s="426"/>
      <c r="DG198" s="425"/>
      <c r="DH198" s="424"/>
      <c r="DI198" s="424"/>
      <c r="DJ198" s="425"/>
      <c r="DK198" s="426"/>
      <c r="DL198" s="426"/>
      <c r="DM198" s="425"/>
      <c r="DN198" s="424"/>
      <c r="DO198" s="424"/>
      <c r="DP198" s="425"/>
      <c r="DQ198" s="426"/>
      <c r="DR198" s="426"/>
      <c r="DS198" s="425"/>
      <c r="DT198" s="424"/>
      <c r="DU198" s="424"/>
      <c r="DV198" s="425"/>
      <c r="DW198" s="426"/>
      <c r="DX198" s="426"/>
      <c r="DY198" s="425"/>
      <c r="DZ198" s="424"/>
      <c r="EA198" s="424"/>
    </row>
    <row r="199" spans="3:131">
      <c r="C199" s="423"/>
      <c r="D199" s="1"/>
      <c r="E199" s="16" t="s">
        <v>961</v>
      </c>
      <c r="F199" s="422">
        <f>'MF Unit Material'!Y372</f>
        <v>4480</v>
      </c>
      <c r="G199" s="421">
        <f>'MF Unit Material'!Z372</f>
        <v>0</v>
      </c>
      <c r="H199" s="420">
        <f>'MF Unit Material'!AA372</f>
        <v>11618.36</v>
      </c>
      <c r="I199" s="429"/>
      <c r="J199" s="429">
        <f t="shared" si="12"/>
        <v>0</v>
      </c>
      <c r="K199" s="428">
        <f t="shared" si="13"/>
        <v>0</v>
      </c>
      <c r="L199" s="427"/>
      <c r="M199" s="426"/>
      <c r="N199" s="426"/>
      <c r="O199" s="425"/>
      <c r="P199" s="424"/>
      <c r="Q199" s="424"/>
      <c r="R199" s="425"/>
      <c r="S199" s="426"/>
      <c r="T199" s="426"/>
      <c r="U199" s="425"/>
      <c r="V199" s="424"/>
      <c r="W199" s="424"/>
      <c r="X199" s="425"/>
      <c r="Y199" s="426"/>
      <c r="Z199" s="426"/>
      <c r="AA199" s="425"/>
      <c r="AB199" s="424"/>
      <c r="AC199" s="424"/>
      <c r="AD199" s="425"/>
      <c r="AE199" s="426"/>
      <c r="AF199" s="426"/>
      <c r="AG199" s="425"/>
      <c r="AH199" s="424"/>
      <c r="AI199" s="424"/>
      <c r="AJ199" s="425"/>
      <c r="AK199" s="426"/>
      <c r="AL199" s="426"/>
      <c r="AM199" s="425"/>
      <c r="AN199" s="424"/>
      <c r="AO199" s="424"/>
      <c r="AP199" s="425"/>
      <c r="AQ199" s="426"/>
      <c r="AR199" s="426"/>
      <c r="AS199" s="425"/>
      <c r="AT199" s="424"/>
      <c r="AU199" s="424"/>
      <c r="AV199" s="425"/>
      <c r="AW199" s="426"/>
      <c r="AX199" s="426"/>
      <c r="AY199" s="425"/>
      <c r="AZ199" s="424"/>
      <c r="BA199" s="424"/>
      <c r="BB199" s="425"/>
      <c r="BC199" s="426"/>
      <c r="BD199" s="426"/>
      <c r="BE199" s="425"/>
      <c r="BF199" s="424"/>
      <c r="BG199" s="424"/>
      <c r="BH199" s="425"/>
      <c r="BI199" s="426"/>
      <c r="BJ199" s="426"/>
      <c r="BK199" s="425"/>
      <c r="BL199" s="424"/>
      <c r="BM199" s="424"/>
      <c r="BN199" s="425"/>
      <c r="BO199" s="426"/>
      <c r="BP199" s="426"/>
      <c r="BQ199" s="425"/>
      <c r="BR199" s="424"/>
      <c r="BS199" s="424"/>
      <c r="BT199" s="425"/>
      <c r="BU199" s="426"/>
      <c r="BV199" s="426"/>
      <c r="BW199" s="425"/>
      <c r="BX199" s="424"/>
      <c r="BY199" s="424"/>
      <c r="BZ199" s="425"/>
      <c r="CA199" s="426"/>
      <c r="CB199" s="426"/>
      <c r="CC199" s="425"/>
      <c r="CD199" s="424"/>
      <c r="CE199" s="424"/>
      <c r="CF199" s="425"/>
      <c r="CG199" s="426"/>
      <c r="CH199" s="426"/>
      <c r="CI199" s="425"/>
      <c r="CJ199" s="424"/>
      <c r="CK199" s="424"/>
      <c r="CL199" s="425"/>
      <c r="CM199" s="426"/>
      <c r="CN199" s="426"/>
      <c r="CO199" s="425"/>
      <c r="CP199" s="424"/>
      <c r="CQ199" s="424"/>
      <c r="CR199" s="425"/>
      <c r="CS199" s="426"/>
      <c r="CT199" s="426"/>
      <c r="CU199" s="425"/>
      <c r="CV199" s="424"/>
      <c r="CW199" s="424"/>
      <c r="CX199" s="425"/>
      <c r="CY199" s="426"/>
      <c r="CZ199" s="426"/>
      <c r="DA199" s="425"/>
      <c r="DB199" s="424"/>
      <c r="DC199" s="424"/>
      <c r="DD199" s="425"/>
      <c r="DE199" s="426"/>
      <c r="DF199" s="426"/>
      <c r="DG199" s="425"/>
      <c r="DH199" s="424"/>
      <c r="DI199" s="424"/>
      <c r="DJ199" s="425"/>
      <c r="DK199" s="426"/>
      <c r="DL199" s="426"/>
      <c r="DM199" s="425"/>
      <c r="DN199" s="424"/>
      <c r="DO199" s="424"/>
      <c r="DP199" s="425"/>
      <c r="DQ199" s="426"/>
      <c r="DR199" s="426"/>
      <c r="DS199" s="425"/>
      <c r="DT199" s="424"/>
      <c r="DU199" s="424"/>
      <c r="DV199" s="425"/>
      <c r="DW199" s="426"/>
      <c r="DX199" s="426"/>
      <c r="DY199" s="425"/>
      <c r="DZ199" s="424"/>
      <c r="EA199" s="424"/>
    </row>
    <row r="200" spans="3:131">
      <c r="C200" s="96" t="s">
        <v>1067</v>
      </c>
      <c r="D200" s="65"/>
      <c r="E200" s="65"/>
      <c r="F200" s="437" t="s">
        <v>948</v>
      </c>
      <c r="G200" s="436" t="s">
        <v>949</v>
      </c>
      <c r="H200" s="412" t="s">
        <v>950</v>
      </c>
      <c r="I200" s="429"/>
      <c r="J200" s="429">
        <f t="shared" si="12"/>
        <v>0</v>
      </c>
      <c r="K200" s="428">
        <f t="shared" si="13"/>
        <v>0</v>
      </c>
      <c r="L200" s="427"/>
      <c r="M200" s="426"/>
      <c r="N200" s="426"/>
      <c r="O200" s="425"/>
      <c r="P200" s="424"/>
      <c r="Q200" s="424"/>
      <c r="R200" s="425"/>
      <c r="S200" s="426"/>
      <c r="T200" s="426"/>
      <c r="U200" s="425"/>
      <c r="V200" s="424"/>
      <c r="W200" s="424"/>
      <c r="X200" s="425"/>
      <c r="Y200" s="426"/>
      <c r="Z200" s="426"/>
      <c r="AA200" s="425"/>
      <c r="AB200" s="424"/>
      <c r="AC200" s="424"/>
      <c r="AD200" s="425"/>
      <c r="AE200" s="426"/>
      <c r="AF200" s="426"/>
      <c r="AG200" s="425"/>
      <c r="AH200" s="424"/>
      <c r="AI200" s="424"/>
      <c r="AJ200" s="425"/>
      <c r="AK200" s="426"/>
      <c r="AL200" s="426"/>
      <c r="AM200" s="425"/>
      <c r="AN200" s="424"/>
      <c r="AO200" s="424"/>
      <c r="AP200" s="425"/>
      <c r="AQ200" s="426"/>
      <c r="AR200" s="426"/>
      <c r="AS200" s="425"/>
      <c r="AT200" s="424"/>
      <c r="AU200" s="424"/>
      <c r="AV200" s="425"/>
      <c r="AW200" s="426"/>
      <c r="AX200" s="426"/>
      <c r="AY200" s="425"/>
      <c r="AZ200" s="424"/>
      <c r="BA200" s="424"/>
      <c r="BB200" s="425"/>
      <c r="BC200" s="426"/>
      <c r="BD200" s="426"/>
      <c r="BE200" s="425"/>
      <c r="BF200" s="424"/>
      <c r="BG200" s="424"/>
      <c r="BH200" s="425"/>
      <c r="BI200" s="426"/>
      <c r="BJ200" s="426"/>
      <c r="BK200" s="425"/>
      <c r="BL200" s="424"/>
      <c r="BM200" s="424"/>
      <c r="BN200" s="425"/>
      <c r="BO200" s="426"/>
      <c r="BP200" s="426"/>
      <c r="BQ200" s="425"/>
      <c r="BR200" s="424"/>
      <c r="BS200" s="424"/>
      <c r="BT200" s="425"/>
      <c r="BU200" s="426"/>
      <c r="BV200" s="426"/>
      <c r="BW200" s="425"/>
      <c r="BX200" s="424"/>
      <c r="BY200" s="424"/>
      <c r="BZ200" s="425"/>
      <c r="CA200" s="426"/>
      <c r="CB200" s="426"/>
      <c r="CC200" s="425"/>
      <c r="CD200" s="424"/>
      <c r="CE200" s="424"/>
      <c r="CF200" s="425"/>
      <c r="CG200" s="426"/>
      <c r="CH200" s="426"/>
      <c r="CI200" s="425"/>
      <c r="CJ200" s="424"/>
      <c r="CK200" s="424"/>
      <c r="CL200" s="425"/>
      <c r="CM200" s="426"/>
      <c r="CN200" s="426"/>
      <c r="CO200" s="425"/>
      <c r="CP200" s="424"/>
      <c r="CQ200" s="424"/>
      <c r="CR200" s="425"/>
      <c r="CS200" s="426"/>
      <c r="CT200" s="426"/>
      <c r="CU200" s="425"/>
      <c r="CV200" s="424"/>
      <c r="CW200" s="424"/>
      <c r="CX200" s="425"/>
      <c r="CY200" s="426"/>
      <c r="CZ200" s="426"/>
      <c r="DA200" s="425"/>
      <c r="DB200" s="424"/>
      <c r="DC200" s="424"/>
      <c r="DD200" s="425"/>
      <c r="DE200" s="426"/>
      <c r="DF200" s="426"/>
      <c r="DG200" s="425"/>
      <c r="DH200" s="424"/>
      <c r="DI200" s="424"/>
      <c r="DJ200" s="425"/>
      <c r="DK200" s="426"/>
      <c r="DL200" s="426"/>
      <c r="DM200" s="425"/>
      <c r="DN200" s="424"/>
      <c r="DO200" s="424"/>
      <c r="DP200" s="425"/>
      <c r="DQ200" s="426"/>
      <c r="DR200" s="426"/>
      <c r="DS200" s="425"/>
      <c r="DT200" s="424"/>
      <c r="DU200" s="424"/>
      <c r="DV200" s="425"/>
      <c r="DW200" s="426"/>
      <c r="DX200" s="426"/>
      <c r="DY200" s="425"/>
      <c r="DZ200" s="424"/>
      <c r="EA200" s="424"/>
    </row>
    <row r="201" spans="3:131">
      <c r="C201" s="198" t="s">
        <v>1012</v>
      </c>
      <c r="D201" s="443" t="s">
        <v>1068</v>
      </c>
      <c r="E201" s="198" t="s">
        <v>968</v>
      </c>
      <c r="F201" s="432">
        <f>'MF Unit Material'!Y374</f>
        <v>536</v>
      </c>
      <c r="G201" s="431">
        <f>'MF Unit Material'!Z374</f>
        <v>3.5</v>
      </c>
      <c r="H201" s="158">
        <f>'MF Unit Material'!AA374</f>
        <v>1876</v>
      </c>
      <c r="I201" s="430">
        <f t="shared" ref="I201:I215" si="14">F201-J201</f>
        <v>536</v>
      </c>
      <c r="J201" s="429">
        <f t="shared" si="12"/>
        <v>0</v>
      </c>
      <c r="K201" s="428">
        <f t="shared" si="13"/>
        <v>0</v>
      </c>
      <c r="L201" s="427"/>
      <c r="M201" s="426"/>
      <c r="N201" s="426"/>
      <c r="O201" s="425"/>
      <c r="P201" s="424"/>
      <c r="Q201" s="424"/>
      <c r="R201" s="425"/>
      <c r="S201" s="426"/>
      <c r="T201" s="426"/>
      <c r="U201" s="425"/>
      <c r="V201" s="424"/>
      <c r="W201" s="424"/>
      <c r="X201" s="425"/>
      <c r="Y201" s="426"/>
      <c r="Z201" s="426"/>
      <c r="AA201" s="425"/>
      <c r="AB201" s="424"/>
      <c r="AC201" s="424"/>
      <c r="AD201" s="425"/>
      <c r="AE201" s="426"/>
      <c r="AF201" s="426"/>
      <c r="AG201" s="425"/>
      <c r="AH201" s="424"/>
      <c r="AI201" s="424"/>
      <c r="AJ201" s="425"/>
      <c r="AK201" s="426"/>
      <c r="AL201" s="426"/>
      <c r="AM201" s="425"/>
      <c r="AN201" s="424"/>
      <c r="AO201" s="424"/>
      <c r="AP201" s="425"/>
      <c r="AQ201" s="426"/>
      <c r="AR201" s="426"/>
      <c r="AS201" s="425"/>
      <c r="AT201" s="424"/>
      <c r="AU201" s="424"/>
      <c r="AV201" s="425"/>
      <c r="AW201" s="426"/>
      <c r="AX201" s="426"/>
      <c r="AY201" s="425"/>
      <c r="AZ201" s="424"/>
      <c r="BA201" s="424"/>
      <c r="BB201" s="425"/>
      <c r="BC201" s="426"/>
      <c r="BD201" s="426"/>
      <c r="BE201" s="425"/>
      <c r="BF201" s="424"/>
      <c r="BG201" s="424"/>
      <c r="BH201" s="425"/>
      <c r="BI201" s="426"/>
      <c r="BJ201" s="426"/>
      <c r="BK201" s="425"/>
      <c r="BL201" s="424"/>
      <c r="BM201" s="424"/>
      <c r="BN201" s="425"/>
      <c r="BO201" s="426"/>
      <c r="BP201" s="426"/>
      <c r="BQ201" s="425"/>
      <c r="BR201" s="424"/>
      <c r="BS201" s="424"/>
      <c r="BT201" s="425"/>
      <c r="BU201" s="426"/>
      <c r="BV201" s="426"/>
      <c r="BW201" s="425"/>
      <c r="BX201" s="424"/>
      <c r="BY201" s="424"/>
      <c r="BZ201" s="425"/>
      <c r="CA201" s="426"/>
      <c r="CB201" s="426"/>
      <c r="CC201" s="425"/>
      <c r="CD201" s="424"/>
      <c r="CE201" s="424"/>
      <c r="CF201" s="425"/>
      <c r="CG201" s="426"/>
      <c r="CH201" s="426"/>
      <c r="CI201" s="425"/>
      <c r="CJ201" s="424"/>
      <c r="CK201" s="424"/>
      <c r="CL201" s="425"/>
      <c r="CM201" s="426"/>
      <c r="CN201" s="426"/>
      <c r="CO201" s="425"/>
      <c r="CP201" s="424"/>
      <c r="CQ201" s="424"/>
      <c r="CR201" s="425"/>
      <c r="CS201" s="426"/>
      <c r="CT201" s="426"/>
      <c r="CU201" s="425"/>
      <c r="CV201" s="424"/>
      <c r="CW201" s="424"/>
      <c r="CX201" s="425"/>
      <c r="CY201" s="426"/>
      <c r="CZ201" s="426"/>
      <c r="DA201" s="425"/>
      <c r="DB201" s="424"/>
      <c r="DC201" s="424"/>
      <c r="DD201" s="425"/>
      <c r="DE201" s="426"/>
      <c r="DF201" s="426"/>
      <c r="DG201" s="425"/>
      <c r="DH201" s="424"/>
      <c r="DI201" s="424"/>
      <c r="DJ201" s="425"/>
      <c r="DK201" s="426"/>
      <c r="DL201" s="426"/>
      <c r="DM201" s="425"/>
      <c r="DN201" s="424"/>
      <c r="DO201" s="424"/>
      <c r="DP201" s="425"/>
      <c r="DQ201" s="426"/>
      <c r="DR201" s="426"/>
      <c r="DS201" s="425"/>
      <c r="DT201" s="424"/>
      <c r="DU201" s="424"/>
      <c r="DV201" s="425"/>
      <c r="DW201" s="426"/>
      <c r="DX201" s="426"/>
      <c r="DY201" s="425"/>
      <c r="DZ201" s="424"/>
      <c r="EA201" s="424"/>
    </row>
    <row r="202" spans="3:131">
      <c r="C202" s="200" t="s">
        <v>1014</v>
      </c>
      <c r="D202" s="442" t="s">
        <v>1069</v>
      </c>
      <c r="E202" s="200" t="s">
        <v>968</v>
      </c>
      <c r="F202" s="432">
        <f>'MF Unit Material'!Y375</f>
        <v>680</v>
      </c>
      <c r="G202" s="431">
        <f>'MF Unit Material'!Z375</f>
        <v>3.25</v>
      </c>
      <c r="H202" s="158">
        <f>'MF Unit Material'!AA375</f>
        <v>2210</v>
      </c>
      <c r="I202" s="430">
        <f t="shared" si="14"/>
        <v>680</v>
      </c>
      <c r="J202" s="429">
        <f t="shared" si="12"/>
        <v>0</v>
      </c>
      <c r="K202" s="428">
        <f t="shared" si="13"/>
        <v>0</v>
      </c>
      <c r="L202" s="427"/>
      <c r="M202" s="426"/>
      <c r="N202" s="426"/>
      <c r="O202" s="425"/>
      <c r="P202" s="424"/>
      <c r="Q202" s="424"/>
      <c r="R202" s="425"/>
      <c r="S202" s="426"/>
      <c r="T202" s="426"/>
      <c r="U202" s="425"/>
      <c r="V202" s="424"/>
      <c r="W202" s="424"/>
      <c r="X202" s="425"/>
      <c r="Y202" s="426"/>
      <c r="Z202" s="426"/>
      <c r="AA202" s="425"/>
      <c r="AB202" s="424"/>
      <c r="AC202" s="424"/>
      <c r="AD202" s="425"/>
      <c r="AE202" s="426"/>
      <c r="AF202" s="426"/>
      <c r="AG202" s="425"/>
      <c r="AH202" s="424"/>
      <c r="AI202" s="424"/>
      <c r="AJ202" s="425"/>
      <c r="AK202" s="426"/>
      <c r="AL202" s="426"/>
      <c r="AM202" s="425"/>
      <c r="AN202" s="424"/>
      <c r="AO202" s="424"/>
      <c r="AP202" s="425"/>
      <c r="AQ202" s="426"/>
      <c r="AR202" s="426"/>
      <c r="AS202" s="425"/>
      <c r="AT202" s="424"/>
      <c r="AU202" s="424"/>
      <c r="AV202" s="425"/>
      <c r="AW202" s="426"/>
      <c r="AX202" s="426"/>
      <c r="AY202" s="425"/>
      <c r="AZ202" s="424"/>
      <c r="BA202" s="424"/>
      <c r="BB202" s="425"/>
      <c r="BC202" s="426"/>
      <c r="BD202" s="426"/>
      <c r="BE202" s="425"/>
      <c r="BF202" s="424"/>
      <c r="BG202" s="424"/>
      <c r="BH202" s="425"/>
      <c r="BI202" s="426"/>
      <c r="BJ202" s="426"/>
      <c r="BK202" s="425"/>
      <c r="BL202" s="424"/>
      <c r="BM202" s="424"/>
      <c r="BN202" s="425"/>
      <c r="BO202" s="426"/>
      <c r="BP202" s="426"/>
      <c r="BQ202" s="425"/>
      <c r="BR202" s="424"/>
      <c r="BS202" s="424"/>
      <c r="BT202" s="425"/>
      <c r="BU202" s="426"/>
      <c r="BV202" s="426"/>
      <c r="BW202" s="425"/>
      <c r="BX202" s="424"/>
      <c r="BY202" s="424"/>
      <c r="BZ202" s="425"/>
      <c r="CA202" s="426"/>
      <c r="CB202" s="426"/>
      <c r="CC202" s="425"/>
      <c r="CD202" s="424"/>
      <c r="CE202" s="424"/>
      <c r="CF202" s="425"/>
      <c r="CG202" s="426"/>
      <c r="CH202" s="426"/>
      <c r="CI202" s="425"/>
      <c r="CJ202" s="424"/>
      <c r="CK202" s="424"/>
      <c r="CL202" s="425"/>
      <c r="CM202" s="426"/>
      <c r="CN202" s="426"/>
      <c r="CO202" s="425"/>
      <c r="CP202" s="424"/>
      <c r="CQ202" s="424"/>
      <c r="CR202" s="425"/>
      <c r="CS202" s="426"/>
      <c r="CT202" s="426"/>
      <c r="CU202" s="425"/>
      <c r="CV202" s="424"/>
      <c r="CW202" s="424"/>
      <c r="CX202" s="425"/>
      <c r="CY202" s="426"/>
      <c r="CZ202" s="426"/>
      <c r="DA202" s="425"/>
      <c r="DB202" s="424"/>
      <c r="DC202" s="424"/>
      <c r="DD202" s="425"/>
      <c r="DE202" s="426"/>
      <c r="DF202" s="426"/>
      <c r="DG202" s="425"/>
      <c r="DH202" s="424"/>
      <c r="DI202" s="424"/>
      <c r="DJ202" s="425"/>
      <c r="DK202" s="426"/>
      <c r="DL202" s="426"/>
      <c r="DM202" s="425"/>
      <c r="DN202" s="424"/>
      <c r="DO202" s="424"/>
      <c r="DP202" s="425"/>
      <c r="DQ202" s="426"/>
      <c r="DR202" s="426"/>
      <c r="DS202" s="425"/>
      <c r="DT202" s="424"/>
      <c r="DU202" s="424"/>
      <c r="DV202" s="425"/>
      <c r="DW202" s="426"/>
      <c r="DX202" s="426"/>
      <c r="DY202" s="425"/>
      <c r="DZ202" s="424"/>
      <c r="EA202" s="424"/>
    </row>
    <row r="203" spans="3:131">
      <c r="C203" s="200" t="s">
        <v>1016</v>
      </c>
      <c r="D203" s="442" t="s">
        <v>1070</v>
      </c>
      <c r="E203" s="200" t="s">
        <v>968</v>
      </c>
      <c r="F203" s="432">
        <f>'MF Unit Material'!Y376</f>
        <v>101</v>
      </c>
      <c r="G203" s="431">
        <f>'MF Unit Material'!Z376</f>
        <v>2.95</v>
      </c>
      <c r="H203" s="158">
        <f>'MF Unit Material'!AA376</f>
        <v>297.95000000000005</v>
      </c>
      <c r="I203" s="430">
        <f t="shared" si="14"/>
        <v>101</v>
      </c>
      <c r="J203" s="429">
        <f t="shared" si="12"/>
        <v>0</v>
      </c>
      <c r="K203" s="428">
        <f t="shared" si="13"/>
        <v>0</v>
      </c>
      <c r="L203" s="427"/>
      <c r="M203" s="426"/>
      <c r="N203" s="426"/>
      <c r="O203" s="425"/>
      <c r="P203" s="424"/>
      <c r="Q203" s="424"/>
      <c r="R203" s="425"/>
      <c r="S203" s="426"/>
      <c r="T203" s="426"/>
      <c r="U203" s="425"/>
      <c r="V203" s="424"/>
      <c r="W203" s="424"/>
      <c r="X203" s="425"/>
      <c r="Y203" s="426"/>
      <c r="Z203" s="426"/>
      <c r="AA203" s="425"/>
      <c r="AB203" s="424"/>
      <c r="AC203" s="424"/>
      <c r="AD203" s="425"/>
      <c r="AE203" s="426"/>
      <c r="AF203" s="426"/>
      <c r="AG203" s="425"/>
      <c r="AH203" s="424"/>
      <c r="AI203" s="424"/>
      <c r="AJ203" s="425"/>
      <c r="AK203" s="426"/>
      <c r="AL203" s="426"/>
      <c r="AM203" s="425"/>
      <c r="AN203" s="424"/>
      <c r="AO203" s="424"/>
      <c r="AP203" s="425"/>
      <c r="AQ203" s="426"/>
      <c r="AR203" s="426"/>
      <c r="AS203" s="425"/>
      <c r="AT203" s="424"/>
      <c r="AU203" s="424"/>
      <c r="AV203" s="425"/>
      <c r="AW203" s="426"/>
      <c r="AX203" s="426"/>
      <c r="AY203" s="425"/>
      <c r="AZ203" s="424"/>
      <c r="BA203" s="424"/>
      <c r="BB203" s="425"/>
      <c r="BC203" s="426"/>
      <c r="BD203" s="426"/>
      <c r="BE203" s="425"/>
      <c r="BF203" s="424"/>
      <c r="BG203" s="424"/>
      <c r="BH203" s="425"/>
      <c r="BI203" s="426"/>
      <c r="BJ203" s="426"/>
      <c r="BK203" s="425"/>
      <c r="BL203" s="424"/>
      <c r="BM203" s="424"/>
      <c r="BN203" s="425"/>
      <c r="BO203" s="426"/>
      <c r="BP203" s="426"/>
      <c r="BQ203" s="425"/>
      <c r="BR203" s="424"/>
      <c r="BS203" s="424"/>
      <c r="BT203" s="425"/>
      <c r="BU203" s="426"/>
      <c r="BV203" s="426"/>
      <c r="BW203" s="425"/>
      <c r="BX203" s="424"/>
      <c r="BY203" s="424"/>
      <c r="BZ203" s="425"/>
      <c r="CA203" s="426"/>
      <c r="CB203" s="426"/>
      <c r="CC203" s="425"/>
      <c r="CD203" s="424"/>
      <c r="CE203" s="424"/>
      <c r="CF203" s="425"/>
      <c r="CG203" s="426"/>
      <c r="CH203" s="426"/>
      <c r="CI203" s="425"/>
      <c r="CJ203" s="424"/>
      <c r="CK203" s="424"/>
      <c r="CL203" s="425"/>
      <c r="CM203" s="426"/>
      <c r="CN203" s="426"/>
      <c r="CO203" s="425"/>
      <c r="CP203" s="424"/>
      <c r="CQ203" s="424"/>
      <c r="CR203" s="425"/>
      <c r="CS203" s="426"/>
      <c r="CT203" s="426"/>
      <c r="CU203" s="425"/>
      <c r="CV203" s="424"/>
      <c r="CW203" s="424"/>
      <c r="CX203" s="425"/>
      <c r="CY203" s="426"/>
      <c r="CZ203" s="426"/>
      <c r="DA203" s="425"/>
      <c r="DB203" s="424"/>
      <c r="DC203" s="424"/>
      <c r="DD203" s="425"/>
      <c r="DE203" s="426"/>
      <c r="DF203" s="426"/>
      <c r="DG203" s="425"/>
      <c r="DH203" s="424"/>
      <c r="DI203" s="424"/>
      <c r="DJ203" s="425"/>
      <c r="DK203" s="426"/>
      <c r="DL203" s="426"/>
      <c r="DM203" s="425"/>
      <c r="DN203" s="424"/>
      <c r="DO203" s="424"/>
      <c r="DP203" s="425"/>
      <c r="DQ203" s="426"/>
      <c r="DR203" s="426"/>
      <c r="DS203" s="425"/>
      <c r="DT203" s="424"/>
      <c r="DU203" s="424"/>
      <c r="DV203" s="425"/>
      <c r="DW203" s="426"/>
      <c r="DX203" s="426"/>
      <c r="DY203" s="425"/>
      <c r="DZ203" s="424"/>
      <c r="EA203" s="424"/>
    </row>
    <row r="204" spans="3:131">
      <c r="C204" s="200" t="s">
        <v>1018</v>
      </c>
      <c r="D204" s="442" t="s">
        <v>1071</v>
      </c>
      <c r="E204" s="200" t="s">
        <v>968</v>
      </c>
      <c r="F204" s="432">
        <f>'MF Unit Material'!Y377</f>
        <v>0</v>
      </c>
      <c r="G204" s="431">
        <f>'MF Unit Material'!Z377</f>
        <v>2.7</v>
      </c>
      <c r="H204" s="158">
        <f>'MF Unit Material'!AA377</f>
        <v>0</v>
      </c>
      <c r="I204" s="430">
        <f t="shared" si="14"/>
        <v>0</v>
      </c>
      <c r="J204" s="429">
        <f t="shared" si="12"/>
        <v>0</v>
      </c>
      <c r="K204" s="428">
        <f t="shared" si="13"/>
        <v>0</v>
      </c>
      <c r="L204" s="427"/>
      <c r="M204" s="426"/>
      <c r="N204" s="426"/>
      <c r="O204" s="425"/>
      <c r="P204" s="424"/>
      <c r="Q204" s="424"/>
      <c r="R204" s="425"/>
      <c r="S204" s="426"/>
      <c r="T204" s="426"/>
      <c r="U204" s="425"/>
      <c r="V204" s="424"/>
      <c r="W204" s="424"/>
      <c r="X204" s="425"/>
      <c r="Y204" s="426"/>
      <c r="Z204" s="426"/>
      <c r="AA204" s="425"/>
      <c r="AB204" s="424"/>
      <c r="AC204" s="424"/>
      <c r="AD204" s="425"/>
      <c r="AE204" s="426"/>
      <c r="AF204" s="426"/>
      <c r="AG204" s="425"/>
      <c r="AH204" s="424"/>
      <c r="AI204" s="424"/>
      <c r="AJ204" s="425"/>
      <c r="AK204" s="426"/>
      <c r="AL204" s="426"/>
      <c r="AM204" s="425"/>
      <c r="AN204" s="424"/>
      <c r="AO204" s="424"/>
      <c r="AP204" s="425"/>
      <c r="AQ204" s="426"/>
      <c r="AR204" s="426"/>
      <c r="AS204" s="425"/>
      <c r="AT204" s="424"/>
      <c r="AU204" s="424"/>
      <c r="AV204" s="425"/>
      <c r="AW204" s="426"/>
      <c r="AX204" s="426"/>
      <c r="AY204" s="425"/>
      <c r="AZ204" s="424"/>
      <c r="BA204" s="424"/>
      <c r="BB204" s="425"/>
      <c r="BC204" s="426"/>
      <c r="BD204" s="426"/>
      <c r="BE204" s="425"/>
      <c r="BF204" s="424"/>
      <c r="BG204" s="424"/>
      <c r="BH204" s="425"/>
      <c r="BI204" s="426"/>
      <c r="BJ204" s="426"/>
      <c r="BK204" s="425"/>
      <c r="BL204" s="424"/>
      <c r="BM204" s="424"/>
      <c r="BN204" s="425"/>
      <c r="BO204" s="426"/>
      <c r="BP204" s="426"/>
      <c r="BQ204" s="425"/>
      <c r="BR204" s="424"/>
      <c r="BS204" s="424"/>
      <c r="BT204" s="425"/>
      <c r="BU204" s="426"/>
      <c r="BV204" s="426"/>
      <c r="BW204" s="425"/>
      <c r="BX204" s="424"/>
      <c r="BY204" s="424"/>
      <c r="BZ204" s="425"/>
      <c r="CA204" s="426"/>
      <c r="CB204" s="426"/>
      <c r="CC204" s="425"/>
      <c r="CD204" s="424"/>
      <c r="CE204" s="424"/>
      <c r="CF204" s="425"/>
      <c r="CG204" s="426"/>
      <c r="CH204" s="426"/>
      <c r="CI204" s="425"/>
      <c r="CJ204" s="424"/>
      <c r="CK204" s="424"/>
      <c r="CL204" s="425"/>
      <c r="CM204" s="426"/>
      <c r="CN204" s="426"/>
      <c r="CO204" s="425"/>
      <c r="CP204" s="424"/>
      <c r="CQ204" s="424"/>
      <c r="CR204" s="425"/>
      <c r="CS204" s="426"/>
      <c r="CT204" s="426"/>
      <c r="CU204" s="425"/>
      <c r="CV204" s="424"/>
      <c r="CW204" s="424"/>
      <c r="CX204" s="425"/>
      <c r="CY204" s="426"/>
      <c r="CZ204" s="426"/>
      <c r="DA204" s="425"/>
      <c r="DB204" s="424"/>
      <c r="DC204" s="424"/>
      <c r="DD204" s="425"/>
      <c r="DE204" s="426"/>
      <c r="DF204" s="426"/>
      <c r="DG204" s="425"/>
      <c r="DH204" s="424"/>
      <c r="DI204" s="424"/>
      <c r="DJ204" s="425"/>
      <c r="DK204" s="426"/>
      <c r="DL204" s="426"/>
      <c r="DM204" s="425"/>
      <c r="DN204" s="424"/>
      <c r="DO204" s="424"/>
      <c r="DP204" s="425"/>
      <c r="DQ204" s="426"/>
      <c r="DR204" s="426"/>
      <c r="DS204" s="425"/>
      <c r="DT204" s="424"/>
      <c r="DU204" s="424"/>
      <c r="DV204" s="425"/>
      <c r="DW204" s="426"/>
      <c r="DX204" s="426"/>
      <c r="DY204" s="425"/>
      <c r="DZ204" s="424"/>
      <c r="EA204" s="424"/>
    </row>
    <row r="205" spans="3:131">
      <c r="C205" s="200" t="s">
        <v>1020</v>
      </c>
      <c r="D205" s="442" t="s">
        <v>1072</v>
      </c>
      <c r="E205" s="200" t="s">
        <v>968</v>
      </c>
      <c r="F205" s="432">
        <f>'MF Unit Material'!Y378</f>
        <v>735</v>
      </c>
      <c r="G205" s="431">
        <f>'MF Unit Material'!Z378</f>
        <v>2.5</v>
      </c>
      <c r="H205" s="158">
        <f>'MF Unit Material'!AA378</f>
        <v>1837.5</v>
      </c>
      <c r="I205" s="430">
        <f t="shared" si="14"/>
        <v>735</v>
      </c>
      <c r="J205" s="429">
        <f t="shared" si="12"/>
        <v>0</v>
      </c>
      <c r="K205" s="428">
        <f t="shared" si="13"/>
        <v>0</v>
      </c>
      <c r="L205" s="427"/>
      <c r="M205" s="426"/>
      <c r="N205" s="426"/>
      <c r="O205" s="425"/>
      <c r="P205" s="424"/>
      <c r="Q205" s="424"/>
      <c r="R205" s="425"/>
      <c r="S205" s="426"/>
      <c r="T205" s="426"/>
      <c r="U205" s="425"/>
      <c r="V205" s="424"/>
      <c r="W205" s="424"/>
      <c r="X205" s="425"/>
      <c r="Y205" s="426"/>
      <c r="Z205" s="426"/>
      <c r="AA205" s="425"/>
      <c r="AB205" s="424"/>
      <c r="AC205" s="424"/>
      <c r="AD205" s="425"/>
      <c r="AE205" s="426"/>
      <c r="AF205" s="426"/>
      <c r="AG205" s="425"/>
      <c r="AH205" s="424"/>
      <c r="AI205" s="424"/>
      <c r="AJ205" s="425"/>
      <c r="AK205" s="426"/>
      <c r="AL205" s="426"/>
      <c r="AM205" s="425"/>
      <c r="AN205" s="424"/>
      <c r="AO205" s="424"/>
      <c r="AP205" s="425"/>
      <c r="AQ205" s="426"/>
      <c r="AR205" s="426"/>
      <c r="AS205" s="425"/>
      <c r="AT205" s="424"/>
      <c r="AU205" s="424"/>
      <c r="AV205" s="425"/>
      <c r="AW205" s="426"/>
      <c r="AX205" s="426"/>
      <c r="AY205" s="425"/>
      <c r="AZ205" s="424"/>
      <c r="BA205" s="424"/>
      <c r="BB205" s="425"/>
      <c r="BC205" s="426"/>
      <c r="BD205" s="426"/>
      <c r="BE205" s="425"/>
      <c r="BF205" s="424"/>
      <c r="BG205" s="424"/>
      <c r="BH205" s="425"/>
      <c r="BI205" s="426"/>
      <c r="BJ205" s="426"/>
      <c r="BK205" s="425"/>
      <c r="BL205" s="424"/>
      <c r="BM205" s="424"/>
      <c r="BN205" s="425"/>
      <c r="BO205" s="426"/>
      <c r="BP205" s="426"/>
      <c r="BQ205" s="425"/>
      <c r="BR205" s="424"/>
      <c r="BS205" s="424"/>
      <c r="BT205" s="425"/>
      <c r="BU205" s="426"/>
      <c r="BV205" s="426"/>
      <c r="BW205" s="425"/>
      <c r="BX205" s="424"/>
      <c r="BY205" s="424"/>
      <c r="BZ205" s="425"/>
      <c r="CA205" s="426"/>
      <c r="CB205" s="426"/>
      <c r="CC205" s="425"/>
      <c r="CD205" s="424"/>
      <c r="CE205" s="424"/>
      <c r="CF205" s="425"/>
      <c r="CG205" s="426"/>
      <c r="CH205" s="426"/>
      <c r="CI205" s="425"/>
      <c r="CJ205" s="424"/>
      <c r="CK205" s="424"/>
      <c r="CL205" s="425"/>
      <c r="CM205" s="426"/>
      <c r="CN205" s="426"/>
      <c r="CO205" s="425"/>
      <c r="CP205" s="424"/>
      <c r="CQ205" s="424"/>
      <c r="CR205" s="425"/>
      <c r="CS205" s="426"/>
      <c r="CT205" s="426"/>
      <c r="CU205" s="425"/>
      <c r="CV205" s="424"/>
      <c r="CW205" s="424"/>
      <c r="CX205" s="425"/>
      <c r="CY205" s="426"/>
      <c r="CZ205" s="426"/>
      <c r="DA205" s="425"/>
      <c r="DB205" s="424"/>
      <c r="DC205" s="424"/>
      <c r="DD205" s="425"/>
      <c r="DE205" s="426"/>
      <c r="DF205" s="426"/>
      <c r="DG205" s="425"/>
      <c r="DH205" s="424"/>
      <c r="DI205" s="424"/>
      <c r="DJ205" s="425"/>
      <c r="DK205" s="426"/>
      <c r="DL205" s="426"/>
      <c r="DM205" s="425"/>
      <c r="DN205" s="424"/>
      <c r="DO205" s="424"/>
      <c r="DP205" s="425"/>
      <c r="DQ205" s="426"/>
      <c r="DR205" s="426"/>
      <c r="DS205" s="425"/>
      <c r="DT205" s="424"/>
      <c r="DU205" s="424"/>
      <c r="DV205" s="425"/>
      <c r="DW205" s="426"/>
      <c r="DX205" s="426"/>
      <c r="DY205" s="425"/>
      <c r="DZ205" s="424"/>
      <c r="EA205" s="424"/>
    </row>
    <row r="206" spans="3:131">
      <c r="C206" s="200" t="s">
        <v>1022</v>
      </c>
      <c r="D206" s="442"/>
      <c r="E206" s="200" t="s">
        <v>968</v>
      </c>
      <c r="F206" s="432">
        <f>'MF Unit Material'!Y379</f>
        <v>0</v>
      </c>
      <c r="G206" s="431" t="str">
        <f>'MF Unit Material'!Z379</f>
        <v/>
      </c>
      <c r="H206" s="158">
        <f>'MF Unit Material'!AA379</f>
        <v>0</v>
      </c>
      <c r="I206" s="430">
        <f t="shared" si="14"/>
        <v>0</v>
      </c>
      <c r="J206" s="429">
        <f t="shared" si="12"/>
        <v>0</v>
      </c>
      <c r="K206" s="428">
        <f t="shared" si="13"/>
        <v>0</v>
      </c>
      <c r="L206" s="427"/>
      <c r="M206" s="426"/>
      <c r="N206" s="426"/>
      <c r="O206" s="425"/>
      <c r="P206" s="424"/>
      <c r="Q206" s="424"/>
      <c r="R206" s="425"/>
      <c r="S206" s="426"/>
      <c r="T206" s="426"/>
      <c r="U206" s="425"/>
      <c r="V206" s="424"/>
      <c r="W206" s="424"/>
      <c r="X206" s="425"/>
      <c r="Y206" s="426"/>
      <c r="Z206" s="426"/>
      <c r="AA206" s="425"/>
      <c r="AB206" s="424"/>
      <c r="AC206" s="424"/>
      <c r="AD206" s="425"/>
      <c r="AE206" s="426"/>
      <c r="AF206" s="426"/>
      <c r="AG206" s="425"/>
      <c r="AH206" s="424"/>
      <c r="AI206" s="424"/>
      <c r="AJ206" s="425"/>
      <c r="AK206" s="426"/>
      <c r="AL206" s="426"/>
      <c r="AM206" s="425"/>
      <c r="AN206" s="424"/>
      <c r="AO206" s="424"/>
      <c r="AP206" s="425"/>
      <c r="AQ206" s="426"/>
      <c r="AR206" s="426"/>
      <c r="AS206" s="425"/>
      <c r="AT206" s="424"/>
      <c r="AU206" s="424"/>
      <c r="AV206" s="425"/>
      <c r="AW206" s="426"/>
      <c r="AX206" s="426"/>
      <c r="AY206" s="425"/>
      <c r="AZ206" s="424"/>
      <c r="BA206" s="424"/>
      <c r="BB206" s="425"/>
      <c r="BC206" s="426"/>
      <c r="BD206" s="426"/>
      <c r="BE206" s="425"/>
      <c r="BF206" s="424"/>
      <c r="BG206" s="424"/>
      <c r="BH206" s="425"/>
      <c r="BI206" s="426"/>
      <c r="BJ206" s="426"/>
      <c r="BK206" s="425"/>
      <c r="BL206" s="424"/>
      <c r="BM206" s="424"/>
      <c r="BN206" s="425"/>
      <c r="BO206" s="426"/>
      <c r="BP206" s="426"/>
      <c r="BQ206" s="425"/>
      <c r="BR206" s="424"/>
      <c r="BS206" s="424"/>
      <c r="BT206" s="425"/>
      <c r="BU206" s="426"/>
      <c r="BV206" s="426"/>
      <c r="BW206" s="425"/>
      <c r="BX206" s="424"/>
      <c r="BY206" s="424"/>
      <c r="BZ206" s="425"/>
      <c r="CA206" s="426"/>
      <c r="CB206" s="426"/>
      <c r="CC206" s="425"/>
      <c r="CD206" s="424"/>
      <c r="CE206" s="424"/>
      <c r="CF206" s="425"/>
      <c r="CG206" s="426"/>
      <c r="CH206" s="426"/>
      <c r="CI206" s="425"/>
      <c r="CJ206" s="424"/>
      <c r="CK206" s="424"/>
      <c r="CL206" s="425"/>
      <c r="CM206" s="426"/>
      <c r="CN206" s="426"/>
      <c r="CO206" s="425"/>
      <c r="CP206" s="424"/>
      <c r="CQ206" s="424"/>
      <c r="CR206" s="425"/>
      <c r="CS206" s="426"/>
      <c r="CT206" s="426"/>
      <c r="CU206" s="425"/>
      <c r="CV206" s="424"/>
      <c r="CW206" s="424"/>
      <c r="CX206" s="425"/>
      <c r="CY206" s="426"/>
      <c r="CZ206" s="426"/>
      <c r="DA206" s="425"/>
      <c r="DB206" s="424"/>
      <c r="DC206" s="424"/>
      <c r="DD206" s="425"/>
      <c r="DE206" s="426"/>
      <c r="DF206" s="426"/>
      <c r="DG206" s="425"/>
      <c r="DH206" s="424"/>
      <c r="DI206" s="424"/>
      <c r="DJ206" s="425"/>
      <c r="DK206" s="426"/>
      <c r="DL206" s="426"/>
      <c r="DM206" s="425"/>
      <c r="DN206" s="424"/>
      <c r="DO206" s="424"/>
      <c r="DP206" s="425"/>
      <c r="DQ206" s="426"/>
      <c r="DR206" s="426"/>
      <c r="DS206" s="425"/>
      <c r="DT206" s="424"/>
      <c r="DU206" s="424"/>
      <c r="DV206" s="425"/>
      <c r="DW206" s="426"/>
      <c r="DX206" s="426"/>
      <c r="DY206" s="425"/>
      <c r="DZ206" s="424"/>
      <c r="EA206" s="424"/>
    </row>
    <row r="207" spans="3:131">
      <c r="C207" s="200" t="s">
        <v>1024</v>
      </c>
      <c r="D207" s="442"/>
      <c r="E207" s="200" t="s">
        <v>968</v>
      </c>
      <c r="F207" s="432">
        <f>'MF Unit Material'!Y380</f>
        <v>0</v>
      </c>
      <c r="G207" s="431" t="str">
        <f>'MF Unit Material'!Z380</f>
        <v/>
      </c>
      <c r="H207" s="158">
        <f>'MF Unit Material'!AA380</f>
        <v>0</v>
      </c>
      <c r="I207" s="430">
        <f t="shared" si="14"/>
        <v>0</v>
      </c>
      <c r="J207" s="429">
        <f t="shared" si="12"/>
        <v>0</v>
      </c>
      <c r="K207" s="428">
        <f t="shared" si="13"/>
        <v>0</v>
      </c>
      <c r="L207" s="427"/>
      <c r="M207" s="426"/>
      <c r="N207" s="426"/>
      <c r="O207" s="425"/>
      <c r="P207" s="424"/>
      <c r="Q207" s="424"/>
      <c r="R207" s="425"/>
      <c r="S207" s="426"/>
      <c r="T207" s="426"/>
      <c r="U207" s="425"/>
      <c r="V207" s="424"/>
      <c r="W207" s="424"/>
      <c r="X207" s="425"/>
      <c r="Y207" s="426"/>
      <c r="Z207" s="426"/>
      <c r="AA207" s="425"/>
      <c r="AB207" s="424"/>
      <c r="AC207" s="424"/>
      <c r="AD207" s="425"/>
      <c r="AE207" s="426"/>
      <c r="AF207" s="426"/>
      <c r="AG207" s="425"/>
      <c r="AH207" s="424"/>
      <c r="AI207" s="424"/>
      <c r="AJ207" s="425"/>
      <c r="AK207" s="426"/>
      <c r="AL207" s="426"/>
      <c r="AM207" s="425"/>
      <c r="AN207" s="424"/>
      <c r="AO207" s="424"/>
      <c r="AP207" s="425"/>
      <c r="AQ207" s="426"/>
      <c r="AR207" s="426"/>
      <c r="AS207" s="425"/>
      <c r="AT207" s="424"/>
      <c r="AU207" s="424"/>
      <c r="AV207" s="425"/>
      <c r="AW207" s="426"/>
      <c r="AX207" s="426"/>
      <c r="AY207" s="425"/>
      <c r="AZ207" s="424"/>
      <c r="BA207" s="424"/>
      <c r="BB207" s="425"/>
      <c r="BC207" s="426"/>
      <c r="BD207" s="426"/>
      <c r="BE207" s="425"/>
      <c r="BF207" s="424"/>
      <c r="BG207" s="424"/>
      <c r="BH207" s="425"/>
      <c r="BI207" s="426"/>
      <c r="BJ207" s="426"/>
      <c r="BK207" s="425"/>
      <c r="BL207" s="424"/>
      <c r="BM207" s="424"/>
      <c r="BN207" s="425"/>
      <c r="BO207" s="426"/>
      <c r="BP207" s="426"/>
      <c r="BQ207" s="425"/>
      <c r="BR207" s="424"/>
      <c r="BS207" s="424"/>
      <c r="BT207" s="425"/>
      <c r="BU207" s="426"/>
      <c r="BV207" s="426"/>
      <c r="BW207" s="425"/>
      <c r="BX207" s="424"/>
      <c r="BY207" s="424"/>
      <c r="BZ207" s="425"/>
      <c r="CA207" s="426"/>
      <c r="CB207" s="426"/>
      <c r="CC207" s="425"/>
      <c r="CD207" s="424"/>
      <c r="CE207" s="424"/>
      <c r="CF207" s="425"/>
      <c r="CG207" s="426"/>
      <c r="CH207" s="426"/>
      <c r="CI207" s="425"/>
      <c r="CJ207" s="424"/>
      <c r="CK207" s="424"/>
      <c r="CL207" s="425"/>
      <c r="CM207" s="426"/>
      <c r="CN207" s="426"/>
      <c r="CO207" s="425"/>
      <c r="CP207" s="424"/>
      <c r="CQ207" s="424"/>
      <c r="CR207" s="425"/>
      <c r="CS207" s="426"/>
      <c r="CT207" s="426"/>
      <c r="CU207" s="425"/>
      <c r="CV207" s="424"/>
      <c r="CW207" s="424"/>
      <c r="CX207" s="425"/>
      <c r="CY207" s="426"/>
      <c r="CZ207" s="426"/>
      <c r="DA207" s="425"/>
      <c r="DB207" s="424"/>
      <c r="DC207" s="424"/>
      <c r="DD207" s="425"/>
      <c r="DE207" s="426"/>
      <c r="DF207" s="426"/>
      <c r="DG207" s="425"/>
      <c r="DH207" s="424"/>
      <c r="DI207" s="424"/>
      <c r="DJ207" s="425"/>
      <c r="DK207" s="426"/>
      <c r="DL207" s="426"/>
      <c r="DM207" s="425"/>
      <c r="DN207" s="424"/>
      <c r="DO207" s="424"/>
      <c r="DP207" s="425"/>
      <c r="DQ207" s="426"/>
      <c r="DR207" s="426"/>
      <c r="DS207" s="425"/>
      <c r="DT207" s="424"/>
      <c r="DU207" s="424"/>
      <c r="DV207" s="425"/>
      <c r="DW207" s="426"/>
      <c r="DX207" s="426"/>
      <c r="DY207" s="425"/>
      <c r="DZ207" s="424"/>
      <c r="EA207" s="424"/>
    </row>
    <row r="208" spans="3:131">
      <c r="C208" s="200" t="s">
        <v>1025</v>
      </c>
      <c r="D208" s="442"/>
      <c r="E208" s="200" t="s">
        <v>968</v>
      </c>
      <c r="F208" s="432">
        <f>'MF Unit Material'!Y381</f>
        <v>0</v>
      </c>
      <c r="G208" s="431" t="str">
        <f>'MF Unit Material'!Z381</f>
        <v/>
      </c>
      <c r="H208" s="158">
        <f>'MF Unit Material'!AA381</f>
        <v>0</v>
      </c>
      <c r="I208" s="430">
        <f t="shared" si="14"/>
        <v>0</v>
      </c>
      <c r="J208" s="429">
        <f t="shared" si="12"/>
        <v>0</v>
      </c>
      <c r="K208" s="428">
        <f t="shared" si="13"/>
        <v>0</v>
      </c>
      <c r="L208" s="427"/>
      <c r="M208" s="426"/>
      <c r="N208" s="426"/>
      <c r="O208" s="425"/>
      <c r="P208" s="424"/>
      <c r="Q208" s="424"/>
      <c r="R208" s="425"/>
      <c r="S208" s="426"/>
      <c r="T208" s="426"/>
      <c r="U208" s="425"/>
      <c r="V208" s="424"/>
      <c r="W208" s="424"/>
      <c r="X208" s="425"/>
      <c r="Y208" s="426"/>
      <c r="Z208" s="426"/>
      <c r="AA208" s="425"/>
      <c r="AB208" s="424"/>
      <c r="AC208" s="424"/>
      <c r="AD208" s="425"/>
      <c r="AE208" s="426"/>
      <c r="AF208" s="426"/>
      <c r="AG208" s="425"/>
      <c r="AH208" s="424"/>
      <c r="AI208" s="424"/>
      <c r="AJ208" s="425"/>
      <c r="AK208" s="426"/>
      <c r="AL208" s="426"/>
      <c r="AM208" s="425"/>
      <c r="AN208" s="424"/>
      <c r="AO208" s="424"/>
      <c r="AP208" s="425"/>
      <c r="AQ208" s="426"/>
      <c r="AR208" s="426"/>
      <c r="AS208" s="425"/>
      <c r="AT208" s="424"/>
      <c r="AU208" s="424"/>
      <c r="AV208" s="425"/>
      <c r="AW208" s="426"/>
      <c r="AX208" s="426"/>
      <c r="AY208" s="425"/>
      <c r="AZ208" s="424"/>
      <c r="BA208" s="424"/>
      <c r="BB208" s="425"/>
      <c r="BC208" s="426"/>
      <c r="BD208" s="426"/>
      <c r="BE208" s="425"/>
      <c r="BF208" s="424"/>
      <c r="BG208" s="424"/>
      <c r="BH208" s="425"/>
      <c r="BI208" s="426"/>
      <c r="BJ208" s="426"/>
      <c r="BK208" s="425"/>
      <c r="BL208" s="424"/>
      <c r="BM208" s="424"/>
      <c r="BN208" s="425"/>
      <c r="BO208" s="426"/>
      <c r="BP208" s="426"/>
      <c r="BQ208" s="425"/>
      <c r="BR208" s="424"/>
      <c r="BS208" s="424"/>
      <c r="BT208" s="425"/>
      <c r="BU208" s="426"/>
      <c r="BV208" s="426"/>
      <c r="BW208" s="425"/>
      <c r="BX208" s="424"/>
      <c r="BY208" s="424"/>
      <c r="BZ208" s="425"/>
      <c r="CA208" s="426"/>
      <c r="CB208" s="426"/>
      <c r="CC208" s="425"/>
      <c r="CD208" s="424"/>
      <c r="CE208" s="424"/>
      <c r="CF208" s="425"/>
      <c r="CG208" s="426"/>
      <c r="CH208" s="426"/>
      <c r="CI208" s="425"/>
      <c r="CJ208" s="424"/>
      <c r="CK208" s="424"/>
      <c r="CL208" s="425"/>
      <c r="CM208" s="426"/>
      <c r="CN208" s="426"/>
      <c r="CO208" s="425"/>
      <c r="CP208" s="424"/>
      <c r="CQ208" s="424"/>
      <c r="CR208" s="425"/>
      <c r="CS208" s="426"/>
      <c r="CT208" s="426"/>
      <c r="CU208" s="425"/>
      <c r="CV208" s="424"/>
      <c r="CW208" s="424"/>
      <c r="CX208" s="425"/>
      <c r="CY208" s="426"/>
      <c r="CZ208" s="426"/>
      <c r="DA208" s="425"/>
      <c r="DB208" s="424"/>
      <c r="DC208" s="424"/>
      <c r="DD208" s="425"/>
      <c r="DE208" s="426"/>
      <c r="DF208" s="426"/>
      <c r="DG208" s="425"/>
      <c r="DH208" s="424"/>
      <c r="DI208" s="424"/>
      <c r="DJ208" s="425"/>
      <c r="DK208" s="426"/>
      <c r="DL208" s="426"/>
      <c r="DM208" s="425"/>
      <c r="DN208" s="424"/>
      <c r="DO208" s="424"/>
      <c r="DP208" s="425"/>
      <c r="DQ208" s="426"/>
      <c r="DR208" s="426"/>
      <c r="DS208" s="425"/>
      <c r="DT208" s="424"/>
      <c r="DU208" s="424"/>
      <c r="DV208" s="425"/>
      <c r="DW208" s="426"/>
      <c r="DX208" s="426"/>
      <c r="DY208" s="425"/>
      <c r="DZ208" s="424"/>
      <c r="EA208" s="424"/>
    </row>
    <row r="209" spans="3:131">
      <c r="C209" s="200" t="s">
        <v>1026</v>
      </c>
      <c r="D209" s="442"/>
      <c r="E209" s="200" t="s">
        <v>968</v>
      </c>
      <c r="F209" s="432">
        <f>'MF Unit Material'!Y382</f>
        <v>0</v>
      </c>
      <c r="G209" s="431" t="str">
        <f>'MF Unit Material'!Z382</f>
        <v/>
      </c>
      <c r="H209" s="158">
        <f>'MF Unit Material'!AA382</f>
        <v>0</v>
      </c>
      <c r="I209" s="430">
        <f t="shared" si="14"/>
        <v>0</v>
      </c>
      <c r="J209" s="429">
        <f t="shared" si="12"/>
        <v>0</v>
      </c>
      <c r="K209" s="428">
        <f t="shared" si="13"/>
        <v>0</v>
      </c>
      <c r="L209" s="427"/>
      <c r="M209" s="426"/>
      <c r="N209" s="426"/>
      <c r="O209" s="425"/>
      <c r="P209" s="424"/>
      <c r="Q209" s="424"/>
      <c r="R209" s="425"/>
      <c r="S209" s="426"/>
      <c r="T209" s="426"/>
      <c r="U209" s="425"/>
      <c r="V209" s="424"/>
      <c r="W209" s="424"/>
      <c r="X209" s="425"/>
      <c r="Y209" s="426"/>
      <c r="Z209" s="426"/>
      <c r="AA209" s="425"/>
      <c r="AB209" s="424"/>
      <c r="AC209" s="424"/>
      <c r="AD209" s="425"/>
      <c r="AE209" s="426"/>
      <c r="AF209" s="426"/>
      <c r="AG209" s="425"/>
      <c r="AH209" s="424"/>
      <c r="AI209" s="424"/>
      <c r="AJ209" s="425"/>
      <c r="AK209" s="426"/>
      <c r="AL209" s="426"/>
      <c r="AM209" s="425"/>
      <c r="AN209" s="424"/>
      <c r="AO209" s="424"/>
      <c r="AP209" s="425"/>
      <c r="AQ209" s="426"/>
      <c r="AR209" s="426"/>
      <c r="AS209" s="425"/>
      <c r="AT209" s="424"/>
      <c r="AU209" s="424"/>
      <c r="AV209" s="425"/>
      <c r="AW209" s="426"/>
      <c r="AX209" s="426"/>
      <c r="AY209" s="425"/>
      <c r="AZ209" s="424"/>
      <c r="BA209" s="424"/>
      <c r="BB209" s="425"/>
      <c r="BC209" s="426"/>
      <c r="BD209" s="426"/>
      <c r="BE209" s="425"/>
      <c r="BF209" s="424"/>
      <c r="BG209" s="424"/>
      <c r="BH209" s="425"/>
      <c r="BI209" s="426"/>
      <c r="BJ209" s="426"/>
      <c r="BK209" s="425"/>
      <c r="BL209" s="424"/>
      <c r="BM209" s="424"/>
      <c r="BN209" s="425"/>
      <c r="BO209" s="426"/>
      <c r="BP209" s="426"/>
      <c r="BQ209" s="425"/>
      <c r="BR209" s="424"/>
      <c r="BS209" s="424"/>
      <c r="BT209" s="425"/>
      <c r="BU209" s="426"/>
      <c r="BV209" s="426"/>
      <c r="BW209" s="425"/>
      <c r="BX209" s="424"/>
      <c r="BY209" s="424"/>
      <c r="BZ209" s="425"/>
      <c r="CA209" s="426"/>
      <c r="CB209" s="426"/>
      <c r="CC209" s="425"/>
      <c r="CD209" s="424"/>
      <c r="CE209" s="424"/>
      <c r="CF209" s="425"/>
      <c r="CG209" s="426"/>
      <c r="CH209" s="426"/>
      <c r="CI209" s="425"/>
      <c r="CJ209" s="424"/>
      <c r="CK209" s="424"/>
      <c r="CL209" s="425"/>
      <c r="CM209" s="426"/>
      <c r="CN209" s="426"/>
      <c r="CO209" s="425"/>
      <c r="CP209" s="424"/>
      <c r="CQ209" s="424"/>
      <c r="CR209" s="425"/>
      <c r="CS209" s="426"/>
      <c r="CT209" s="426"/>
      <c r="CU209" s="425"/>
      <c r="CV209" s="424"/>
      <c r="CW209" s="424"/>
      <c r="CX209" s="425"/>
      <c r="CY209" s="426"/>
      <c r="CZ209" s="426"/>
      <c r="DA209" s="425"/>
      <c r="DB209" s="424"/>
      <c r="DC209" s="424"/>
      <c r="DD209" s="425"/>
      <c r="DE209" s="426"/>
      <c r="DF209" s="426"/>
      <c r="DG209" s="425"/>
      <c r="DH209" s="424"/>
      <c r="DI209" s="424"/>
      <c r="DJ209" s="425"/>
      <c r="DK209" s="426"/>
      <c r="DL209" s="426"/>
      <c r="DM209" s="425"/>
      <c r="DN209" s="424"/>
      <c r="DO209" s="424"/>
      <c r="DP209" s="425"/>
      <c r="DQ209" s="426"/>
      <c r="DR209" s="426"/>
      <c r="DS209" s="425"/>
      <c r="DT209" s="424"/>
      <c r="DU209" s="424"/>
      <c r="DV209" s="425"/>
      <c r="DW209" s="426"/>
      <c r="DX209" s="426"/>
      <c r="DY209" s="425"/>
      <c r="DZ209" s="424"/>
      <c r="EA209" s="424"/>
    </row>
    <row r="210" spans="3:131">
      <c r="C210" s="200" t="s">
        <v>1027</v>
      </c>
      <c r="D210" s="442"/>
      <c r="E210" s="200" t="s">
        <v>968</v>
      </c>
      <c r="F210" s="432">
        <f>'MF Unit Material'!Y383</f>
        <v>0</v>
      </c>
      <c r="G210" s="431" t="str">
        <f>'MF Unit Material'!Z383</f>
        <v/>
      </c>
      <c r="H210" s="158">
        <f>'MF Unit Material'!AA383</f>
        <v>0</v>
      </c>
      <c r="I210" s="430">
        <f t="shared" si="14"/>
        <v>0</v>
      </c>
      <c r="J210" s="429">
        <f t="shared" si="12"/>
        <v>0</v>
      </c>
      <c r="K210" s="428">
        <f t="shared" si="13"/>
        <v>0</v>
      </c>
      <c r="L210" s="427"/>
      <c r="M210" s="426"/>
      <c r="N210" s="426"/>
      <c r="O210" s="425"/>
      <c r="P210" s="424"/>
      <c r="Q210" s="424"/>
      <c r="R210" s="425"/>
      <c r="S210" s="426"/>
      <c r="T210" s="426"/>
      <c r="U210" s="425"/>
      <c r="V210" s="424"/>
      <c r="W210" s="424"/>
      <c r="X210" s="425"/>
      <c r="Y210" s="426"/>
      <c r="Z210" s="426"/>
      <c r="AA210" s="425"/>
      <c r="AB210" s="424"/>
      <c r="AC210" s="424"/>
      <c r="AD210" s="425"/>
      <c r="AE210" s="426"/>
      <c r="AF210" s="426"/>
      <c r="AG210" s="425"/>
      <c r="AH210" s="424"/>
      <c r="AI210" s="424"/>
      <c r="AJ210" s="425"/>
      <c r="AK210" s="426"/>
      <c r="AL210" s="426"/>
      <c r="AM210" s="425"/>
      <c r="AN210" s="424"/>
      <c r="AO210" s="424"/>
      <c r="AP210" s="425"/>
      <c r="AQ210" s="426"/>
      <c r="AR210" s="426"/>
      <c r="AS210" s="425"/>
      <c r="AT210" s="424"/>
      <c r="AU210" s="424"/>
      <c r="AV210" s="425"/>
      <c r="AW210" s="426"/>
      <c r="AX210" s="426"/>
      <c r="AY210" s="425"/>
      <c r="AZ210" s="424"/>
      <c r="BA210" s="424"/>
      <c r="BB210" s="425"/>
      <c r="BC210" s="426"/>
      <c r="BD210" s="426"/>
      <c r="BE210" s="425"/>
      <c r="BF210" s="424"/>
      <c r="BG210" s="424"/>
      <c r="BH210" s="425"/>
      <c r="BI210" s="426"/>
      <c r="BJ210" s="426"/>
      <c r="BK210" s="425"/>
      <c r="BL210" s="424"/>
      <c r="BM210" s="424"/>
      <c r="BN210" s="425"/>
      <c r="BO210" s="426"/>
      <c r="BP210" s="426"/>
      <c r="BQ210" s="425"/>
      <c r="BR210" s="424"/>
      <c r="BS210" s="424"/>
      <c r="BT210" s="425"/>
      <c r="BU210" s="426"/>
      <c r="BV210" s="426"/>
      <c r="BW210" s="425"/>
      <c r="BX210" s="424"/>
      <c r="BY210" s="424"/>
      <c r="BZ210" s="425"/>
      <c r="CA210" s="426"/>
      <c r="CB210" s="426"/>
      <c r="CC210" s="425"/>
      <c r="CD210" s="424"/>
      <c r="CE210" s="424"/>
      <c r="CF210" s="425"/>
      <c r="CG210" s="426"/>
      <c r="CH210" s="426"/>
      <c r="CI210" s="425"/>
      <c r="CJ210" s="424"/>
      <c r="CK210" s="424"/>
      <c r="CL210" s="425"/>
      <c r="CM210" s="426"/>
      <c r="CN210" s="426"/>
      <c r="CO210" s="425"/>
      <c r="CP210" s="424"/>
      <c r="CQ210" s="424"/>
      <c r="CR210" s="425"/>
      <c r="CS210" s="426"/>
      <c r="CT210" s="426"/>
      <c r="CU210" s="425"/>
      <c r="CV210" s="424"/>
      <c r="CW210" s="424"/>
      <c r="CX210" s="425"/>
      <c r="CY210" s="426"/>
      <c r="CZ210" s="426"/>
      <c r="DA210" s="425"/>
      <c r="DB210" s="424"/>
      <c r="DC210" s="424"/>
      <c r="DD210" s="425"/>
      <c r="DE210" s="426"/>
      <c r="DF210" s="426"/>
      <c r="DG210" s="425"/>
      <c r="DH210" s="424"/>
      <c r="DI210" s="424"/>
      <c r="DJ210" s="425"/>
      <c r="DK210" s="426"/>
      <c r="DL210" s="426"/>
      <c r="DM210" s="425"/>
      <c r="DN210" s="424"/>
      <c r="DO210" s="424"/>
      <c r="DP210" s="425"/>
      <c r="DQ210" s="426"/>
      <c r="DR210" s="426"/>
      <c r="DS210" s="425"/>
      <c r="DT210" s="424"/>
      <c r="DU210" s="424"/>
      <c r="DV210" s="425"/>
      <c r="DW210" s="426"/>
      <c r="DX210" s="426"/>
      <c r="DY210" s="425"/>
      <c r="DZ210" s="424"/>
      <c r="EA210" s="424"/>
    </row>
    <row r="211" spans="3:131">
      <c r="C211" s="200" t="s">
        <v>1028</v>
      </c>
      <c r="D211" s="442"/>
      <c r="E211" s="200" t="s">
        <v>968</v>
      </c>
      <c r="F211" s="432">
        <f>'MF Unit Material'!Y384</f>
        <v>0</v>
      </c>
      <c r="G211" s="431" t="str">
        <f>'MF Unit Material'!Z384</f>
        <v/>
      </c>
      <c r="H211" s="158">
        <f>'MF Unit Material'!AA384</f>
        <v>0</v>
      </c>
      <c r="I211" s="430">
        <f t="shared" si="14"/>
        <v>0</v>
      </c>
      <c r="J211" s="429">
        <f t="shared" si="12"/>
        <v>0</v>
      </c>
      <c r="K211" s="428">
        <f t="shared" si="13"/>
        <v>0</v>
      </c>
      <c r="L211" s="427"/>
      <c r="M211" s="426"/>
      <c r="N211" s="426"/>
      <c r="O211" s="425"/>
      <c r="P211" s="424"/>
      <c r="Q211" s="424"/>
      <c r="R211" s="425"/>
      <c r="S211" s="426"/>
      <c r="T211" s="426"/>
      <c r="U211" s="425"/>
      <c r="V211" s="424"/>
      <c r="W211" s="424"/>
      <c r="X211" s="425"/>
      <c r="Y211" s="426"/>
      <c r="Z211" s="426"/>
      <c r="AA211" s="425"/>
      <c r="AB211" s="424"/>
      <c r="AC211" s="424"/>
      <c r="AD211" s="425"/>
      <c r="AE211" s="426"/>
      <c r="AF211" s="426"/>
      <c r="AG211" s="425"/>
      <c r="AH211" s="424"/>
      <c r="AI211" s="424"/>
      <c r="AJ211" s="425"/>
      <c r="AK211" s="426"/>
      <c r="AL211" s="426"/>
      <c r="AM211" s="425"/>
      <c r="AN211" s="424"/>
      <c r="AO211" s="424"/>
      <c r="AP211" s="425"/>
      <c r="AQ211" s="426"/>
      <c r="AR211" s="426"/>
      <c r="AS211" s="425"/>
      <c r="AT211" s="424"/>
      <c r="AU211" s="424"/>
      <c r="AV211" s="425"/>
      <c r="AW211" s="426"/>
      <c r="AX211" s="426"/>
      <c r="AY211" s="425"/>
      <c r="AZ211" s="424"/>
      <c r="BA211" s="424"/>
      <c r="BB211" s="425"/>
      <c r="BC211" s="426"/>
      <c r="BD211" s="426"/>
      <c r="BE211" s="425"/>
      <c r="BF211" s="424"/>
      <c r="BG211" s="424"/>
      <c r="BH211" s="425"/>
      <c r="BI211" s="426"/>
      <c r="BJ211" s="426"/>
      <c r="BK211" s="425"/>
      <c r="BL211" s="424"/>
      <c r="BM211" s="424"/>
      <c r="BN211" s="425"/>
      <c r="BO211" s="426"/>
      <c r="BP211" s="426"/>
      <c r="BQ211" s="425"/>
      <c r="BR211" s="424"/>
      <c r="BS211" s="424"/>
      <c r="BT211" s="425"/>
      <c r="BU211" s="426"/>
      <c r="BV211" s="426"/>
      <c r="BW211" s="425"/>
      <c r="BX211" s="424"/>
      <c r="BY211" s="424"/>
      <c r="BZ211" s="425"/>
      <c r="CA211" s="426"/>
      <c r="CB211" s="426"/>
      <c r="CC211" s="425"/>
      <c r="CD211" s="424"/>
      <c r="CE211" s="424"/>
      <c r="CF211" s="425"/>
      <c r="CG211" s="426"/>
      <c r="CH211" s="426"/>
      <c r="CI211" s="425"/>
      <c r="CJ211" s="424"/>
      <c r="CK211" s="424"/>
      <c r="CL211" s="425"/>
      <c r="CM211" s="426"/>
      <c r="CN211" s="426"/>
      <c r="CO211" s="425"/>
      <c r="CP211" s="424"/>
      <c r="CQ211" s="424"/>
      <c r="CR211" s="425"/>
      <c r="CS211" s="426"/>
      <c r="CT211" s="426"/>
      <c r="CU211" s="425"/>
      <c r="CV211" s="424"/>
      <c r="CW211" s="424"/>
      <c r="CX211" s="425"/>
      <c r="CY211" s="426"/>
      <c r="CZ211" s="426"/>
      <c r="DA211" s="425"/>
      <c r="DB211" s="424"/>
      <c r="DC211" s="424"/>
      <c r="DD211" s="425"/>
      <c r="DE211" s="426"/>
      <c r="DF211" s="426"/>
      <c r="DG211" s="425"/>
      <c r="DH211" s="424"/>
      <c r="DI211" s="424"/>
      <c r="DJ211" s="425"/>
      <c r="DK211" s="426"/>
      <c r="DL211" s="426"/>
      <c r="DM211" s="425"/>
      <c r="DN211" s="424"/>
      <c r="DO211" s="424"/>
      <c r="DP211" s="425"/>
      <c r="DQ211" s="426"/>
      <c r="DR211" s="426"/>
      <c r="DS211" s="425"/>
      <c r="DT211" s="424"/>
      <c r="DU211" s="424"/>
      <c r="DV211" s="425"/>
      <c r="DW211" s="426"/>
      <c r="DX211" s="426"/>
      <c r="DY211" s="425"/>
      <c r="DZ211" s="424"/>
      <c r="EA211" s="424"/>
    </row>
    <row r="212" spans="3:131">
      <c r="C212" s="200" t="s">
        <v>1029</v>
      </c>
      <c r="D212" s="442"/>
      <c r="E212" s="200" t="s">
        <v>968</v>
      </c>
      <c r="F212" s="432">
        <f>'MF Unit Material'!Y385</f>
        <v>0</v>
      </c>
      <c r="G212" s="431" t="str">
        <f>'MF Unit Material'!Z385</f>
        <v/>
      </c>
      <c r="H212" s="158">
        <f>'MF Unit Material'!AA385</f>
        <v>0</v>
      </c>
      <c r="I212" s="430">
        <f t="shared" si="14"/>
        <v>0</v>
      </c>
      <c r="J212" s="429">
        <f t="shared" si="12"/>
        <v>0</v>
      </c>
      <c r="K212" s="428">
        <f t="shared" si="13"/>
        <v>0</v>
      </c>
      <c r="L212" s="427"/>
      <c r="M212" s="426"/>
      <c r="N212" s="426"/>
      <c r="O212" s="425"/>
      <c r="P212" s="424"/>
      <c r="Q212" s="424"/>
      <c r="R212" s="425"/>
      <c r="S212" s="426"/>
      <c r="T212" s="426"/>
      <c r="U212" s="425"/>
      <c r="V212" s="424"/>
      <c r="W212" s="424"/>
      <c r="X212" s="425"/>
      <c r="Y212" s="426"/>
      <c r="Z212" s="426"/>
      <c r="AA212" s="425"/>
      <c r="AB212" s="424"/>
      <c r="AC212" s="424"/>
      <c r="AD212" s="425"/>
      <c r="AE212" s="426"/>
      <c r="AF212" s="426"/>
      <c r="AG212" s="425"/>
      <c r="AH212" s="424"/>
      <c r="AI212" s="424"/>
      <c r="AJ212" s="425"/>
      <c r="AK212" s="426"/>
      <c r="AL212" s="426"/>
      <c r="AM212" s="425"/>
      <c r="AN212" s="424"/>
      <c r="AO212" s="424"/>
      <c r="AP212" s="425"/>
      <c r="AQ212" s="426"/>
      <c r="AR212" s="426"/>
      <c r="AS212" s="425"/>
      <c r="AT212" s="424"/>
      <c r="AU212" s="424"/>
      <c r="AV212" s="425"/>
      <c r="AW212" s="426"/>
      <c r="AX212" s="426"/>
      <c r="AY212" s="425"/>
      <c r="AZ212" s="424"/>
      <c r="BA212" s="424"/>
      <c r="BB212" s="425"/>
      <c r="BC212" s="426"/>
      <c r="BD212" s="426"/>
      <c r="BE212" s="425"/>
      <c r="BF212" s="424"/>
      <c r="BG212" s="424"/>
      <c r="BH212" s="425"/>
      <c r="BI212" s="426"/>
      <c r="BJ212" s="426"/>
      <c r="BK212" s="425"/>
      <c r="BL212" s="424"/>
      <c r="BM212" s="424"/>
      <c r="BN212" s="425"/>
      <c r="BO212" s="426"/>
      <c r="BP212" s="426"/>
      <c r="BQ212" s="425"/>
      <c r="BR212" s="424"/>
      <c r="BS212" s="424"/>
      <c r="BT212" s="425"/>
      <c r="BU212" s="426"/>
      <c r="BV212" s="426"/>
      <c r="BW212" s="425"/>
      <c r="BX212" s="424"/>
      <c r="BY212" s="424"/>
      <c r="BZ212" s="425"/>
      <c r="CA212" s="426"/>
      <c r="CB212" s="426"/>
      <c r="CC212" s="425"/>
      <c r="CD212" s="424"/>
      <c r="CE212" s="424"/>
      <c r="CF212" s="425"/>
      <c r="CG212" s="426"/>
      <c r="CH212" s="426"/>
      <c r="CI212" s="425"/>
      <c r="CJ212" s="424"/>
      <c r="CK212" s="424"/>
      <c r="CL212" s="425"/>
      <c r="CM212" s="426"/>
      <c r="CN212" s="426"/>
      <c r="CO212" s="425"/>
      <c r="CP212" s="424"/>
      <c r="CQ212" s="424"/>
      <c r="CR212" s="425"/>
      <c r="CS212" s="426"/>
      <c r="CT212" s="426"/>
      <c r="CU212" s="425"/>
      <c r="CV212" s="424"/>
      <c r="CW212" s="424"/>
      <c r="CX212" s="425"/>
      <c r="CY212" s="426"/>
      <c r="CZ212" s="426"/>
      <c r="DA212" s="425"/>
      <c r="DB212" s="424"/>
      <c r="DC212" s="424"/>
      <c r="DD212" s="425"/>
      <c r="DE212" s="426"/>
      <c r="DF212" s="426"/>
      <c r="DG212" s="425"/>
      <c r="DH212" s="424"/>
      <c r="DI212" s="424"/>
      <c r="DJ212" s="425"/>
      <c r="DK212" s="426"/>
      <c r="DL212" s="426"/>
      <c r="DM212" s="425"/>
      <c r="DN212" s="424"/>
      <c r="DO212" s="424"/>
      <c r="DP212" s="425"/>
      <c r="DQ212" s="426"/>
      <c r="DR212" s="426"/>
      <c r="DS212" s="425"/>
      <c r="DT212" s="424"/>
      <c r="DU212" s="424"/>
      <c r="DV212" s="425"/>
      <c r="DW212" s="426"/>
      <c r="DX212" s="426"/>
      <c r="DY212" s="425"/>
      <c r="DZ212" s="424"/>
      <c r="EA212" s="424"/>
    </row>
    <row r="213" spans="3:131">
      <c r="C213" s="200" t="s">
        <v>1030</v>
      </c>
      <c r="D213" s="442"/>
      <c r="E213" s="200" t="s">
        <v>968</v>
      </c>
      <c r="F213" s="432">
        <f>'MF Unit Material'!Y386</f>
        <v>0</v>
      </c>
      <c r="G213" s="431" t="str">
        <f>'MF Unit Material'!Z386</f>
        <v/>
      </c>
      <c r="H213" s="158">
        <f>'MF Unit Material'!AA386</f>
        <v>0</v>
      </c>
      <c r="I213" s="430">
        <f t="shared" si="14"/>
        <v>0</v>
      </c>
      <c r="J213" s="429">
        <f t="shared" si="12"/>
        <v>0</v>
      </c>
      <c r="K213" s="428">
        <f t="shared" si="13"/>
        <v>0</v>
      </c>
      <c r="L213" s="427"/>
      <c r="M213" s="426"/>
      <c r="N213" s="426"/>
      <c r="O213" s="425"/>
      <c r="P213" s="424"/>
      <c r="Q213" s="424"/>
      <c r="R213" s="425"/>
      <c r="S213" s="426"/>
      <c r="T213" s="426"/>
      <c r="U213" s="425"/>
      <c r="V213" s="424"/>
      <c r="W213" s="424"/>
      <c r="X213" s="425"/>
      <c r="Y213" s="426"/>
      <c r="Z213" s="426"/>
      <c r="AA213" s="425"/>
      <c r="AB213" s="424"/>
      <c r="AC213" s="424"/>
      <c r="AD213" s="425"/>
      <c r="AE213" s="426"/>
      <c r="AF213" s="426"/>
      <c r="AG213" s="425"/>
      <c r="AH213" s="424"/>
      <c r="AI213" s="424"/>
      <c r="AJ213" s="425"/>
      <c r="AK213" s="426"/>
      <c r="AL213" s="426"/>
      <c r="AM213" s="425"/>
      <c r="AN213" s="424"/>
      <c r="AO213" s="424"/>
      <c r="AP213" s="425"/>
      <c r="AQ213" s="426"/>
      <c r="AR213" s="426"/>
      <c r="AS213" s="425"/>
      <c r="AT213" s="424"/>
      <c r="AU213" s="424"/>
      <c r="AV213" s="425"/>
      <c r="AW213" s="426"/>
      <c r="AX213" s="426"/>
      <c r="AY213" s="425"/>
      <c r="AZ213" s="424"/>
      <c r="BA213" s="424"/>
      <c r="BB213" s="425"/>
      <c r="BC213" s="426"/>
      <c r="BD213" s="426"/>
      <c r="BE213" s="425"/>
      <c r="BF213" s="424"/>
      <c r="BG213" s="424"/>
      <c r="BH213" s="425"/>
      <c r="BI213" s="426"/>
      <c r="BJ213" s="426"/>
      <c r="BK213" s="425"/>
      <c r="BL213" s="424"/>
      <c r="BM213" s="424"/>
      <c r="BN213" s="425"/>
      <c r="BO213" s="426"/>
      <c r="BP213" s="426"/>
      <c r="BQ213" s="425"/>
      <c r="BR213" s="424"/>
      <c r="BS213" s="424"/>
      <c r="BT213" s="425"/>
      <c r="BU213" s="426"/>
      <c r="BV213" s="426"/>
      <c r="BW213" s="425"/>
      <c r="BX213" s="424"/>
      <c r="BY213" s="424"/>
      <c r="BZ213" s="425"/>
      <c r="CA213" s="426"/>
      <c r="CB213" s="426"/>
      <c r="CC213" s="425"/>
      <c r="CD213" s="424"/>
      <c r="CE213" s="424"/>
      <c r="CF213" s="425"/>
      <c r="CG213" s="426"/>
      <c r="CH213" s="426"/>
      <c r="CI213" s="425"/>
      <c r="CJ213" s="424"/>
      <c r="CK213" s="424"/>
      <c r="CL213" s="425"/>
      <c r="CM213" s="426"/>
      <c r="CN213" s="426"/>
      <c r="CO213" s="425"/>
      <c r="CP213" s="424"/>
      <c r="CQ213" s="424"/>
      <c r="CR213" s="425"/>
      <c r="CS213" s="426"/>
      <c r="CT213" s="426"/>
      <c r="CU213" s="425"/>
      <c r="CV213" s="424"/>
      <c r="CW213" s="424"/>
      <c r="CX213" s="425"/>
      <c r="CY213" s="426"/>
      <c r="CZ213" s="426"/>
      <c r="DA213" s="425"/>
      <c r="DB213" s="424"/>
      <c r="DC213" s="424"/>
      <c r="DD213" s="425"/>
      <c r="DE213" s="426"/>
      <c r="DF213" s="426"/>
      <c r="DG213" s="425"/>
      <c r="DH213" s="424"/>
      <c r="DI213" s="424"/>
      <c r="DJ213" s="425"/>
      <c r="DK213" s="426"/>
      <c r="DL213" s="426"/>
      <c r="DM213" s="425"/>
      <c r="DN213" s="424"/>
      <c r="DO213" s="424"/>
      <c r="DP213" s="425"/>
      <c r="DQ213" s="426"/>
      <c r="DR213" s="426"/>
      <c r="DS213" s="425"/>
      <c r="DT213" s="424"/>
      <c r="DU213" s="424"/>
      <c r="DV213" s="425"/>
      <c r="DW213" s="426"/>
      <c r="DX213" s="426"/>
      <c r="DY213" s="425"/>
      <c r="DZ213" s="424"/>
      <c r="EA213" s="424"/>
    </row>
    <row r="214" spans="3:131">
      <c r="C214" s="200" t="s">
        <v>1031</v>
      </c>
      <c r="D214" s="442"/>
      <c r="E214" s="200" t="s">
        <v>968</v>
      </c>
      <c r="F214" s="432">
        <f>'MF Unit Material'!Y387</f>
        <v>0</v>
      </c>
      <c r="G214" s="431" t="str">
        <f>'MF Unit Material'!Z387</f>
        <v/>
      </c>
      <c r="H214" s="158">
        <f>'MF Unit Material'!AA387</f>
        <v>0</v>
      </c>
      <c r="I214" s="430">
        <f t="shared" si="14"/>
        <v>0</v>
      </c>
      <c r="J214" s="429">
        <f t="shared" si="12"/>
        <v>0</v>
      </c>
      <c r="K214" s="428">
        <f t="shared" si="13"/>
        <v>0</v>
      </c>
      <c r="L214" s="427"/>
      <c r="M214" s="426"/>
      <c r="N214" s="426"/>
      <c r="O214" s="425"/>
      <c r="P214" s="424"/>
      <c r="Q214" s="424"/>
      <c r="R214" s="425"/>
      <c r="S214" s="426"/>
      <c r="T214" s="426"/>
      <c r="U214" s="425"/>
      <c r="V214" s="424"/>
      <c r="W214" s="424"/>
      <c r="X214" s="425"/>
      <c r="Y214" s="426"/>
      <c r="Z214" s="426"/>
      <c r="AA214" s="425"/>
      <c r="AB214" s="424"/>
      <c r="AC214" s="424"/>
      <c r="AD214" s="425"/>
      <c r="AE214" s="426"/>
      <c r="AF214" s="426"/>
      <c r="AG214" s="425"/>
      <c r="AH214" s="424"/>
      <c r="AI214" s="424"/>
      <c r="AJ214" s="425"/>
      <c r="AK214" s="426"/>
      <c r="AL214" s="426"/>
      <c r="AM214" s="425"/>
      <c r="AN214" s="424"/>
      <c r="AO214" s="424"/>
      <c r="AP214" s="425"/>
      <c r="AQ214" s="426"/>
      <c r="AR214" s="426"/>
      <c r="AS214" s="425"/>
      <c r="AT214" s="424"/>
      <c r="AU214" s="424"/>
      <c r="AV214" s="425"/>
      <c r="AW214" s="426"/>
      <c r="AX214" s="426"/>
      <c r="AY214" s="425"/>
      <c r="AZ214" s="424"/>
      <c r="BA214" s="424"/>
      <c r="BB214" s="425"/>
      <c r="BC214" s="426"/>
      <c r="BD214" s="426"/>
      <c r="BE214" s="425"/>
      <c r="BF214" s="424"/>
      <c r="BG214" s="424"/>
      <c r="BH214" s="425"/>
      <c r="BI214" s="426"/>
      <c r="BJ214" s="426"/>
      <c r="BK214" s="425"/>
      <c r="BL214" s="424"/>
      <c r="BM214" s="424"/>
      <c r="BN214" s="425"/>
      <c r="BO214" s="426"/>
      <c r="BP214" s="426"/>
      <c r="BQ214" s="425"/>
      <c r="BR214" s="424"/>
      <c r="BS214" s="424"/>
      <c r="BT214" s="425"/>
      <c r="BU214" s="426"/>
      <c r="BV214" s="426"/>
      <c r="BW214" s="425"/>
      <c r="BX214" s="424"/>
      <c r="BY214" s="424"/>
      <c r="BZ214" s="425"/>
      <c r="CA214" s="426"/>
      <c r="CB214" s="426"/>
      <c r="CC214" s="425"/>
      <c r="CD214" s="424"/>
      <c r="CE214" s="424"/>
      <c r="CF214" s="425"/>
      <c r="CG214" s="426"/>
      <c r="CH214" s="426"/>
      <c r="CI214" s="425"/>
      <c r="CJ214" s="424"/>
      <c r="CK214" s="424"/>
      <c r="CL214" s="425"/>
      <c r="CM214" s="426"/>
      <c r="CN214" s="426"/>
      <c r="CO214" s="425"/>
      <c r="CP214" s="424"/>
      <c r="CQ214" s="424"/>
      <c r="CR214" s="425"/>
      <c r="CS214" s="426"/>
      <c r="CT214" s="426"/>
      <c r="CU214" s="425"/>
      <c r="CV214" s="424"/>
      <c r="CW214" s="424"/>
      <c r="CX214" s="425"/>
      <c r="CY214" s="426"/>
      <c r="CZ214" s="426"/>
      <c r="DA214" s="425"/>
      <c r="DB214" s="424"/>
      <c r="DC214" s="424"/>
      <c r="DD214" s="425"/>
      <c r="DE214" s="426"/>
      <c r="DF214" s="426"/>
      <c r="DG214" s="425"/>
      <c r="DH214" s="424"/>
      <c r="DI214" s="424"/>
      <c r="DJ214" s="425"/>
      <c r="DK214" s="426"/>
      <c r="DL214" s="426"/>
      <c r="DM214" s="425"/>
      <c r="DN214" s="424"/>
      <c r="DO214" s="424"/>
      <c r="DP214" s="425"/>
      <c r="DQ214" s="426"/>
      <c r="DR214" s="426"/>
      <c r="DS214" s="425"/>
      <c r="DT214" s="424"/>
      <c r="DU214" s="424"/>
      <c r="DV214" s="425"/>
      <c r="DW214" s="426"/>
      <c r="DX214" s="426"/>
      <c r="DY214" s="425"/>
      <c r="DZ214" s="424"/>
      <c r="EA214" s="424"/>
    </row>
    <row r="215" spans="3:131">
      <c r="C215" s="200" t="s">
        <v>1032</v>
      </c>
      <c r="D215" s="441"/>
      <c r="E215" s="200" t="s">
        <v>968</v>
      </c>
      <c r="F215" s="432">
        <f>'MF Unit Material'!Y388</f>
        <v>0</v>
      </c>
      <c r="G215" s="431" t="str">
        <f>'MF Unit Material'!Z388</f>
        <v/>
      </c>
      <c r="H215" s="158">
        <f>'MF Unit Material'!AA388</f>
        <v>0</v>
      </c>
      <c r="I215" s="430">
        <f t="shared" si="14"/>
        <v>0</v>
      </c>
      <c r="J215" s="429">
        <f t="shared" si="12"/>
        <v>0</v>
      </c>
      <c r="K215" s="428">
        <f t="shared" si="13"/>
        <v>0</v>
      </c>
      <c r="L215" s="427"/>
      <c r="M215" s="426"/>
      <c r="N215" s="426"/>
      <c r="O215" s="425"/>
      <c r="P215" s="424"/>
      <c r="Q215" s="424"/>
      <c r="R215" s="425"/>
      <c r="S215" s="426"/>
      <c r="T215" s="426"/>
      <c r="U215" s="425"/>
      <c r="V215" s="424"/>
      <c r="W215" s="424"/>
      <c r="X215" s="425"/>
      <c r="Y215" s="426"/>
      <c r="Z215" s="426"/>
      <c r="AA215" s="425"/>
      <c r="AB215" s="424"/>
      <c r="AC215" s="424"/>
      <c r="AD215" s="425"/>
      <c r="AE215" s="426"/>
      <c r="AF215" s="426"/>
      <c r="AG215" s="425"/>
      <c r="AH215" s="424"/>
      <c r="AI215" s="424"/>
      <c r="AJ215" s="425"/>
      <c r="AK215" s="426"/>
      <c r="AL215" s="426"/>
      <c r="AM215" s="425"/>
      <c r="AN215" s="424"/>
      <c r="AO215" s="424"/>
      <c r="AP215" s="425"/>
      <c r="AQ215" s="426"/>
      <c r="AR215" s="426"/>
      <c r="AS215" s="425"/>
      <c r="AT215" s="424"/>
      <c r="AU215" s="424"/>
      <c r="AV215" s="425"/>
      <c r="AW215" s="426"/>
      <c r="AX215" s="426"/>
      <c r="AY215" s="425"/>
      <c r="AZ215" s="424"/>
      <c r="BA215" s="424"/>
      <c r="BB215" s="425"/>
      <c r="BC215" s="426"/>
      <c r="BD215" s="426"/>
      <c r="BE215" s="425"/>
      <c r="BF215" s="424"/>
      <c r="BG215" s="424"/>
      <c r="BH215" s="425"/>
      <c r="BI215" s="426"/>
      <c r="BJ215" s="426"/>
      <c r="BK215" s="425"/>
      <c r="BL215" s="424"/>
      <c r="BM215" s="424"/>
      <c r="BN215" s="425"/>
      <c r="BO215" s="426"/>
      <c r="BP215" s="426"/>
      <c r="BQ215" s="425"/>
      <c r="BR215" s="424"/>
      <c r="BS215" s="424"/>
      <c r="BT215" s="425"/>
      <c r="BU215" s="426"/>
      <c r="BV215" s="426"/>
      <c r="BW215" s="425"/>
      <c r="BX215" s="424"/>
      <c r="BY215" s="424"/>
      <c r="BZ215" s="425"/>
      <c r="CA215" s="426"/>
      <c r="CB215" s="426"/>
      <c r="CC215" s="425"/>
      <c r="CD215" s="424"/>
      <c r="CE215" s="424"/>
      <c r="CF215" s="425"/>
      <c r="CG215" s="426"/>
      <c r="CH215" s="426"/>
      <c r="CI215" s="425"/>
      <c r="CJ215" s="424"/>
      <c r="CK215" s="424"/>
      <c r="CL215" s="425"/>
      <c r="CM215" s="426"/>
      <c r="CN215" s="426"/>
      <c r="CO215" s="425"/>
      <c r="CP215" s="424"/>
      <c r="CQ215" s="424"/>
      <c r="CR215" s="425"/>
      <c r="CS215" s="426"/>
      <c r="CT215" s="426"/>
      <c r="CU215" s="425"/>
      <c r="CV215" s="424"/>
      <c r="CW215" s="424"/>
      <c r="CX215" s="425"/>
      <c r="CY215" s="426"/>
      <c r="CZ215" s="426"/>
      <c r="DA215" s="425"/>
      <c r="DB215" s="424"/>
      <c r="DC215" s="424"/>
      <c r="DD215" s="425"/>
      <c r="DE215" s="426"/>
      <c r="DF215" s="426"/>
      <c r="DG215" s="425"/>
      <c r="DH215" s="424"/>
      <c r="DI215" s="424"/>
      <c r="DJ215" s="425"/>
      <c r="DK215" s="426"/>
      <c r="DL215" s="426"/>
      <c r="DM215" s="425"/>
      <c r="DN215" s="424"/>
      <c r="DO215" s="424"/>
      <c r="DP215" s="425"/>
      <c r="DQ215" s="426"/>
      <c r="DR215" s="426"/>
      <c r="DS215" s="425"/>
      <c r="DT215" s="424"/>
      <c r="DU215" s="424"/>
      <c r="DV215" s="425"/>
      <c r="DW215" s="426"/>
      <c r="DX215" s="426"/>
      <c r="DY215" s="425"/>
      <c r="DZ215" s="424"/>
      <c r="EA215" s="424"/>
    </row>
    <row r="216" spans="3:131">
      <c r="C216" s="423"/>
      <c r="D216" s="1"/>
      <c r="E216" s="16" t="s">
        <v>961</v>
      </c>
      <c r="F216" s="422">
        <f>'MF Unit Material'!Y390</f>
        <v>2052</v>
      </c>
      <c r="G216" s="421">
        <f>'MF Unit Material'!Z390</f>
        <v>0</v>
      </c>
      <c r="H216" s="420">
        <f>'MF Unit Material'!AA390</f>
        <v>6221.45</v>
      </c>
      <c r="I216" s="430"/>
      <c r="J216" s="429">
        <f t="shared" si="12"/>
        <v>0</v>
      </c>
      <c r="K216" s="428">
        <f t="shared" si="13"/>
        <v>0</v>
      </c>
      <c r="L216" s="427"/>
      <c r="M216" s="426"/>
      <c r="N216" s="426"/>
      <c r="O216" s="425"/>
      <c r="P216" s="424"/>
      <c r="Q216" s="424"/>
      <c r="R216" s="425"/>
      <c r="S216" s="426"/>
      <c r="T216" s="426"/>
      <c r="U216" s="425"/>
      <c r="V216" s="424"/>
      <c r="W216" s="424"/>
      <c r="X216" s="425"/>
      <c r="Y216" s="426"/>
      <c r="Z216" s="426"/>
      <c r="AA216" s="425"/>
      <c r="AB216" s="424"/>
      <c r="AC216" s="424"/>
      <c r="AD216" s="425"/>
      <c r="AE216" s="426"/>
      <c r="AF216" s="426"/>
      <c r="AG216" s="425"/>
      <c r="AH216" s="424"/>
      <c r="AI216" s="424"/>
      <c r="AJ216" s="425"/>
      <c r="AK216" s="426"/>
      <c r="AL216" s="426"/>
      <c r="AM216" s="425"/>
      <c r="AN216" s="424"/>
      <c r="AO216" s="424"/>
      <c r="AP216" s="425"/>
      <c r="AQ216" s="426"/>
      <c r="AR216" s="426"/>
      <c r="AS216" s="425"/>
      <c r="AT216" s="424"/>
      <c r="AU216" s="424"/>
      <c r="AV216" s="425"/>
      <c r="AW216" s="426"/>
      <c r="AX216" s="426"/>
      <c r="AY216" s="425"/>
      <c r="AZ216" s="424"/>
      <c r="BA216" s="424"/>
      <c r="BB216" s="425"/>
      <c r="BC216" s="426"/>
      <c r="BD216" s="426"/>
      <c r="BE216" s="425"/>
      <c r="BF216" s="424"/>
      <c r="BG216" s="424"/>
      <c r="BH216" s="425"/>
      <c r="BI216" s="426"/>
      <c r="BJ216" s="426"/>
      <c r="BK216" s="425"/>
      <c r="BL216" s="424"/>
      <c r="BM216" s="424"/>
      <c r="BN216" s="425"/>
      <c r="BO216" s="426"/>
      <c r="BP216" s="426"/>
      <c r="BQ216" s="425"/>
      <c r="BR216" s="424"/>
      <c r="BS216" s="424"/>
      <c r="BT216" s="425"/>
      <c r="BU216" s="426"/>
      <c r="BV216" s="426"/>
      <c r="BW216" s="425"/>
      <c r="BX216" s="424"/>
      <c r="BY216" s="424"/>
      <c r="BZ216" s="425"/>
      <c r="CA216" s="426"/>
      <c r="CB216" s="426"/>
      <c r="CC216" s="425"/>
      <c r="CD216" s="424"/>
      <c r="CE216" s="424"/>
      <c r="CF216" s="425"/>
      <c r="CG216" s="426"/>
      <c r="CH216" s="426"/>
      <c r="CI216" s="425"/>
      <c r="CJ216" s="424"/>
      <c r="CK216" s="424"/>
      <c r="CL216" s="425"/>
      <c r="CM216" s="426"/>
      <c r="CN216" s="426"/>
      <c r="CO216" s="425"/>
      <c r="CP216" s="424"/>
      <c r="CQ216" s="424"/>
      <c r="CR216" s="425"/>
      <c r="CS216" s="426"/>
      <c r="CT216" s="426"/>
      <c r="CU216" s="425"/>
      <c r="CV216" s="424"/>
      <c r="CW216" s="424"/>
      <c r="CX216" s="425"/>
      <c r="CY216" s="426"/>
      <c r="CZ216" s="426"/>
      <c r="DA216" s="425"/>
      <c r="DB216" s="424"/>
      <c r="DC216" s="424"/>
      <c r="DD216" s="425"/>
      <c r="DE216" s="426"/>
      <c r="DF216" s="426"/>
      <c r="DG216" s="425"/>
      <c r="DH216" s="424"/>
      <c r="DI216" s="424"/>
      <c r="DJ216" s="425"/>
      <c r="DK216" s="426"/>
      <c r="DL216" s="426"/>
      <c r="DM216" s="425"/>
      <c r="DN216" s="424"/>
      <c r="DO216" s="424"/>
      <c r="DP216" s="425"/>
      <c r="DQ216" s="426"/>
      <c r="DR216" s="426"/>
      <c r="DS216" s="425"/>
      <c r="DT216" s="424"/>
      <c r="DU216" s="424"/>
      <c r="DV216" s="425"/>
      <c r="DW216" s="426"/>
      <c r="DX216" s="426"/>
      <c r="DY216" s="425"/>
      <c r="DZ216" s="424"/>
      <c r="EA216" s="424"/>
    </row>
    <row r="217" spans="3:131">
      <c r="C217" s="96" t="s">
        <v>1073</v>
      </c>
      <c r="D217" s="65"/>
      <c r="E217" s="65"/>
      <c r="F217" s="437" t="s">
        <v>948</v>
      </c>
      <c r="G217" s="436" t="s">
        <v>949</v>
      </c>
      <c r="H217" s="412" t="s">
        <v>950</v>
      </c>
      <c r="I217" s="429"/>
      <c r="J217" s="429">
        <f t="shared" si="12"/>
        <v>0</v>
      </c>
      <c r="K217" s="428">
        <f t="shared" si="13"/>
        <v>0</v>
      </c>
      <c r="L217" s="427"/>
      <c r="M217" s="426"/>
      <c r="N217" s="426"/>
      <c r="O217" s="425"/>
      <c r="P217" s="424"/>
      <c r="Q217" s="424"/>
      <c r="R217" s="425"/>
      <c r="S217" s="426"/>
      <c r="T217" s="426"/>
      <c r="U217" s="425"/>
      <c r="V217" s="424"/>
      <c r="W217" s="424"/>
      <c r="X217" s="425"/>
      <c r="Y217" s="426"/>
      <c r="Z217" s="426"/>
      <c r="AA217" s="425"/>
      <c r="AB217" s="424"/>
      <c r="AC217" s="424"/>
      <c r="AD217" s="425"/>
      <c r="AE217" s="426"/>
      <c r="AF217" s="426"/>
      <c r="AG217" s="425"/>
      <c r="AH217" s="424"/>
      <c r="AI217" s="424"/>
      <c r="AJ217" s="425"/>
      <c r="AK217" s="426"/>
      <c r="AL217" s="426"/>
      <c r="AM217" s="425"/>
      <c r="AN217" s="424"/>
      <c r="AO217" s="424"/>
      <c r="AP217" s="425"/>
      <c r="AQ217" s="426"/>
      <c r="AR217" s="426"/>
      <c r="AS217" s="425"/>
      <c r="AT217" s="424"/>
      <c r="AU217" s="424"/>
      <c r="AV217" s="425"/>
      <c r="AW217" s="426"/>
      <c r="AX217" s="426"/>
      <c r="AY217" s="425"/>
      <c r="AZ217" s="424"/>
      <c r="BA217" s="424"/>
      <c r="BB217" s="425"/>
      <c r="BC217" s="426"/>
      <c r="BD217" s="426"/>
      <c r="BE217" s="425"/>
      <c r="BF217" s="424"/>
      <c r="BG217" s="424"/>
      <c r="BH217" s="425"/>
      <c r="BI217" s="426"/>
      <c r="BJ217" s="426"/>
      <c r="BK217" s="425"/>
      <c r="BL217" s="424"/>
      <c r="BM217" s="424"/>
      <c r="BN217" s="425"/>
      <c r="BO217" s="426"/>
      <c r="BP217" s="426"/>
      <c r="BQ217" s="425"/>
      <c r="BR217" s="424"/>
      <c r="BS217" s="424"/>
      <c r="BT217" s="425"/>
      <c r="BU217" s="426"/>
      <c r="BV217" s="426"/>
      <c r="BW217" s="425"/>
      <c r="BX217" s="424"/>
      <c r="BY217" s="424"/>
      <c r="BZ217" s="425"/>
      <c r="CA217" s="426"/>
      <c r="CB217" s="426"/>
      <c r="CC217" s="425"/>
      <c r="CD217" s="424"/>
      <c r="CE217" s="424"/>
      <c r="CF217" s="425"/>
      <c r="CG217" s="426"/>
      <c r="CH217" s="426"/>
      <c r="CI217" s="425"/>
      <c r="CJ217" s="424"/>
      <c r="CK217" s="424"/>
      <c r="CL217" s="425"/>
      <c r="CM217" s="426"/>
      <c r="CN217" s="426"/>
      <c r="CO217" s="425"/>
      <c r="CP217" s="424"/>
      <c r="CQ217" s="424"/>
      <c r="CR217" s="425"/>
      <c r="CS217" s="426"/>
      <c r="CT217" s="426"/>
      <c r="CU217" s="425"/>
      <c r="CV217" s="424"/>
      <c r="CW217" s="424"/>
      <c r="CX217" s="425"/>
      <c r="CY217" s="426"/>
      <c r="CZ217" s="426"/>
      <c r="DA217" s="425"/>
      <c r="DB217" s="424"/>
      <c r="DC217" s="424"/>
      <c r="DD217" s="425"/>
      <c r="DE217" s="426"/>
      <c r="DF217" s="426"/>
      <c r="DG217" s="425"/>
      <c r="DH217" s="424"/>
      <c r="DI217" s="424"/>
      <c r="DJ217" s="425"/>
      <c r="DK217" s="426"/>
      <c r="DL217" s="426"/>
      <c r="DM217" s="425"/>
      <c r="DN217" s="424"/>
      <c r="DO217" s="424"/>
      <c r="DP217" s="425"/>
      <c r="DQ217" s="426"/>
      <c r="DR217" s="426"/>
      <c r="DS217" s="425"/>
      <c r="DT217" s="424"/>
      <c r="DU217" s="424"/>
      <c r="DV217" s="425"/>
      <c r="DW217" s="426"/>
      <c r="DX217" s="426"/>
      <c r="DY217" s="425"/>
      <c r="DZ217" s="424"/>
      <c r="EA217" s="424"/>
    </row>
    <row r="218" spans="3:131">
      <c r="C218" s="198" t="s">
        <v>1012</v>
      </c>
      <c r="D218" s="443" t="s">
        <v>1074</v>
      </c>
      <c r="E218" s="198" t="s">
        <v>968</v>
      </c>
      <c r="F218" s="432">
        <f>'MF Unit Material'!Y392</f>
        <v>0</v>
      </c>
      <c r="G218" s="431">
        <f>'MF Unit Material'!Z392</f>
        <v>9</v>
      </c>
      <c r="H218" s="158">
        <f>'MF Unit Material'!AA392</f>
        <v>0</v>
      </c>
      <c r="I218" s="430">
        <f t="shared" ref="I218:I232" si="15">F218-J218</f>
        <v>0</v>
      </c>
      <c r="J218" s="429">
        <f t="shared" si="12"/>
        <v>0</v>
      </c>
      <c r="K218" s="428">
        <f t="shared" si="13"/>
        <v>0</v>
      </c>
      <c r="L218" s="427"/>
      <c r="M218" s="426"/>
      <c r="N218" s="426"/>
      <c r="O218" s="425"/>
      <c r="P218" s="424"/>
      <c r="Q218" s="424"/>
      <c r="R218" s="425"/>
      <c r="S218" s="426"/>
      <c r="T218" s="426"/>
      <c r="U218" s="425"/>
      <c r="V218" s="424"/>
      <c r="W218" s="424"/>
      <c r="X218" s="425"/>
      <c r="Y218" s="426"/>
      <c r="Z218" s="426"/>
      <c r="AA218" s="425"/>
      <c r="AB218" s="424"/>
      <c r="AC218" s="424"/>
      <c r="AD218" s="425"/>
      <c r="AE218" s="426"/>
      <c r="AF218" s="426"/>
      <c r="AG218" s="425"/>
      <c r="AH218" s="424"/>
      <c r="AI218" s="424"/>
      <c r="AJ218" s="425"/>
      <c r="AK218" s="426"/>
      <c r="AL218" s="426"/>
      <c r="AM218" s="425"/>
      <c r="AN218" s="424"/>
      <c r="AO218" s="424"/>
      <c r="AP218" s="425"/>
      <c r="AQ218" s="426"/>
      <c r="AR218" s="426"/>
      <c r="AS218" s="425"/>
      <c r="AT218" s="424"/>
      <c r="AU218" s="424"/>
      <c r="AV218" s="425"/>
      <c r="AW218" s="426"/>
      <c r="AX218" s="426"/>
      <c r="AY218" s="425"/>
      <c r="AZ218" s="424"/>
      <c r="BA218" s="424"/>
      <c r="BB218" s="425"/>
      <c r="BC218" s="426"/>
      <c r="BD218" s="426"/>
      <c r="BE218" s="425"/>
      <c r="BF218" s="424"/>
      <c r="BG218" s="424"/>
      <c r="BH218" s="425"/>
      <c r="BI218" s="426"/>
      <c r="BJ218" s="426"/>
      <c r="BK218" s="425"/>
      <c r="BL218" s="424"/>
      <c r="BM218" s="424"/>
      <c r="BN218" s="425"/>
      <c r="BO218" s="426"/>
      <c r="BP218" s="426"/>
      <c r="BQ218" s="425"/>
      <c r="BR218" s="424"/>
      <c r="BS218" s="424"/>
      <c r="BT218" s="425"/>
      <c r="BU218" s="426"/>
      <c r="BV218" s="426"/>
      <c r="BW218" s="425"/>
      <c r="BX218" s="424"/>
      <c r="BY218" s="424"/>
      <c r="BZ218" s="425"/>
      <c r="CA218" s="426"/>
      <c r="CB218" s="426"/>
      <c r="CC218" s="425"/>
      <c r="CD218" s="424"/>
      <c r="CE218" s="424"/>
      <c r="CF218" s="425"/>
      <c r="CG218" s="426"/>
      <c r="CH218" s="426"/>
      <c r="CI218" s="425"/>
      <c r="CJ218" s="424"/>
      <c r="CK218" s="424"/>
      <c r="CL218" s="425"/>
      <c r="CM218" s="426"/>
      <c r="CN218" s="426"/>
      <c r="CO218" s="425"/>
      <c r="CP218" s="424"/>
      <c r="CQ218" s="424"/>
      <c r="CR218" s="425"/>
      <c r="CS218" s="426"/>
      <c r="CT218" s="426"/>
      <c r="CU218" s="425"/>
      <c r="CV218" s="424"/>
      <c r="CW218" s="424"/>
      <c r="CX218" s="425"/>
      <c r="CY218" s="426"/>
      <c r="CZ218" s="426"/>
      <c r="DA218" s="425"/>
      <c r="DB218" s="424"/>
      <c r="DC218" s="424"/>
      <c r="DD218" s="425"/>
      <c r="DE218" s="426"/>
      <c r="DF218" s="426"/>
      <c r="DG218" s="425"/>
      <c r="DH218" s="424"/>
      <c r="DI218" s="424"/>
      <c r="DJ218" s="425"/>
      <c r="DK218" s="426"/>
      <c r="DL218" s="426"/>
      <c r="DM218" s="425"/>
      <c r="DN218" s="424"/>
      <c r="DO218" s="424"/>
      <c r="DP218" s="425"/>
      <c r="DQ218" s="426"/>
      <c r="DR218" s="426"/>
      <c r="DS218" s="425"/>
      <c r="DT218" s="424"/>
      <c r="DU218" s="424"/>
      <c r="DV218" s="425"/>
      <c r="DW218" s="426"/>
      <c r="DX218" s="426"/>
      <c r="DY218" s="425"/>
      <c r="DZ218" s="424"/>
      <c r="EA218" s="424"/>
    </row>
    <row r="219" spans="3:131">
      <c r="C219" s="200" t="s">
        <v>1014</v>
      </c>
      <c r="D219" s="442" t="s">
        <v>1075</v>
      </c>
      <c r="E219" s="200" t="s">
        <v>968</v>
      </c>
      <c r="F219" s="432">
        <f>'MF Unit Material'!Y393</f>
        <v>0</v>
      </c>
      <c r="G219" s="431">
        <f>'MF Unit Material'!Z393</f>
        <v>11</v>
      </c>
      <c r="H219" s="158">
        <f>'MF Unit Material'!AA393</f>
        <v>0</v>
      </c>
      <c r="I219" s="430">
        <f t="shared" si="15"/>
        <v>0</v>
      </c>
      <c r="J219" s="429">
        <f t="shared" si="12"/>
        <v>0</v>
      </c>
      <c r="K219" s="428">
        <f t="shared" si="13"/>
        <v>0</v>
      </c>
      <c r="L219" s="427"/>
      <c r="M219" s="426"/>
      <c r="N219" s="426"/>
      <c r="O219" s="425"/>
      <c r="P219" s="424"/>
      <c r="Q219" s="424"/>
      <c r="R219" s="425"/>
      <c r="S219" s="426"/>
      <c r="T219" s="426"/>
      <c r="U219" s="425"/>
      <c r="V219" s="424"/>
      <c r="W219" s="424"/>
      <c r="X219" s="425"/>
      <c r="Y219" s="426"/>
      <c r="Z219" s="426"/>
      <c r="AA219" s="425"/>
      <c r="AB219" s="424"/>
      <c r="AC219" s="424"/>
      <c r="AD219" s="425"/>
      <c r="AE219" s="426"/>
      <c r="AF219" s="426"/>
      <c r="AG219" s="425"/>
      <c r="AH219" s="424"/>
      <c r="AI219" s="424"/>
      <c r="AJ219" s="425"/>
      <c r="AK219" s="426"/>
      <c r="AL219" s="426"/>
      <c r="AM219" s="425"/>
      <c r="AN219" s="424"/>
      <c r="AO219" s="424"/>
      <c r="AP219" s="425"/>
      <c r="AQ219" s="426"/>
      <c r="AR219" s="426"/>
      <c r="AS219" s="425"/>
      <c r="AT219" s="424"/>
      <c r="AU219" s="424"/>
      <c r="AV219" s="425"/>
      <c r="AW219" s="426"/>
      <c r="AX219" s="426"/>
      <c r="AY219" s="425"/>
      <c r="AZ219" s="424"/>
      <c r="BA219" s="424"/>
      <c r="BB219" s="425"/>
      <c r="BC219" s="426"/>
      <c r="BD219" s="426"/>
      <c r="BE219" s="425"/>
      <c r="BF219" s="424"/>
      <c r="BG219" s="424"/>
      <c r="BH219" s="425"/>
      <c r="BI219" s="426"/>
      <c r="BJ219" s="426"/>
      <c r="BK219" s="425"/>
      <c r="BL219" s="424"/>
      <c r="BM219" s="424"/>
      <c r="BN219" s="425"/>
      <c r="BO219" s="426"/>
      <c r="BP219" s="426"/>
      <c r="BQ219" s="425"/>
      <c r="BR219" s="424"/>
      <c r="BS219" s="424"/>
      <c r="BT219" s="425"/>
      <c r="BU219" s="426"/>
      <c r="BV219" s="426"/>
      <c r="BW219" s="425"/>
      <c r="BX219" s="424"/>
      <c r="BY219" s="424"/>
      <c r="BZ219" s="425"/>
      <c r="CA219" s="426"/>
      <c r="CB219" s="426"/>
      <c r="CC219" s="425"/>
      <c r="CD219" s="424"/>
      <c r="CE219" s="424"/>
      <c r="CF219" s="425"/>
      <c r="CG219" s="426"/>
      <c r="CH219" s="426"/>
      <c r="CI219" s="425"/>
      <c r="CJ219" s="424"/>
      <c r="CK219" s="424"/>
      <c r="CL219" s="425"/>
      <c r="CM219" s="426"/>
      <c r="CN219" s="426"/>
      <c r="CO219" s="425"/>
      <c r="CP219" s="424"/>
      <c r="CQ219" s="424"/>
      <c r="CR219" s="425"/>
      <c r="CS219" s="426"/>
      <c r="CT219" s="426"/>
      <c r="CU219" s="425"/>
      <c r="CV219" s="424"/>
      <c r="CW219" s="424"/>
      <c r="CX219" s="425"/>
      <c r="CY219" s="426"/>
      <c r="CZ219" s="426"/>
      <c r="DA219" s="425"/>
      <c r="DB219" s="424"/>
      <c r="DC219" s="424"/>
      <c r="DD219" s="425"/>
      <c r="DE219" s="426"/>
      <c r="DF219" s="426"/>
      <c r="DG219" s="425"/>
      <c r="DH219" s="424"/>
      <c r="DI219" s="424"/>
      <c r="DJ219" s="425"/>
      <c r="DK219" s="426"/>
      <c r="DL219" s="426"/>
      <c r="DM219" s="425"/>
      <c r="DN219" s="424"/>
      <c r="DO219" s="424"/>
      <c r="DP219" s="425"/>
      <c r="DQ219" s="426"/>
      <c r="DR219" s="426"/>
      <c r="DS219" s="425"/>
      <c r="DT219" s="424"/>
      <c r="DU219" s="424"/>
      <c r="DV219" s="425"/>
      <c r="DW219" s="426"/>
      <c r="DX219" s="426"/>
      <c r="DY219" s="425"/>
      <c r="DZ219" s="424"/>
      <c r="EA219" s="424"/>
    </row>
    <row r="220" spans="3:131">
      <c r="C220" s="200" t="s">
        <v>1016</v>
      </c>
      <c r="D220" s="442" t="s">
        <v>1076</v>
      </c>
      <c r="E220" s="200" t="s">
        <v>968</v>
      </c>
      <c r="F220" s="432">
        <f>'MF Unit Material'!Y394</f>
        <v>0</v>
      </c>
      <c r="G220" s="431">
        <f>'MF Unit Material'!Z394</f>
        <v>12.25</v>
      </c>
      <c r="H220" s="158">
        <f>'MF Unit Material'!AA394</f>
        <v>0</v>
      </c>
      <c r="I220" s="430">
        <f t="shared" si="15"/>
        <v>0</v>
      </c>
      <c r="J220" s="429">
        <f t="shared" si="12"/>
        <v>0</v>
      </c>
      <c r="K220" s="428">
        <f t="shared" si="13"/>
        <v>0</v>
      </c>
      <c r="L220" s="427"/>
      <c r="M220" s="426"/>
      <c r="N220" s="426"/>
      <c r="O220" s="425"/>
      <c r="P220" s="424"/>
      <c r="Q220" s="424"/>
      <c r="R220" s="425"/>
      <c r="S220" s="426"/>
      <c r="T220" s="426"/>
      <c r="U220" s="425"/>
      <c r="V220" s="424"/>
      <c r="W220" s="424"/>
      <c r="X220" s="425"/>
      <c r="Y220" s="426"/>
      <c r="Z220" s="426"/>
      <c r="AA220" s="425"/>
      <c r="AB220" s="424"/>
      <c r="AC220" s="424"/>
      <c r="AD220" s="425"/>
      <c r="AE220" s="426"/>
      <c r="AF220" s="426"/>
      <c r="AG220" s="425"/>
      <c r="AH220" s="424"/>
      <c r="AI220" s="424"/>
      <c r="AJ220" s="425"/>
      <c r="AK220" s="426"/>
      <c r="AL220" s="426"/>
      <c r="AM220" s="425"/>
      <c r="AN220" s="424"/>
      <c r="AO220" s="424"/>
      <c r="AP220" s="425"/>
      <c r="AQ220" s="426"/>
      <c r="AR220" s="426"/>
      <c r="AS220" s="425"/>
      <c r="AT220" s="424"/>
      <c r="AU220" s="424"/>
      <c r="AV220" s="425"/>
      <c r="AW220" s="426"/>
      <c r="AX220" s="426"/>
      <c r="AY220" s="425"/>
      <c r="AZ220" s="424"/>
      <c r="BA220" s="424"/>
      <c r="BB220" s="425"/>
      <c r="BC220" s="426"/>
      <c r="BD220" s="426"/>
      <c r="BE220" s="425"/>
      <c r="BF220" s="424"/>
      <c r="BG220" s="424"/>
      <c r="BH220" s="425"/>
      <c r="BI220" s="426"/>
      <c r="BJ220" s="426"/>
      <c r="BK220" s="425"/>
      <c r="BL220" s="424"/>
      <c r="BM220" s="424"/>
      <c r="BN220" s="425"/>
      <c r="BO220" s="426"/>
      <c r="BP220" s="426"/>
      <c r="BQ220" s="425"/>
      <c r="BR220" s="424"/>
      <c r="BS220" s="424"/>
      <c r="BT220" s="425"/>
      <c r="BU220" s="426"/>
      <c r="BV220" s="426"/>
      <c r="BW220" s="425"/>
      <c r="BX220" s="424"/>
      <c r="BY220" s="424"/>
      <c r="BZ220" s="425"/>
      <c r="CA220" s="426"/>
      <c r="CB220" s="426"/>
      <c r="CC220" s="425"/>
      <c r="CD220" s="424"/>
      <c r="CE220" s="424"/>
      <c r="CF220" s="425"/>
      <c r="CG220" s="426"/>
      <c r="CH220" s="426"/>
      <c r="CI220" s="425"/>
      <c r="CJ220" s="424"/>
      <c r="CK220" s="424"/>
      <c r="CL220" s="425"/>
      <c r="CM220" s="426"/>
      <c r="CN220" s="426"/>
      <c r="CO220" s="425"/>
      <c r="CP220" s="424"/>
      <c r="CQ220" s="424"/>
      <c r="CR220" s="425"/>
      <c r="CS220" s="426"/>
      <c r="CT220" s="426"/>
      <c r="CU220" s="425"/>
      <c r="CV220" s="424"/>
      <c r="CW220" s="424"/>
      <c r="CX220" s="425"/>
      <c r="CY220" s="426"/>
      <c r="CZ220" s="426"/>
      <c r="DA220" s="425"/>
      <c r="DB220" s="424"/>
      <c r="DC220" s="424"/>
      <c r="DD220" s="425"/>
      <c r="DE220" s="426"/>
      <c r="DF220" s="426"/>
      <c r="DG220" s="425"/>
      <c r="DH220" s="424"/>
      <c r="DI220" s="424"/>
      <c r="DJ220" s="425"/>
      <c r="DK220" s="426"/>
      <c r="DL220" s="426"/>
      <c r="DM220" s="425"/>
      <c r="DN220" s="424"/>
      <c r="DO220" s="424"/>
      <c r="DP220" s="425"/>
      <c r="DQ220" s="426"/>
      <c r="DR220" s="426"/>
      <c r="DS220" s="425"/>
      <c r="DT220" s="424"/>
      <c r="DU220" s="424"/>
      <c r="DV220" s="425"/>
      <c r="DW220" s="426"/>
      <c r="DX220" s="426"/>
      <c r="DY220" s="425"/>
      <c r="DZ220" s="424"/>
      <c r="EA220" s="424"/>
    </row>
    <row r="221" spans="3:131">
      <c r="C221" s="200" t="s">
        <v>1018</v>
      </c>
      <c r="D221" s="442" t="s">
        <v>1077</v>
      </c>
      <c r="E221" s="200" t="s">
        <v>968</v>
      </c>
      <c r="F221" s="432">
        <f>'MF Unit Material'!Y395</f>
        <v>48</v>
      </c>
      <c r="G221" s="431">
        <f>'MF Unit Material'!Z395</f>
        <v>13</v>
      </c>
      <c r="H221" s="158">
        <f>'MF Unit Material'!AA395</f>
        <v>624</v>
      </c>
      <c r="I221" s="430">
        <f t="shared" si="15"/>
        <v>48</v>
      </c>
      <c r="J221" s="429">
        <f t="shared" si="12"/>
        <v>0</v>
      </c>
      <c r="K221" s="428">
        <f t="shared" si="13"/>
        <v>0</v>
      </c>
      <c r="L221" s="427"/>
      <c r="M221" s="426"/>
      <c r="N221" s="426"/>
      <c r="O221" s="425"/>
      <c r="P221" s="424"/>
      <c r="Q221" s="424"/>
      <c r="R221" s="425"/>
      <c r="S221" s="426"/>
      <c r="T221" s="426"/>
      <c r="U221" s="425"/>
      <c r="V221" s="424"/>
      <c r="W221" s="424"/>
      <c r="X221" s="425"/>
      <c r="Y221" s="426"/>
      <c r="Z221" s="426"/>
      <c r="AA221" s="425"/>
      <c r="AB221" s="424"/>
      <c r="AC221" s="424"/>
      <c r="AD221" s="425"/>
      <c r="AE221" s="426"/>
      <c r="AF221" s="426"/>
      <c r="AG221" s="425"/>
      <c r="AH221" s="424"/>
      <c r="AI221" s="424"/>
      <c r="AJ221" s="425"/>
      <c r="AK221" s="426"/>
      <c r="AL221" s="426"/>
      <c r="AM221" s="425"/>
      <c r="AN221" s="424"/>
      <c r="AO221" s="424"/>
      <c r="AP221" s="425"/>
      <c r="AQ221" s="426"/>
      <c r="AR221" s="426"/>
      <c r="AS221" s="425"/>
      <c r="AT221" s="424"/>
      <c r="AU221" s="424"/>
      <c r="AV221" s="425"/>
      <c r="AW221" s="426"/>
      <c r="AX221" s="426"/>
      <c r="AY221" s="425"/>
      <c r="AZ221" s="424"/>
      <c r="BA221" s="424"/>
      <c r="BB221" s="425"/>
      <c r="BC221" s="426"/>
      <c r="BD221" s="426"/>
      <c r="BE221" s="425"/>
      <c r="BF221" s="424"/>
      <c r="BG221" s="424"/>
      <c r="BH221" s="425"/>
      <c r="BI221" s="426"/>
      <c r="BJ221" s="426"/>
      <c r="BK221" s="425"/>
      <c r="BL221" s="424"/>
      <c r="BM221" s="424"/>
      <c r="BN221" s="425"/>
      <c r="BO221" s="426"/>
      <c r="BP221" s="426"/>
      <c r="BQ221" s="425"/>
      <c r="BR221" s="424"/>
      <c r="BS221" s="424"/>
      <c r="BT221" s="425"/>
      <c r="BU221" s="426"/>
      <c r="BV221" s="426"/>
      <c r="BW221" s="425"/>
      <c r="BX221" s="424"/>
      <c r="BY221" s="424"/>
      <c r="BZ221" s="425"/>
      <c r="CA221" s="426"/>
      <c r="CB221" s="426"/>
      <c r="CC221" s="425"/>
      <c r="CD221" s="424"/>
      <c r="CE221" s="424"/>
      <c r="CF221" s="425"/>
      <c r="CG221" s="426"/>
      <c r="CH221" s="426"/>
      <c r="CI221" s="425"/>
      <c r="CJ221" s="424"/>
      <c r="CK221" s="424"/>
      <c r="CL221" s="425"/>
      <c r="CM221" s="426"/>
      <c r="CN221" s="426"/>
      <c r="CO221" s="425"/>
      <c r="CP221" s="424"/>
      <c r="CQ221" s="424"/>
      <c r="CR221" s="425"/>
      <c r="CS221" s="426"/>
      <c r="CT221" s="426"/>
      <c r="CU221" s="425"/>
      <c r="CV221" s="424"/>
      <c r="CW221" s="424"/>
      <c r="CX221" s="425"/>
      <c r="CY221" s="426"/>
      <c r="CZ221" s="426"/>
      <c r="DA221" s="425"/>
      <c r="DB221" s="424"/>
      <c r="DC221" s="424"/>
      <c r="DD221" s="425"/>
      <c r="DE221" s="426"/>
      <c r="DF221" s="426"/>
      <c r="DG221" s="425"/>
      <c r="DH221" s="424"/>
      <c r="DI221" s="424"/>
      <c r="DJ221" s="425"/>
      <c r="DK221" s="426"/>
      <c r="DL221" s="426"/>
      <c r="DM221" s="425"/>
      <c r="DN221" s="424"/>
      <c r="DO221" s="424"/>
      <c r="DP221" s="425"/>
      <c r="DQ221" s="426"/>
      <c r="DR221" s="426"/>
      <c r="DS221" s="425"/>
      <c r="DT221" s="424"/>
      <c r="DU221" s="424"/>
      <c r="DV221" s="425"/>
      <c r="DW221" s="426"/>
      <c r="DX221" s="426"/>
      <c r="DY221" s="425"/>
      <c r="DZ221" s="424"/>
      <c r="EA221" s="424"/>
    </row>
    <row r="222" spans="3:131">
      <c r="C222" s="200" t="s">
        <v>1020</v>
      </c>
      <c r="D222" s="442" t="s">
        <v>1078</v>
      </c>
      <c r="E222" s="200" t="s">
        <v>968</v>
      </c>
      <c r="F222" s="432">
        <f>'MF Unit Material'!Y396</f>
        <v>317</v>
      </c>
      <c r="G222" s="431">
        <f>'MF Unit Material'!Z396</f>
        <v>10</v>
      </c>
      <c r="H222" s="158">
        <f>'MF Unit Material'!AA396</f>
        <v>3170</v>
      </c>
      <c r="I222" s="430">
        <f t="shared" si="15"/>
        <v>317</v>
      </c>
      <c r="J222" s="429">
        <f t="shared" si="12"/>
        <v>0</v>
      </c>
      <c r="K222" s="428">
        <f t="shared" si="13"/>
        <v>0</v>
      </c>
      <c r="L222" s="427"/>
      <c r="M222" s="426"/>
      <c r="N222" s="426"/>
      <c r="O222" s="425"/>
      <c r="P222" s="424"/>
      <c r="Q222" s="424"/>
      <c r="R222" s="425"/>
      <c r="S222" s="426"/>
      <c r="T222" s="426"/>
      <c r="U222" s="425"/>
      <c r="V222" s="424"/>
      <c r="W222" s="424"/>
      <c r="X222" s="425"/>
      <c r="Y222" s="426"/>
      <c r="Z222" s="426"/>
      <c r="AA222" s="425"/>
      <c r="AB222" s="424"/>
      <c r="AC222" s="424"/>
      <c r="AD222" s="425"/>
      <c r="AE222" s="426"/>
      <c r="AF222" s="426"/>
      <c r="AG222" s="425"/>
      <c r="AH222" s="424"/>
      <c r="AI222" s="424"/>
      <c r="AJ222" s="425"/>
      <c r="AK222" s="426"/>
      <c r="AL222" s="426"/>
      <c r="AM222" s="425"/>
      <c r="AN222" s="424"/>
      <c r="AO222" s="424"/>
      <c r="AP222" s="425"/>
      <c r="AQ222" s="426"/>
      <c r="AR222" s="426"/>
      <c r="AS222" s="425"/>
      <c r="AT222" s="424"/>
      <c r="AU222" s="424"/>
      <c r="AV222" s="425"/>
      <c r="AW222" s="426"/>
      <c r="AX222" s="426"/>
      <c r="AY222" s="425"/>
      <c r="AZ222" s="424"/>
      <c r="BA222" s="424"/>
      <c r="BB222" s="425"/>
      <c r="BC222" s="426"/>
      <c r="BD222" s="426"/>
      <c r="BE222" s="425"/>
      <c r="BF222" s="424"/>
      <c r="BG222" s="424"/>
      <c r="BH222" s="425"/>
      <c r="BI222" s="426"/>
      <c r="BJ222" s="426"/>
      <c r="BK222" s="425"/>
      <c r="BL222" s="424"/>
      <c r="BM222" s="424"/>
      <c r="BN222" s="425"/>
      <c r="BO222" s="426"/>
      <c r="BP222" s="426"/>
      <c r="BQ222" s="425"/>
      <c r="BR222" s="424"/>
      <c r="BS222" s="424"/>
      <c r="BT222" s="425"/>
      <c r="BU222" s="426"/>
      <c r="BV222" s="426"/>
      <c r="BW222" s="425"/>
      <c r="BX222" s="424"/>
      <c r="BY222" s="424"/>
      <c r="BZ222" s="425"/>
      <c r="CA222" s="426"/>
      <c r="CB222" s="426"/>
      <c r="CC222" s="425"/>
      <c r="CD222" s="424"/>
      <c r="CE222" s="424"/>
      <c r="CF222" s="425"/>
      <c r="CG222" s="426"/>
      <c r="CH222" s="426"/>
      <c r="CI222" s="425"/>
      <c r="CJ222" s="424"/>
      <c r="CK222" s="424"/>
      <c r="CL222" s="425"/>
      <c r="CM222" s="426"/>
      <c r="CN222" s="426"/>
      <c r="CO222" s="425"/>
      <c r="CP222" s="424"/>
      <c r="CQ222" s="424"/>
      <c r="CR222" s="425"/>
      <c r="CS222" s="426"/>
      <c r="CT222" s="426"/>
      <c r="CU222" s="425"/>
      <c r="CV222" s="424"/>
      <c r="CW222" s="424"/>
      <c r="CX222" s="425"/>
      <c r="CY222" s="426"/>
      <c r="CZ222" s="426"/>
      <c r="DA222" s="425"/>
      <c r="DB222" s="424"/>
      <c r="DC222" s="424"/>
      <c r="DD222" s="425"/>
      <c r="DE222" s="426"/>
      <c r="DF222" s="426"/>
      <c r="DG222" s="425"/>
      <c r="DH222" s="424"/>
      <c r="DI222" s="424"/>
      <c r="DJ222" s="425"/>
      <c r="DK222" s="426"/>
      <c r="DL222" s="426"/>
      <c r="DM222" s="425"/>
      <c r="DN222" s="424"/>
      <c r="DO222" s="424"/>
      <c r="DP222" s="425"/>
      <c r="DQ222" s="426"/>
      <c r="DR222" s="426"/>
      <c r="DS222" s="425"/>
      <c r="DT222" s="424"/>
      <c r="DU222" s="424"/>
      <c r="DV222" s="425"/>
      <c r="DW222" s="426"/>
      <c r="DX222" s="426"/>
      <c r="DY222" s="425"/>
      <c r="DZ222" s="424"/>
      <c r="EA222" s="424"/>
    </row>
    <row r="223" spans="3:131">
      <c r="C223" s="200" t="s">
        <v>1022</v>
      </c>
      <c r="D223" s="442"/>
      <c r="E223" s="200" t="s">
        <v>968</v>
      </c>
      <c r="F223" s="432">
        <f>'MF Unit Material'!Y397</f>
        <v>0</v>
      </c>
      <c r="G223" s="431" t="str">
        <f>'MF Unit Material'!Z397</f>
        <v/>
      </c>
      <c r="H223" s="158">
        <f>'MF Unit Material'!AA397</f>
        <v>0</v>
      </c>
      <c r="I223" s="430">
        <f t="shared" si="15"/>
        <v>0</v>
      </c>
      <c r="J223" s="429">
        <f t="shared" si="12"/>
        <v>0</v>
      </c>
      <c r="K223" s="428">
        <f t="shared" si="13"/>
        <v>0</v>
      </c>
      <c r="L223" s="427"/>
      <c r="M223" s="426"/>
      <c r="N223" s="426"/>
      <c r="O223" s="425"/>
      <c r="P223" s="424"/>
      <c r="Q223" s="424"/>
      <c r="R223" s="425"/>
      <c r="S223" s="426"/>
      <c r="T223" s="426"/>
      <c r="U223" s="425"/>
      <c r="V223" s="424"/>
      <c r="W223" s="424"/>
      <c r="X223" s="425"/>
      <c r="Y223" s="426"/>
      <c r="Z223" s="426"/>
      <c r="AA223" s="425"/>
      <c r="AB223" s="424"/>
      <c r="AC223" s="424"/>
      <c r="AD223" s="425"/>
      <c r="AE223" s="426"/>
      <c r="AF223" s="426"/>
      <c r="AG223" s="425"/>
      <c r="AH223" s="424"/>
      <c r="AI223" s="424"/>
      <c r="AJ223" s="425"/>
      <c r="AK223" s="426"/>
      <c r="AL223" s="426"/>
      <c r="AM223" s="425"/>
      <c r="AN223" s="424"/>
      <c r="AO223" s="424"/>
      <c r="AP223" s="425"/>
      <c r="AQ223" s="426"/>
      <c r="AR223" s="426"/>
      <c r="AS223" s="425"/>
      <c r="AT223" s="424"/>
      <c r="AU223" s="424"/>
      <c r="AV223" s="425"/>
      <c r="AW223" s="426"/>
      <c r="AX223" s="426"/>
      <c r="AY223" s="425"/>
      <c r="AZ223" s="424"/>
      <c r="BA223" s="424"/>
      <c r="BB223" s="425"/>
      <c r="BC223" s="426"/>
      <c r="BD223" s="426"/>
      <c r="BE223" s="425"/>
      <c r="BF223" s="424"/>
      <c r="BG223" s="424"/>
      <c r="BH223" s="425"/>
      <c r="BI223" s="426"/>
      <c r="BJ223" s="426"/>
      <c r="BK223" s="425"/>
      <c r="BL223" s="424"/>
      <c r="BM223" s="424"/>
      <c r="BN223" s="425"/>
      <c r="BO223" s="426"/>
      <c r="BP223" s="426"/>
      <c r="BQ223" s="425"/>
      <c r="BR223" s="424"/>
      <c r="BS223" s="424"/>
      <c r="BT223" s="425"/>
      <c r="BU223" s="426"/>
      <c r="BV223" s="426"/>
      <c r="BW223" s="425"/>
      <c r="BX223" s="424"/>
      <c r="BY223" s="424"/>
      <c r="BZ223" s="425"/>
      <c r="CA223" s="426"/>
      <c r="CB223" s="426"/>
      <c r="CC223" s="425"/>
      <c r="CD223" s="424"/>
      <c r="CE223" s="424"/>
      <c r="CF223" s="425"/>
      <c r="CG223" s="426"/>
      <c r="CH223" s="426"/>
      <c r="CI223" s="425"/>
      <c r="CJ223" s="424"/>
      <c r="CK223" s="424"/>
      <c r="CL223" s="425"/>
      <c r="CM223" s="426"/>
      <c r="CN223" s="426"/>
      <c r="CO223" s="425"/>
      <c r="CP223" s="424"/>
      <c r="CQ223" s="424"/>
      <c r="CR223" s="425"/>
      <c r="CS223" s="426"/>
      <c r="CT223" s="426"/>
      <c r="CU223" s="425"/>
      <c r="CV223" s="424"/>
      <c r="CW223" s="424"/>
      <c r="CX223" s="425"/>
      <c r="CY223" s="426"/>
      <c r="CZ223" s="426"/>
      <c r="DA223" s="425"/>
      <c r="DB223" s="424"/>
      <c r="DC223" s="424"/>
      <c r="DD223" s="425"/>
      <c r="DE223" s="426"/>
      <c r="DF223" s="426"/>
      <c r="DG223" s="425"/>
      <c r="DH223" s="424"/>
      <c r="DI223" s="424"/>
      <c r="DJ223" s="425"/>
      <c r="DK223" s="426"/>
      <c r="DL223" s="426"/>
      <c r="DM223" s="425"/>
      <c r="DN223" s="424"/>
      <c r="DO223" s="424"/>
      <c r="DP223" s="425"/>
      <c r="DQ223" s="426"/>
      <c r="DR223" s="426"/>
      <c r="DS223" s="425"/>
      <c r="DT223" s="424"/>
      <c r="DU223" s="424"/>
      <c r="DV223" s="425"/>
      <c r="DW223" s="426"/>
      <c r="DX223" s="426"/>
      <c r="DY223" s="425"/>
      <c r="DZ223" s="424"/>
      <c r="EA223" s="424"/>
    </row>
    <row r="224" spans="3:131">
      <c r="C224" s="200" t="s">
        <v>1024</v>
      </c>
      <c r="D224" s="442" t="s">
        <v>1079</v>
      </c>
      <c r="E224" s="200" t="s">
        <v>968</v>
      </c>
      <c r="F224" s="432">
        <f>'MF Unit Material'!Y398</f>
        <v>295</v>
      </c>
      <c r="G224" s="431">
        <f>'MF Unit Material'!Z398</f>
        <v>11</v>
      </c>
      <c r="H224" s="158">
        <f>'MF Unit Material'!AA398</f>
        <v>3245</v>
      </c>
      <c r="I224" s="430">
        <f t="shared" si="15"/>
        <v>295</v>
      </c>
      <c r="J224" s="429">
        <f t="shared" si="12"/>
        <v>0</v>
      </c>
      <c r="K224" s="428">
        <f t="shared" si="13"/>
        <v>0</v>
      </c>
      <c r="L224" s="427"/>
      <c r="M224" s="426"/>
      <c r="N224" s="426"/>
      <c r="O224" s="425"/>
      <c r="P224" s="424"/>
      <c r="Q224" s="424"/>
      <c r="R224" s="425"/>
      <c r="S224" s="426"/>
      <c r="T224" s="426"/>
      <c r="U224" s="425"/>
      <c r="V224" s="424"/>
      <c r="W224" s="424"/>
      <c r="X224" s="425"/>
      <c r="Y224" s="426"/>
      <c r="Z224" s="426"/>
      <c r="AA224" s="425"/>
      <c r="AB224" s="424"/>
      <c r="AC224" s="424"/>
      <c r="AD224" s="425"/>
      <c r="AE224" s="426"/>
      <c r="AF224" s="426"/>
      <c r="AG224" s="425"/>
      <c r="AH224" s="424"/>
      <c r="AI224" s="424"/>
      <c r="AJ224" s="425"/>
      <c r="AK224" s="426"/>
      <c r="AL224" s="426"/>
      <c r="AM224" s="425"/>
      <c r="AN224" s="424"/>
      <c r="AO224" s="424"/>
      <c r="AP224" s="425"/>
      <c r="AQ224" s="426"/>
      <c r="AR224" s="426"/>
      <c r="AS224" s="425"/>
      <c r="AT224" s="424"/>
      <c r="AU224" s="424"/>
      <c r="AV224" s="425"/>
      <c r="AW224" s="426"/>
      <c r="AX224" s="426"/>
      <c r="AY224" s="425"/>
      <c r="AZ224" s="424"/>
      <c r="BA224" s="424"/>
      <c r="BB224" s="425"/>
      <c r="BC224" s="426"/>
      <c r="BD224" s="426"/>
      <c r="BE224" s="425"/>
      <c r="BF224" s="424"/>
      <c r="BG224" s="424"/>
      <c r="BH224" s="425"/>
      <c r="BI224" s="426"/>
      <c r="BJ224" s="426"/>
      <c r="BK224" s="425"/>
      <c r="BL224" s="424"/>
      <c r="BM224" s="424"/>
      <c r="BN224" s="425"/>
      <c r="BO224" s="426"/>
      <c r="BP224" s="426"/>
      <c r="BQ224" s="425"/>
      <c r="BR224" s="424"/>
      <c r="BS224" s="424"/>
      <c r="BT224" s="425"/>
      <c r="BU224" s="426"/>
      <c r="BV224" s="426"/>
      <c r="BW224" s="425"/>
      <c r="BX224" s="424"/>
      <c r="BY224" s="424"/>
      <c r="BZ224" s="425"/>
      <c r="CA224" s="426"/>
      <c r="CB224" s="426"/>
      <c r="CC224" s="425"/>
      <c r="CD224" s="424"/>
      <c r="CE224" s="424"/>
      <c r="CF224" s="425"/>
      <c r="CG224" s="426"/>
      <c r="CH224" s="426"/>
      <c r="CI224" s="425"/>
      <c r="CJ224" s="424"/>
      <c r="CK224" s="424"/>
      <c r="CL224" s="425"/>
      <c r="CM224" s="426"/>
      <c r="CN224" s="426"/>
      <c r="CO224" s="425"/>
      <c r="CP224" s="424"/>
      <c r="CQ224" s="424"/>
      <c r="CR224" s="425"/>
      <c r="CS224" s="426"/>
      <c r="CT224" s="426"/>
      <c r="CU224" s="425"/>
      <c r="CV224" s="424"/>
      <c r="CW224" s="424"/>
      <c r="CX224" s="425"/>
      <c r="CY224" s="426"/>
      <c r="CZ224" s="426"/>
      <c r="DA224" s="425"/>
      <c r="DB224" s="424"/>
      <c r="DC224" s="424"/>
      <c r="DD224" s="425"/>
      <c r="DE224" s="426"/>
      <c r="DF224" s="426"/>
      <c r="DG224" s="425"/>
      <c r="DH224" s="424"/>
      <c r="DI224" s="424"/>
      <c r="DJ224" s="425"/>
      <c r="DK224" s="426"/>
      <c r="DL224" s="426"/>
      <c r="DM224" s="425"/>
      <c r="DN224" s="424"/>
      <c r="DO224" s="424"/>
      <c r="DP224" s="425"/>
      <c r="DQ224" s="426"/>
      <c r="DR224" s="426"/>
      <c r="DS224" s="425"/>
      <c r="DT224" s="424"/>
      <c r="DU224" s="424"/>
      <c r="DV224" s="425"/>
      <c r="DW224" s="426"/>
      <c r="DX224" s="426"/>
      <c r="DY224" s="425"/>
      <c r="DZ224" s="424"/>
      <c r="EA224" s="424"/>
    </row>
    <row r="225" spans="3:131">
      <c r="C225" s="200" t="s">
        <v>1025</v>
      </c>
      <c r="D225" s="442"/>
      <c r="E225" s="200" t="s">
        <v>968</v>
      </c>
      <c r="F225" s="432">
        <f>'MF Unit Material'!Y399</f>
        <v>0</v>
      </c>
      <c r="G225" s="431" t="str">
        <f>'MF Unit Material'!Z399</f>
        <v/>
      </c>
      <c r="H225" s="158">
        <f>'MF Unit Material'!AA399</f>
        <v>0</v>
      </c>
      <c r="I225" s="430">
        <f t="shared" si="15"/>
        <v>0</v>
      </c>
      <c r="J225" s="429">
        <f t="shared" si="12"/>
        <v>0</v>
      </c>
      <c r="K225" s="428">
        <f t="shared" si="13"/>
        <v>0</v>
      </c>
      <c r="L225" s="427"/>
      <c r="M225" s="426"/>
      <c r="N225" s="426"/>
      <c r="O225" s="425"/>
      <c r="P225" s="424"/>
      <c r="Q225" s="424"/>
      <c r="R225" s="425"/>
      <c r="S225" s="426"/>
      <c r="T225" s="426"/>
      <c r="U225" s="425"/>
      <c r="V225" s="424"/>
      <c r="W225" s="424"/>
      <c r="X225" s="425"/>
      <c r="Y225" s="426"/>
      <c r="Z225" s="426"/>
      <c r="AA225" s="425"/>
      <c r="AB225" s="424"/>
      <c r="AC225" s="424"/>
      <c r="AD225" s="425"/>
      <c r="AE225" s="426"/>
      <c r="AF225" s="426"/>
      <c r="AG225" s="425"/>
      <c r="AH225" s="424"/>
      <c r="AI225" s="424"/>
      <c r="AJ225" s="425"/>
      <c r="AK225" s="426"/>
      <c r="AL225" s="426"/>
      <c r="AM225" s="425"/>
      <c r="AN225" s="424"/>
      <c r="AO225" s="424"/>
      <c r="AP225" s="425"/>
      <c r="AQ225" s="426"/>
      <c r="AR225" s="426"/>
      <c r="AS225" s="425"/>
      <c r="AT225" s="424"/>
      <c r="AU225" s="424"/>
      <c r="AV225" s="425"/>
      <c r="AW225" s="426"/>
      <c r="AX225" s="426"/>
      <c r="AY225" s="425"/>
      <c r="AZ225" s="424"/>
      <c r="BA225" s="424"/>
      <c r="BB225" s="425"/>
      <c r="BC225" s="426"/>
      <c r="BD225" s="426"/>
      <c r="BE225" s="425"/>
      <c r="BF225" s="424"/>
      <c r="BG225" s="424"/>
      <c r="BH225" s="425"/>
      <c r="BI225" s="426"/>
      <c r="BJ225" s="426"/>
      <c r="BK225" s="425"/>
      <c r="BL225" s="424"/>
      <c r="BM225" s="424"/>
      <c r="BN225" s="425"/>
      <c r="BO225" s="426"/>
      <c r="BP225" s="426"/>
      <c r="BQ225" s="425"/>
      <c r="BR225" s="424"/>
      <c r="BS225" s="424"/>
      <c r="BT225" s="425"/>
      <c r="BU225" s="426"/>
      <c r="BV225" s="426"/>
      <c r="BW225" s="425"/>
      <c r="BX225" s="424"/>
      <c r="BY225" s="424"/>
      <c r="BZ225" s="425"/>
      <c r="CA225" s="426"/>
      <c r="CB225" s="426"/>
      <c r="CC225" s="425"/>
      <c r="CD225" s="424"/>
      <c r="CE225" s="424"/>
      <c r="CF225" s="425"/>
      <c r="CG225" s="426"/>
      <c r="CH225" s="426"/>
      <c r="CI225" s="425"/>
      <c r="CJ225" s="424"/>
      <c r="CK225" s="424"/>
      <c r="CL225" s="425"/>
      <c r="CM225" s="426"/>
      <c r="CN225" s="426"/>
      <c r="CO225" s="425"/>
      <c r="CP225" s="424"/>
      <c r="CQ225" s="424"/>
      <c r="CR225" s="425"/>
      <c r="CS225" s="426"/>
      <c r="CT225" s="426"/>
      <c r="CU225" s="425"/>
      <c r="CV225" s="424"/>
      <c r="CW225" s="424"/>
      <c r="CX225" s="425"/>
      <c r="CY225" s="426"/>
      <c r="CZ225" s="426"/>
      <c r="DA225" s="425"/>
      <c r="DB225" s="424"/>
      <c r="DC225" s="424"/>
      <c r="DD225" s="425"/>
      <c r="DE225" s="426"/>
      <c r="DF225" s="426"/>
      <c r="DG225" s="425"/>
      <c r="DH225" s="424"/>
      <c r="DI225" s="424"/>
      <c r="DJ225" s="425"/>
      <c r="DK225" s="426"/>
      <c r="DL225" s="426"/>
      <c r="DM225" s="425"/>
      <c r="DN225" s="424"/>
      <c r="DO225" s="424"/>
      <c r="DP225" s="425"/>
      <c r="DQ225" s="426"/>
      <c r="DR225" s="426"/>
      <c r="DS225" s="425"/>
      <c r="DT225" s="424"/>
      <c r="DU225" s="424"/>
      <c r="DV225" s="425"/>
      <c r="DW225" s="426"/>
      <c r="DX225" s="426"/>
      <c r="DY225" s="425"/>
      <c r="DZ225" s="424"/>
      <c r="EA225" s="424"/>
    </row>
    <row r="226" spans="3:131">
      <c r="C226" s="200" t="s">
        <v>1026</v>
      </c>
      <c r="D226" s="442"/>
      <c r="E226" s="200" t="s">
        <v>968</v>
      </c>
      <c r="F226" s="432">
        <f>'MF Unit Material'!Y400</f>
        <v>0</v>
      </c>
      <c r="G226" s="431" t="str">
        <f>'MF Unit Material'!Z400</f>
        <v/>
      </c>
      <c r="H226" s="158">
        <f>'MF Unit Material'!AA400</f>
        <v>0</v>
      </c>
      <c r="I226" s="430">
        <f t="shared" si="15"/>
        <v>0</v>
      </c>
      <c r="J226" s="429">
        <f t="shared" si="12"/>
        <v>0</v>
      </c>
      <c r="K226" s="428">
        <f t="shared" si="13"/>
        <v>0</v>
      </c>
      <c r="L226" s="427"/>
      <c r="M226" s="426"/>
      <c r="N226" s="426"/>
      <c r="O226" s="425"/>
      <c r="P226" s="424"/>
      <c r="Q226" s="424"/>
      <c r="R226" s="425"/>
      <c r="S226" s="426"/>
      <c r="T226" s="426"/>
      <c r="U226" s="425"/>
      <c r="V226" s="424"/>
      <c r="W226" s="424"/>
      <c r="X226" s="425"/>
      <c r="Y226" s="426"/>
      <c r="Z226" s="426"/>
      <c r="AA226" s="425"/>
      <c r="AB226" s="424"/>
      <c r="AC226" s="424"/>
      <c r="AD226" s="425"/>
      <c r="AE226" s="426"/>
      <c r="AF226" s="426"/>
      <c r="AG226" s="425"/>
      <c r="AH226" s="424"/>
      <c r="AI226" s="424"/>
      <c r="AJ226" s="425"/>
      <c r="AK226" s="426"/>
      <c r="AL226" s="426"/>
      <c r="AM226" s="425"/>
      <c r="AN226" s="424"/>
      <c r="AO226" s="424"/>
      <c r="AP226" s="425"/>
      <c r="AQ226" s="426"/>
      <c r="AR226" s="426"/>
      <c r="AS226" s="425"/>
      <c r="AT226" s="424"/>
      <c r="AU226" s="424"/>
      <c r="AV226" s="425"/>
      <c r="AW226" s="426"/>
      <c r="AX226" s="426"/>
      <c r="AY226" s="425"/>
      <c r="AZ226" s="424"/>
      <c r="BA226" s="424"/>
      <c r="BB226" s="425"/>
      <c r="BC226" s="426"/>
      <c r="BD226" s="426"/>
      <c r="BE226" s="425"/>
      <c r="BF226" s="424"/>
      <c r="BG226" s="424"/>
      <c r="BH226" s="425"/>
      <c r="BI226" s="426"/>
      <c r="BJ226" s="426"/>
      <c r="BK226" s="425"/>
      <c r="BL226" s="424"/>
      <c r="BM226" s="424"/>
      <c r="BN226" s="425"/>
      <c r="BO226" s="426"/>
      <c r="BP226" s="426"/>
      <c r="BQ226" s="425"/>
      <c r="BR226" s="424"/>
      <c r="BS226" s="424"/>
      <c r="BT226" s="425"/>
      <c r="BU226" s="426"/>
      <c r="BV226" s="426"/>
      <c r="BW226" s="425"/>
      <c r="BX226" s="424"/>
      <c r="BY226" s="424"/>
      <c r="BZ226" s="425"/>
      <c r="CA226" s="426"/>
      <c r="CB226" s="426"/>
      <c r="CC226" s="425"/>
      <c r="CD226" s="424"/>
      <c r="CE226" s="424"/>
      <c r="CF226" s="425"/>
      <c r="CG226" s="426"/>
      <c r="CH226" s="426"/>
      <c r="CI226" s="425"/>
      <c r="CJ226" s="424"/>
      <c r="CK226" s="424"/>
      <c r="CL226" s="425"/>
      <c r="CM226" s="426"/>
      <c r="CN226" s="426"/>
      <c r="CO226" s="425"/>
      <c r="CP226" s="424"/>
      <c r="CQ226" s="424"/>
      <c r="CR226" s="425"/>
      <c r="CS226" s="426"/>
      <c r="CT226" s="426"/>
      <c r="CU226" s="425"/>
      <c r="CV226" s="424"/>
      <c r="CW226" s="424"/>
      <c r="CX226" s="425"/>
      <c r="CY226" s="426"/>
      <c r="CZ226" s="426"/>
      <c r="DA226" s="425"/>
      <c r="DB226" s="424"/>
      <c r="DC226" s="424"/>
      <c r="DD226" s="425"/>
      <c r="DE226" s="426"/>
      <c r="DF226" s="426"/>
      <c r="DG226" s="425"/>
      <c r="DH226" s="424"/>
      <c r="DI226" s="424"/>
      <c r="DJ226" s="425"/>
      <c r="DK226" s="426"/>
      <c r="DL226" s="426"/>
      <c r="DM226" s="425"/>
      <c r="DN226" s="424"/>
      <c r="DO226" s="424"/>
      <c r="DP226" s="425"/>
      <c r="DQ226" s="426"/>
      <c r="DR226" s="426"/>
      <c r="DS226" s="425"/>
      <c r="DT226" s="424"/>
      <c r="DU226" s="424"/>
      <c r="DV226" s="425"/>
      <c r="DW226" s="426"/>
      <c r="DX226" s="426"/>
      <c r="DY226" s="425"/>
      <c r="DZ226" s="424"/>
      <c r="EA226" s="424"/>
    </row>
    <row r="227" spans="3:131">
      <c r="C227" s="200" t="s">
        <v>1027</v>
      </c>
      <c r="D227" s="442"/>
      <c r="E227" s="200" t="s">
        <v>968</v>
      </c>
      <c r="F227" s="432">
        <f>'MF Unit Material'!Y401</f>
        <v>0</v>
      </c>
      <c r="G227" s="431" t="str">
        <f>'MF Unit Material'!Z401</f>
        <v/>
      </c>
      <c r="H227" s="158">
        <f>'MF Unit Material'!AA401</f>
        <v>0</v>
      </c>
      <c r="I227" s="430">
        <f t="shared" si="15"/>
        <v>0</v>
      </c>
      <c r="J227" s="429">
        <f t="shared" si="12"/>
        <v>0</v>
      </c>
      <c r="K227" s="428">
        <f t="shared" si="13"/>
        <v>0</v>
      </c>
      <c r="L227" s="427"/>
      <c r="M227" s="426"/>
      <c r="N227" s="426"/>
      <c r="O227" s="425"/>
      <c r="P227" s="424"/>
      <c r="Q227" s="424"/>
      <c r="R227" s="425"/>
      <c r="S227" s="426"/>
      <c r="T227" s="426"/>
      <c r="U227" s="425"/>
      <c r="V227" s="424"/>
      <c r="W227" s="424"/>
      <c r="X227" s="425"/>
      <c r="Y227" s="426"/>
      <c r="Z227" s="426"/>
      <c r="AA227" s="425"/>
      <c r="AB227" s="424"/>
      <c r="AC227" s="424"/>
      <c r="AD227" s="425"/>
      <c r="AE227" s="426"/>
      <c r="AF227" s="426"/>
      <c r="AG227" s="425"/>
      <c r="AH227" s="424"/>
      <c r="AI227" s="424"/>
      <c r="AJ227" s="425"/>
      <c r="AK227" s="426"/>
      <c r="AL227" s="426"/>
      <c r="AM227" s="425"/>
      <c r="AN227" s="424"/>
      <c r="AO227" s="424"/>
      <c r="AP227" s="425"/>
      <c r="AQ227" s="426"/>
      <c r="AR227" s="426"/>
      <c r="AS227" s="425"/>
      <c r="AT227" s="424"/>
      <c r="AU227" s="424"/>
      <c r="AV227" s="425"/>
      <c r="AW227" s="426"/>
      <c r="AX227" s="426"/>
      <c r="AY227" s="425"/>
      <c r="AZ227" s="424"/>
      <c r="BA227" s="424"/>
      <c r="BB227" s="425"/>
      <c r="BC227" s="426"/>
      <c r="BD227" s="426"/>
      <c r="BE227" s="425"/>
      <c r="BF227" s="424"/>
      <c r="BG227" s="424"/>
      <c r="BH227" s="425"/>
      <c r="BI227" s="426"/>
      <c r="BJ227" s="426"/>
      <c r="BK227" s="425"/>
      <c r="BL227" s="424"/>
      <c r="BM227" s="424"/>
      <c r="BN227" s="425"/>
      <c r="BO227" s="426"/>
      <c r="BP227" s="426"/>
      <c r="BQ227" s="425"/>
      <c r="BR227" s="424"/>
      <c r="BS227" s="424"/>
      <c r="BT227" s="425"/>
      <c r="BU227" s="426"/>
      <c r="BV227" s="426"/>
      <c r="BW227" s="425"/>
      <c r="BX227" s="424"/>
      <c r="BY227" s="424"/>
      <c r="BZ227" s="425"/>
      <c r="CA227" s="426"/>
      <c r="CB227" s="426"/>
      <c r="CC227" s="425"/>
      <c r="CD227" s="424"/>
      <c r="CE227" s="424"/>
      <c r="CF227" s="425"/>
      <c r="CG227" s="426"/>
      <c r="CH227" s="426"/>
      <c r="CI227" s="425"/>
      <c r="CJ227" s="424"/>
      <c r="CK227" s="424"/>
      <c r="CL227" s="425"/>
      <c r="CM227" s="426"/>
      <c r="CN227" s="426"/>
      <c r="CO227" s="425"/>
      <c r="CP227" s="424"/>
      <c r="CQ227" s="424"/>
      <c r="CR227" s="425"/>
      <c r="CS227" s="426"/>
      <c r="CT227" s="426"/>
      <c r="CU227" s="425"/>
      <c r="CV227" s="424"/>
      <c r="CW227" s="424"/>
      <c r="CX227" s="425"/>
      <c r="CY227" s="426"/>
      <c r="CZ227" s="426"/>
      <c r="DA227" s="425"/>
      <c r="DB227" s="424"/>
      <c r="DC227" s="424"/>
      <c r="DD227" s="425"/>
      <c r="DE227" s="426"/>
      <c r="DF227" s="426"/>
      <c r="DG227" s="425"/>
      <c r="DH227" s="424"/>
      <c r="DI227" s="424"/>
      <c r="DJ227" s="425"/>
      <c r="DK227" s="426"/>
      <c r="DL227" s="426"/>
      <c r="DM227" s="425"/>
      <c r="DN227" s="424"/>
      <c r="DO227" s="424"/>
      <c r="DP227" s="425"/>
      <c r="DQ227" s="426"/>
      <c r="DR227" s="426"/>
      <c r="DS227" s="425"/>
      <c r="DT227" s="424"/>
      <c r="DU227" s="424"/>
      <c r="DV227" s="425"/>
      <c r="DW227" s="426"/>
      <c r="DX227" s="426"/>
      <c r="DY227" s="425"/>
      <c r="DZ227" s="424"/>
      <c r="EA227" s="424"/>
    </row>
    <row r="228" spans="3:131">
      <c r="C228" s="200" t="s">
        <v>1028</v>
      </c>
      <c r="D228" s="442"/>
      <c r="E228" s="200" t="s">
        <v>968</v>
      </c>
      <c r="F228" s="432">
        <f>'MF Unit Material'!Y402</f>
        <v>0</v>
      </c>
      <c r="G228" s="431" t="str">
        <f>'MF Unit Material'!Z402</f>
        <v/>
      </c>
      <c r="H228" s="158">
        <f>'MF Unit Material'!AA402</f>
        <v>0</v>
      </c>
      <c r="I228" s="430">
        <f t="shared" si="15"/>
        <v>0</v>
      </c>
      <c r="J228" s="429">
        <f t="shared" si="12"/>
        <v>0</v>
      </c>
      <c r="K228" s="428">
        <f t="shared" si="13"/>
        <v>0</v>
      </c>
      <c r="L228" s="427"/>
      <c r="M228" s="426"/>
      <c r="N228" s="426"/>
      <c r="O228" s="425"/>
      <c r="P228" s="424"/>
      <c r="Q228" s="424"/>
      <c r="R228" s="425"/>
      <c r="S228" s="426"/>
      <c r="T228" s="426"/>
      <c r="U228" s="425"/>
      <c r="V228" s="424"/>
      <c r="W228" s="424"/>
      <c r="X228" s="425"/>
      <c r="Y228" s="426"/>
      <c r="Z228" s="426"/>
      <c r="AA228" s="425"/>
      <c r="AB228" s="424"/>
      <c r="AC228" s="424"/>
      <c r="AD228" s="425"/>
      <c r="AE228" s="426"/>
      <c r="AF228" s="426"/>
      <c r="AG228" s="425"/>
      <c r="AH228" s="424"/>
      <c r="AI228" s="424"/>
      <c r="AJ228" s="425"/>
      <c r="AK228" s="426"/>
      <c r="AL228" s="426"/>
      <c r="AM228" s="425"/>
      <c r="AN228" s="424"/>
      <c r="AO228" s="424"/>
      <c r="AP228" s="425"/>
      <c r="AQ228" s="426"/>
      <c r="AR228" s="426"/>
      <c r="AS228" s="425"/>
      <c r="AT228" s="424"/>
      <c r="AU228" s="424"/>
      <c r="AV228" s="425"/>
      <c r="AW228" s="426"/>
      <c r="AX228" s="426"/>
      <c r="AY228" s="425"/>
      <c r="AZ228" s="424"/>
      <c r="BA228" s="424"/>
      <c r="BB228" s="425"/>
      <c r="BC228" s="426"/>
      <c r="BD228" s="426"/>
      <c r="BE228" s="425"/>
      <c r="BF228" s="424"/>
      <c r="BG228" s="424"/>
      <c r="BH228" s="425"/>
      <c r="BI228" s="426"/>
      <c r="BJ228" s="426"/>
      <c r="BK228" s="425"/>
      <c r="BL228" s="424"/>
      <c r="BM228" s="424"/>
      <c r="BN228" s="425"/>
      <c r="BO228" s="426"/>
      <c r="BP228" s="426"/>
      <c r="BQ228" s="425"/>
      <c r="BR228" s="424"/>
      <c r="BS228" s="424"/>
      <c r="BT228" s="425"/>
      <c r="BU228" s="426"/>
      <c r="BV228" s="426"/>
      <c r="BW228" s="425"/>
      <c r="BX228" s="424"/>
      <c r="BY228" s="424"/>
      <c r="BZ228" s="425"/>
      <c r="CA228" s="426"/>
      <c r="CB228" s="426"/>
      <c r="CC228" s="425"/>
      <c r="CD228" s="424"/>
      <c r="CE228" s="424"/>
      <c r="CF228" s="425"/>
      <c r="CG228" s="426"/>
      <c r="CH228" s="426"/>
      <c r="CI228" s="425"/>
      <c r="CJ228" s="424"/>
      <c r="CK228" s="424"/>
      <c r="CL228" s="425"/>
      <c r="CM228" s="426"/>
      <c r="CN228" s="426"/>
      <c r="CO228" s="425"/>
      <c r="CP228" s="424"/>
      <c r="CQ228" s="424"/>
      <c r="CR228" s="425"/>
      <c r="CS228" s="426"/>
      <c r="CT228" s="426"/>
      <c r="CU228" s="425"/>
      <c r="CV228" s="424"/>
      <c r="CW228" s="424"/>
      <c r="CX228" s="425"/>
      <c r="CY228" s="426"/>
      <c r="CZ228" s="426"/>
      <c r="DA228" s="425"/>
      <c r="DB228" s="424"/>
      <c r="DC228" s="424"/>
      <c r="DD228" s="425"/>
      <c r="DE228" s="426"/>
      <c r="DF228" s="426"/>
      <c r="DG228" s="425"/>
      <c r="DH228" s="424"/>
      <c r="DI228" s="424"/>
      <c r="DJ228" s="425"/>
      <c r="DK228" s="426"/>
      <c r="DL228" s="426"/>
      <c r="DM228" s="425"/>
      <c r="DN228" s="424"/>
      <c r="DO228" s="424"/>
      <c r="DP228" s="425"/>
      <c r="DQ228" s="426"/>
      <c r="DR228" s="426"/>
      <c r="DS228" s="425"/>
      <c r="DT228" s="424"/>
      <c r="DU228" s="424"/>
      <c r="DV228" s="425"/>
      <c r="DW228" s="426"/>
      <c r="DX228" s="426"/>
      <c r="DY228" s="425"/>
      <c r="DZ228" s="424"/>
      <c r="EA228" s="424"/>
    </row>
    <row r="229" spans="3:131">
      <c r="C229" s="200" t="s">
        <v>1029</v>
      </c>
      <c r="D229" s="442"/>
      <c r="E229" s="200" t="s">
        <v>968</v>
      </c>
      <c r="F229" s="432">
        <f>'MF Unit Material'!Y403</f>
        <v>0</v>
      </c>
      <c r="G229" s="431" t="str">
        <f>'MF Unit Material'!Z403</f>
        <v/>
      </c>
      <c r="H229" s="158">
        <f>'MF Unit Material'!AA403</f>
        <v>0</v>
      </c>
      <c r="I229" s="430">
        <f t="shared" si="15"/>
        <v>0</v>
      </c>
      <c r="J229" s="429">
        <f t="shared" si="12"/>
        <v>0</v>
      </c>
      <c r="K229" s="428">
        <f t="shared" si="13"/>
        <v>0</v>
      </c>
      <c r="L229" s="427"/>
      <c r="M229" s="426"/>
      <c r="N229" s="426"/>
      <c r="O229" s="425"/>
      <c r="P229" s="424"/>
      <c r="Q229" s="424"/>
      <c r="R229" s="425"/>
      <c r="S229" s="426"/>
      <c r="T229" s="426"/>
      <c r="U229" s="425"/>
      <c r="V229" s="424"/>
      <c r="W229" s="424"/>
      <c r="X229" s="425"/>
      <c r="Y229" s="426"/>
      <c r="Z229" s="426"/>
      <c r="AA229" s="425"/>
      <c r="AB229" s="424"/>
      <c r="AC229" s="424"/>
      <c r="AD229" s="425"/>
      <c r="AE229" s="426"/>
      <c r="AF229" s="426"/>
      <c r="AG229" s="425"/>
      <c r="AH229" s="424"/>
      <c r="AI229" s="424"/>
      <c r="AJ229" s="425"/>
      <c r="AK229" s="426"/>
      <c r="AL229" s="426"/>
      <c r="AM229" s="425"/>
      <c r="AN229" s="424"/>
      <c r="AO229" s="424"/>
      <c r="AP229" s="425"/>
      <c r="AQ229" s="426"/>
      <c r="AR229" s="426"/>
      <c r="AS229" s="425"/>
      <c r="AT229" s="424"/>
      <c r="AU229" s="424"/>
      <c r="AV229" s="425"/>
      <c r="AW229" s="426"/>
      <c r="AX229" s="426"/>
      <c r="AY229" s="425"/>
      <c r="AZ229" s="424"/>
      <c r="BA229" s="424"/>
      <c r="BB229" s="425"/>
      <c r="BC229" s="426"/>
      <c r="BD229" s="426"/>
      <c r="BE229" s="425"/>
      <c r="BF229" s="424"/>
      <c r="BG229" s="424"/>
      <c r="BH229" s="425"/>
      <c r="BI229" s="426"/>
      <c r="BJ229" s="426"/>
      <c r="BK229" s="425"/>
      <c r="BL229" s="424"/>
      <c r="BM229" s="424"/>
      <c r="BN229" s="425"/>
      <c r="BO229" s="426"/>
      <c r="BP229" s="426"/>
      <c r="BQ229" s="425"/>
      <c r="BR229" s="424"/>
      <c r="BS229" s="424"/>
      <c r="BT229" s="425"/>
      <c r="BU229" s="426"/>
      <c r="BV229" s="426"/>
      <c r="BW229" s="425"/>
      <c r="BX229" s="424"/>
      <c r="BY229" s="424"/>
      <c r="BZ229" s="425"/>
      <c r="CA229" s="426"/>
      <c r="CB229" s="426"/>
      <c r="CC229" s="425"/>
      <c r="CD229" s="424"/>
      <c r="CE229" s="424"/>
      <c r="CF229" s="425"/>
      <c r="CG229" s="426"/>
      <c r="CH229" s="426"/>
      <c r="CI229" s="425"/>
      <c r="CJ229" s="424"/>
      <c r="CK229" s="424"/>
      <c r="CL229" s="425"/>
      <c r="CM229" s="426"/>
      <c r="CN229" s="426"/>
      <c r="CO229" s="425"/>
      <c r="CP229" s="424"/>
      <c r="CQ229" s="424"/>
      <c r="CR229" s="425"/>
      <c r="CS229" s="426"/>
      <c r="CT229" s="426"/>
      <c r="CU229" s="425"/>
      <c r="CV229" s="424"/>
      <c r="CW229" s="424"/>
      <c r="CX229" s="425"/>
      <c r="CY229" s="426"/>
      <c r="CZ229" s="426"/>
      <c r="DA229" s="425"/>
      <c r="DB229" s="424"/>
      <c r="DC229" s="424"/>
      <c r="DD229" s="425"/>
      <c r="DE229" s="426"/>
      <c r="DF229" s="426"/>
      <c r="DG229" s="425"/>
      <c r="DH229" s="424"/>
      <c r="DI229" s="424"/>
      <c r="DJ229" s="425"/>
      <c r="DK229" s="426"/>
      <c r="DL229" s="426"/>
      <c r="DM229" s="425"/>
      <c r="DN229" s="424"/>
      <c r="DO229" s="424"/>
      <c r="DP229" s="425"/>
      <c r="DQ229" s="426"/>
      <c r="DR229" s="426"/>
      <c r="DS229" s="425"/>
      <c r="DT229" s="424"/>
      <c r="DU229" s="424"/>
      <c r="DV229" s="425"/>
      <c r="DW229" s="426"/>
      <c r="DX229" s="426"/>
      <c r="DY229" s="425"/>
      <c r="DZ229" s="424"/>
      <c r="EA229" s="424"/>
    </row>
    <row r="230" spans="3:131">
      <c r="C230" s="200" t="s">
        <v>1030</v>
      </c>
      <c r="D230" s="442"/>
      <c r="E230" s="200" t="s">
        <v>968</v>
      </c>
      <c r="F230" s="432">
        <f>'MF Unit Material'!Y404</f>
        <v>0</v>
      </c>
      <c r="G230" s="431" t="str">
        <f>'MF Unit Material'!Z404</f>
        <v/>
      </c>
      <c r="H230" s="158">
        <f>'MF Unit Material'!AA404</f>
        <v>0</v>
      </c>
      <c r="I230" s="430">
        <f t="shared" si="15"/>
        <v>0</v>
      </c>
      <c r="J230" s="429">
        <f t="shared" si="12"/>
        <v>0</v>
      </c>
      <c r="K230" s="428">
        <f t="shared" si="13"/>
        <v>0</v>
      </c>
      <c r="L230" s="427"/>
      <c r="M230" s="426"/>
      <c r="N230" s="426"/>
      <c r="O230" s="425"/>
      <c r="P230" s="424"/>
      <c r="Q230" s="424"/>
      <c r="R230" s="425"/>
      <c r="S230" s="426"/>
      <c r="T230" s="426"/>
      <c r="U230" s="425"/>
      <c r="V230" s="424"/>
      <c r="W230" s="424"/>
      <c r="X230" s="425"/>
      <c r="Y230" s="426"/>
      <c r="Z230" s="426"/>
      <c r="AA230" s="425"/>
      <c r="AB230" s="424"/>
      <c r="AC230" s="424"/>
      <c r="AD230" s="425"/>
      <c r="AE230" s="426"/>
      <c r="AF230" s="426"/>
      <c r="AG230" s="425"/>
      <c r="AH230" s="424"/>
      <c r="AI230" s="424"/>
      <c r="AJ230" s="425"/>
      <c r="AK230" s="426"/>
      <c r="AL230" s="426"/>
      <c r="AM230" s="425"/>
      <c r="AN230" s="424"/>
      <c r="AO230" s="424"/>
      <c r="AP230" s="425"/>
      <c r="AQ230" s="426"/>
      <c r="AR230" s="426"/>
      <c r="AS230" s="425"/>
      <c r="AT230" s="424"/>
      <c r="AU230" s="424"/>
      <c r="AV230" s="425"/>
      <c r="AW230" s="426"/>
      <c r="AX230" s="426"/>
      <c r="AY230" s="425"/>
      <c r="AZ230" s="424"/>
      <c r="BA230" s="424"/>
      <c r="BB230" s="425"/>
      <c r="BC230" s="426"/>
      <c r="BD230" s="426"/>
      <c r="BE230" s="425"/>
      <c r="BF230" s="424"/>
      <c r="BG230" s="424"/>
      <c r="BH230" s="425"/>
      <c r="BI230" s="426"/>
      <c r="BJ230" s="426"/>
      <c r="BK230" s="425"/>
      <c r="BL230" s="424"/>
      <c r="BM230" s="424"/>
      <c r="BN230" s="425"/>
      <c r="BO230" s="426"/>
      <c r="BP230" s="426"/>
      <c r="BQ230" s="425"/>
      <c r="BR230" s="424"/>
      <c r="BS230" s="424"/>
      <c r="BT230" s="425"/>
      <c r="BU230" s="426"/>
      <c r="BV230" s="426"/>
      <c r="BW230" s="425"/>
      <c r="BX230" s="424"/>
      <c r="BY230" s="424"/>
      <c r="BZ230" s="425"/>
      <c r="CA230" s="426"/>
      <c r="CB230" s="426"/>
      <c r="CC230" s="425"/>
      <c r="CD230" s="424"/>
      <c r="CE230" s="424"/>
      <c r="CF230" s="425"/>
      <c r="CG230" s="426"/>
      <c r="CH230" s="426"/>
      <c r="CI230" s="425"/>
      <c r="CJ230" s="424"/>
      <c r="CK230" s="424"/>
      <c r="CL230" s="425"/>
      <c r="CM230" s="426"/>
      <c r="CN230" s="426"/>
      <c r="CO230" s="425"/>
      <c r="CP230" s="424"/>
      <c r="CQ230" s="424"/>
      <c r="CR230" s="425"/>
      <c r="CS230" s="426"/>
      <c r="CT230" s="426"/>
      <c r="CU230" s="425"/>
      <c r="CV230" s="424"/>
      <c r="CW230" s="424"/>
      <c r="CX230" s="425"/>
      <c r="CY230" s="426"/>
      <c r="CZ230" s="426"/>
      <c r="DA230" s="425"/>
      <c r="DB230" s="424"/>
      <c r="DC230" s="424"/>
      <c r="DD230" s="425"/>
      <c r="DE230" s="426"/>
      <c r="DF230" s="426"/>
      <c r="DG230" s="425"/>
      <c r="DH230" s="424"/>
      <c r="DI230" s="424"/>
      <c r="DJ230" s="425"/>
      <c r="DK230" s="426"/>
      <c r="DL230" s="426"/>
      <c r="DM230" s="425"/>
      <c r="DN230" s="424"/>
      <c r="DO230" s="424"/>
      <c r="DP230" s="425"/>
      <c r="DQ230" s="426"/>
      <c r="DR230" s="426"/>
      <c r="DS230" s="425"/>
      <c r="DT230" s="424"/>
      <c r="DU230" s="424"/>
      <c r="DV230" s="425"/>
      <c r="DW230" s="426"/>
      <c r="DX230" s="426"/>
      <c r="DY230" s="425"/>
      <c r="DZ230" s="424"/>
      <c r="EA230" s="424"/>
    </row>
    <row r="231" spans="3:131">
      <c r="C231" s="200" t="s">
        <v>1031</v>
      </c>
      <c r="D231" s="442"/>
      <c r="E231" s="200" t="s">
        <v>968</v>
      </c>
      <c r="F231" s="432">
        <f>'MF Unit Material'!Y405</f>
        <v>0</v>
      </c>
      <c r="G231" s="431" t="str">
        <f>'MF Unit Material'!Z405</f>
        <v/>
      </c>
      <c r="H231" s="158">
        <f>'MF Unit Material'!AA405</f>
        <v>0</v>
      </c>
      <c r="I231" s="430">
        <f t="shared" si="15"/>
        <v>0</v>
      </c>
      <c r="J231" s="429">
        <f t="shared" si="12"/>
        <v>0</v>
      </c>
      <c r="K231" s="428">
        <f t="shared" si="13"/>
        <v>0</v>
      </c>
      <c r="L231" s="427"/>
      <c r="M231" s="426"/>
      <c r="N231" s="426"/>
      <c r="O231" s="425"/>
      <c r="P231" s="424"/>
      <c r="Q231" s="424"/>
      <c r="R231" s="425"/>
      <c r="S231" s="426"/>
      <c r="T231" s="426"/>
      <c r="U231" s="425"/>
      <c r="V231" s="424"/>
      <c r="W231" s="424"/>
      <c r="X231" s="425"/>
      <c r="Y231" s="426"/>
      <c r="Z231" s="426"/>
      <c r="AA231" s="425"/>
      <c r="AB231" s="424"/>
      <c r="AC231" s="424"/>
      <c r="AD231" s="425"/>
      <c r="AE231" s="426"/>
      <c r="AF231" s="426"/>
      <c r="AG231" s="425"/>
      <c r="AH231" s="424"/>
      <c r="AI231" s="424"/>
      <c r="AJ231" s="425"/>
      <c r="AK231" s="426"/>
      <c r="AL231" s="426"/>
      <c r="AM231" s="425"/>
      <c r="AN231" s="424"/>
      <c r="AO231" s="424"/>
      <c r="AP231" s="425"/>
      <c r="AQ231" s="426"/>
      <c r="AR231" s="426"/>
      <c r="AS231" s="425"/>
      <c r="AT231" s="424"/>
      <c r="AU231" s="424"/>
      <c r="AV231" s="425"/>
      <c r="AW231" s="426"/>
      <c r="AX231" s="426"/>
      <c r="AY231" s="425"/>
      <c r="AZ231" s="424"/>
      <c r="BA231" s="424"/>
      <c r="BB231" s="425"/>
      <c r="BC231" s="426"/>
      <c r="BD231" s="426"/>
      <c r="BE231" s="425"/>
      <c r="BF231" s="424"/>
      <c r="BG231" s="424"/>
      <c r="BH231" s="425"/>
      <c r="BI231" s="426"/>
      <c r="BJ231" s="426"/>
      <c r="BK231" s="425"/>
      <c r="BL231" s="424"/>
      <c r="BM231" s="424"/>
      <c r="BN231" s="425"/>
      <c r="BO231" s="426"/>
      <c r="BP231" s="426"/>
      <c r="BQ231" s="425"/>
      <c r="BR231" s="424"/>
      <c r="BS231" s="424"/>
      <c r="BT231" s="425"/>
      <c r="BU231" s="426"/>
      <c r="BV231" s="426"/>
      <c r="BW231" s="425"/>
      <c r="BX231" s="424"/>
      <c r="BY231" s="424"/>
      <c r="BZ231" s="425"/>
      <c r="CA231" s="426"/>
      <c r="CB231" s="426"/>
      <c r="CC231" s="425"/>
      <c r="CD231" s="424"/>
      <c r="CE231" s="424"/>
      <c r="CF231" s="425"/>
      <c r="CG231" s="426"/>
      <c r="CH231" s="426"/>
      <c r="CI231" s="425"/>
      <c r="CJ231" s="424"/>
      <c r="CK231" s="424"/>
      <c r="CL231" s="425"/>
      <c r="CM231" s="426"/>
      <c r="CN231" s="426"/>
      <c r="CO231" s="425"/>
      <c r="CP231" s="424"/>
      <c r="CQ231" s="424"/>
      <c r="CR231" s="425"/>
      <c r="CS231" s="426"/>
      <c r="CT231" s="426"/>
      <c r="CU231" s="425"/>
      <c r="CV231" s="424"/>
      <c r="CW231" s="424"/>
      <c r="CX231" s="425"/>
      <c r="CY231" s="426"/>
      <c r="CZ231" s="426"/>
      <c r="DA231" s="425"/>
      <c r="DB231" s="424"/>
      <c r="DC231" s="424"/>
      <c r="DD231" s="425"/>
      <c r="DE231" s="426"/>
      <c r="DF231" s="426"/>
      <c r="DG231" s="425"/>
      <c r="DH231" s="424"/>
      <c r="DI231" s="424"/>
      <c r="DJ231" s="425"/>
      <c r="DK231" s="426"/>
      <c r="DL231" s="426"/>
      <c r="DM231" s="425"/>
      <c r="DN231" s="424"/>
      <c r="DO231" s="424"/>
      <c r="DP231" s="425"/>
      <c r="DQ231" s="426"/>
      <c r="DR231" s="426"/>
      <c r="DS231" s="425"/>
      <c r="DT231" s="424"/>
      <c r="DU231" s="424"/>
      <c r="DV231" s="425"/>
      <c r="DW231" s="426"/>
      <c r="DX231" s="426"/>
      <c r="DY231" s="425"/>
      <c r="DZ231" s="424"/>
      <c r="EA231" s="424"/>
    </row>
    <row r="232" spans="3:131">
      <c r="C232" s="200" t="s">
        <v>1032</v>
      </c>
      <c r="D232" s="441"/>
      <c r="E232" s="200" t="s">
        <v>968</v>
      </c>
      <c r="F232" s="432">
        <f>'MF Unit Material'!Y406</f>
        <v>0</v>
      </c>
      <c r="G232" s="431" t="str">
        <f>'MF Unit Material'!Z406</f>
        <v/>
      </c>
      <c r="H232" s="158">
        <f>'MF Unit Material'!AA406</f>
        <v>0</v>
      </c>
      <c r="I232" s="430">
        <f t="shared" si="15"/>
        <v>0</v>
      </c>
      <c r="J232" s="429">
        <f t="shared" si="12"/>
        <v>0</v>
      </c>
      <c r="K232" s="428">
        <f t="shared" si="13"/>
        <v>0</v>
      </c>
      <c r="L232" s="427"/>
      <c r="M232" s="426"/>
      <c r="N232" s="426"/>
      <c r="O232" s="425"/>
      <c r="P232" s="424"/>
      <c r="Q232" s="424"/>
      <c r="R232" s="425"/>
      <c r="S232" s="426"/>
      <c r="T232" s="426"/>
      <c r="U232" s="425"/>
      <c r="V232" s="424"/>
      <c r="W232" s="424"/>
      <c r="X232" s="425"/>
      <c r="Y232" s="426"/>
      <c r="Z232" s="426"/>
      <c r="AA232" s="425"/>
      <c r="AB232" s="424"/>
      <c r="AC232" s="424"/>
      <c r="AD232" s="425"/>
      <c r="AE232" s="426"/>
      <c r="AF232" s="426"/>
      <c r="AG232" s="425"/>
      <c r="AH232" s="424"/>
      <c r="AI232" s="424"/>
      <c r="AJ232" s="425"/>
      <c r="AK232" s="426"/>
      <c r="AL232" s="426"/>
      <c r="AM232" s="425"/>
      <c r="AN232" s="424"/>
      <c r="AO232" s="424"/>
      <c r="AP232" s="425"/>
      <c r="AQ232" s="426"/>
      <c r="AR232" s="426"/>
      <c r="AS232" s="425"/>
      <c r="AT232" s="424"/>
      <c r="AU232" s="424"/>
      <c r="AV232" s="425"/>
      <c r="AW232" s="426"/>
      <c r="AX232" s="426"/>
      <c r="AY232" s="425"/>
      <c r="AZ232" s="424"/>
      <c r="BA232" s="424"/>
      <c r="BB232" s="425"/>
      <c r="BC232" s="426"/>
      <c r="BD232" s="426"/>
      <c r="BE232" s="425"/>
      <c r="BF232" s="424"/>
      <c r="BG232" s="424"/>
      <c r="BH232" s="425"/>
      <c r="BI232" s="426"/>
      <c r="BJ232" s="426"/>
      <c r="BK232" s="425"/>
      <c r="BL232" s="424"/>
      <c r="BM232" s="424"/>
      <c r="BN232" s="425"/>
      <c r="BO232" s="426"/>
      <c r="BP232" s="426"/>
      <c r="BQ232" s="425"/>
      <c r="BR232" s="424"/>
      <c r="BS232" s="424"/>
      <c r="BT232" s="425"/>
      <c r="BU232" s="426"/>
      <c r="BV232" s="426"/>
      <c r="BW232" s="425"/>
      <c r="BX232" s="424"/>
      <c r="BY232" s="424"/>
      <c r="BZ232" s="425"/>
      <c r="CA232" s="426"/>
      <c r="CB232" s="426"/>
      <c r="CC232" s="425"/>
      <c r="CD232" s="424"/>
      <c r="CE232" s="424"/>
      <c r="CF232" s="425"/>
      <c r="CG232" s="426"/>
      <c r="CH232" s="426"/>
      <c r="CI232" s="425"/>
      <c r="CJ232" s="424"/>
      <c r="CK232" s="424"/>
      <c r="CL232" s="425"/>
      <c r="CM232" s="426"/>
      <c r="CN232" s="426"/>
      <c r="CO232" s="425"/>
      <c r="CP232" s="424"/>
      <c r="CQ232" s="424"/>
      <c r="CR232" s="425"/>
      <c r="CS232" s="426"/>
      <c r="CT232" s="426"/>
      <c r="CU232" s="425"/>
      <c r="CV232" s="424"/>
      <c r="CW232" s="424"/>
      <c r="CX232" s="425"/>
      <c r="CY232" s="426"/>
      <c r="CZ232" s="426"/>
      <c r="DA232" s="425"/>
      <c r="DB232" s="424"/>
      <c r="DC232" s="424"/>
      <c r="DD232" s="425"/>
      <c r="DE232" s="426"/>
      <c r="DF232" s="426"/>
      <c r="DG232" s="425"/>
      <c r="DH232" s="424"/>
      <c r="DI232" s="424"/>
      <c r="DJ232" s="425"/>
      <c r="DK232" s="426"/>
      <c r="DL232" s="426"/>
      <c r="DM232" s="425"/>
      <c r="DN232" s="424"/>
      <c r="DO232" s="424"/>
      <c r="DP232" s="425"/>
      <c r="DQ232" s="426"/>
      <c r="DR232" s="426"/>
      <c r="DS232" s="425"/>
      <c r="DT232" s="424"/>
      <c r="DU232" s="424"/>
      <c r="DV232" s="425"/>
      <c r="DW232" s="426"/>
      <c r="DX232" s="426"/>
      <c r="DY232" s="425"/>
      <c r="DZ232" s="424"/>
      <c r="EA232" s="424"/>
    </row>
    <row r="233" spans="3:131">
      <c r="C233" s="423"/>
      <c r="D233" s="1"/>
      <c r="E233" s="16" t="s">
        <v>961</v>
      </c>
      <c r="F233" s="422">
        <f>'MF Unit Material'!Y408</f>
        <v>660</v>
      </c>
      <c r="G233" s="421">
        <f>'MF Unit Material'!Z408</f>
        <v>0</v>
      </c>
      <c r="H233" s="420">
        <f>'MF Unit Material'!AA408</f>
        <v>7039</v>
      </c>
      <c r="I233" s="429"/>
      <c r="J233" s="429">
        <f t="shared" si="12"/>
        <v>0</v>
      </c>
      <c r="K233" s="428">
        <f t="shared" si="13"/>
        <v>0</v>
      </c>
      <c r="L233" s="427"/>
      <c r="M233" s="426"/>
      <c r="N233" s="426"/>
      <c r="O233" s="425"/>
      <c r="P233" s="424"/>
      <c r="Q233" s="424"/>
      <c r="R233" s="425"/>
      <c r="S233" s="426"/>
      <c r="T233" s="426"/>
      <c r="U233" s="425"/>
      <c r="V233" s="424"/>
      <c r="W233" s="424"/>
      <c r="X233" s="425"/>
      <c r="Y233" s="426"/>
      <c r="Z233" s="426"/>
      <c r="AA233" s="425"/>
      <c r="AB233" s="424"/>
      <c r="AC233" s="424"/>
      <c r="AD233" s="425"/>
      <c r="AE233" s="426"/>
      <c r="AF233" s="426"/>
      <c r="AG233" s="425"/>
      <c r="AH233" s="424"/>
      <c r="AI233" s="424"/>
      <c r="AJ233" s="425"/>
      <c r="AK233" s="426"/>
      <c r="AL233" s="426"/>
      <c r="AM233" s="425"/>
      <c r="AN233" s="424"/>
      <c r="AO233" s="424"/>
      <c r="AP233" s="425"/>
      <c r="AQ233" s="426"/>
      <c r="AR233" s="426"/>
      <c r="AS233" s="425"/>
      <c r="AT233" s="424"/>
      <c r="AU233" s="424"/>
      <c r="AV233" s="425"/>
      <c r="AW233" s="426"/>
      <c r="AX233" s="426"/>
      <c r="AY233" s="425"/>
      <c r="AZ233" s="424"/>
      <c r="BA233" s="424"/>
      <c r="BB233" s="425"/>
      <c r="BC233" s="426"/>
      <c r="BD233" s="426"/>
      <c r="BE233" s="425"/>
      <c r="BF233" s="424"/>
      <c r="BG233" s="424"/>
      <c r="BH233" s="425"/>
      <c r="BI233" s="426"/>
      <c r="BJ233" s="426"/>
      <c r="BK233" s="425"/>
      <c r="BL233" s="424"/>
      <c r="BM233" s="424"/>
      <c r="BN233" s="425"/>
      <c r="BO233" s="426"/>
      <c r="BP233" s="426"/>
      <c r="BQ233" s="425"/>
      <c r="BR233" s="424"/>
      <c r="BS233" s="424"/>
      <c r="BT233" s="425"/>
      <c r="BU233" s="426"/>
      <c r="BV233" s="426"/>
      <c r="BW233" s="425"/>
      <c r="BX233" s="424"/>
      <c r="BY233" s="424"/>
      <c r="BZ233" s="425"/>
      <c r="CA233" s="426"/>
      <c r="CB233" s="426"/>
      <c r="CC233" s="425"/>
      <c r="CD233" s="424"/>
      <c r="CE233" s="424"/>
      <c r="CF233" s="425"/>
      <c r="CG233" s="426"/>
      <c r="CH233" s="426"/>
      <c r="CI233" s="425"/>
      <c r="CJ233" s="424"/>
      <c r="CK233" s="424"/>
      <c r="CL233" s="425"/>
      <c r="CM233" s="426"/>
      <c r="CN233" s="426"/>
      <c r="CO233" s="425"/>
      <c r="CP233" s="424"/>
      <c r="CQ233" s="424"/>
      <c r="CR233" s="425"/>
      <c r="CS233" s="426"/>
      <c r="CT233" s="426"/>
      <c r="CU233" s="425"/>
      <c r="CV233" s="424"/>
      <c r="CW233" s="424"/>
      <c r="CX233" s="425"/>
      <c r="CY233" s="426"/>
      <c r="CZ233" s="426"/>
      <c r="DA233" s="425"/>
      <c r="DB233" s="424"/>
      <c r="DC233" s="424"/>
      <c r="DD233" s="425"/>
      <c r="DE233" s="426"/>
      <c r="DF233" s="426"/>
      <c r="DG233" s="425"/>
      <c r="DH233" s="424"/>
      <c r="DI233" s="424"/>
      <c r="DJ233" s="425"/>
      <c r="DK233" s="426"/>
      <c r="DL233" s="426"/>
      <c r="DM233" s="425"/>
      <c r="DN233" s="424"/>
      <c r="DO233" s="424"/>
      <c r="DP233" s="425"/>
      <c r="DQ233" s="426"/>
      <c r="DR233" s="426"/>
      <c r="DS233" s="425"/>
      <c r="DT233" s="424"/>
      <c r="DU233" s="424"/>
      <c r="DV233" s="425"/>
      <c r="DW233" s="426"/>
      <c r="DX233" s="426"/>
      <c r="DY233" s="425"/>
      <c r="DZ233" s="424"/>
      <c r="EA233" s="424"/>
    </row>
    <row r="234" spans="3:131">
      <c r="C234" s="96" t="s">
        <v>1080</v>
      </c>
      <c r="D234" s="65"/>
      <c r="E234" s="65"/>
      <c r="F234" s="437" t="s">
        <v>948</v>
      </c>
      <c r="G234" s="436" t="s">
        <v>949</v>
      </c>
      <c r="H234" s="412" t="s">
        <v>950</v>
      </c>
      <c r="I234" s="429"/>
      <c r="J234" s="429">
        <f t="shared" si="12"/>
        <v>0</v>
      </c>
      <c r="K234" s="428">
        <f t="shared" si="13"/>
        <v>0</v>
      </c>
      <c r="L234" s="427"/>
      <c r="M234" s="426"/>
      <c r="N234" s="426"/>
      <c r="O234" s="425"/>
      <c r="P234" s="424"/>
      <c r="Q234" s="424"/>
      <c r="R234" s="425"/>
      <c r="S234" s="426"/>
      <c r="T234" s="426"/>
      <c r="U234" s="425"/>
      <c r="V234" s="424"/>
      <c r="W234" s="424"/>
      <c r="X234" s="425"/>
      <c r="Y234" s="426"/>
      <c r="Z234" s="426"/>
      <c r="AA234" s="425"/>
      <c r="AB234" s="424"/>
      <c r="AC234" s="424"/>
      <c r="AD234" s="425"/>
      <c r="AE234" s="426"/>
      <c r="AF234" s="426"/>
      <c r="AG234" s="425"/>
      <c r="AH234" s="424"/>
      <c r="AI234" s="424"/>
      <c r="AJ234" s="425"/>
      <c r="AK234" s="426"/>
      <c r="AL234" s="426"/>
      <c r="AM234" s="425"/>
      <c r="AN234" s="424"/>
      <c r="AO234" s="424"/>
      <c r="AP234" s="425"/>
      <c r="AQ234" s="426"/>
      <c r="AR234" s="426"/>
      <c r="AS234" s="425"/>
      <c r="AT234" s="424"/>
      <c r="AU234" s="424"/>
      <c r="AV234" s="425"/>
      <c r="AW234" s="426"/>
      <c r="AX234" s="426"/>
      <c r="AY234" s="425"/>
      <c r="AZ234" s="424"/>
      <c r="BA234" s="424"/>
      <c r="BB234" s="425"/>
      <c r="BC234" s="426"/>
      <c r="BD234" s="426"/>
      <c r="BE234" s="425"/>
      <c r="BF234" s="424"/>
      <c r="BG234" s="424"/>
      <c r="BH234" s="425"/>
      <c r="BI234" s="426"/>
      <c r="BJ234" s="426"/>
      <c r="BK234" s="425"/>
      <c r="BL234" s="424"/>
      <c r="BM234" s="424"/>
      <c r="BN234" s="425"/>
      <c r="BO234" s="426"/>
      <c r="BP234" s="426"/>
      <c r="BQ234" s="425"/>
      <c r="BR234" s="424"/>
      <c r="BS234" s="424"/>
      <c r="BT234" s="425"/>
      <c r="BU234" s="426"/>
      <c r="BV234" s="426"/>
      <c r="BW234" s="425"/>
      <c r="BX234" s="424"/>
      <c r="BY234" s="424"/>
      <c r="BZ234" s="425"/>
      <c r="CA234" s="426"/>
      <c r="CB234" s="426"/>
      <c r="CC234" s="425"/>
      <c r="CD234" s="424"/>
      <c r="CE234" s="424"/>
      <c r="CF234" s="425"/>
      <c r="CG234" s="426"/>
      <c r="CH234" s="426"/>
      <c r="CI234" s="425"/>
      <c r="CJ234" s="424"/>
      <c r="CK234" s="424"/>
      <c r="CL234" s="425"/>
      <c r="CM234" s="426"/>
      <c r="CN234" s="426"/>
      <c r="CO234" s="425"/>
      <c r="CP234" s="424"/>
      <c r="CQ234" s="424"/>
      <c r="CR234" s="425"/>
      <c r="CS234" s="426"/>
      <c r="CT234" s="426"/>
      <c r="CU234" s="425"/>
      <c r="CV234" s="424"/>
      <c r="CW234" s="424"/>
      <c r="CX234" s="425"/>
      <c r="CY234" s="426"/>
      <c r="CZ234" s="426"/>
      <c r="DA234" s="425"/>
      <c r="DB234" s="424"/>
      <c r="DC234" s="424"/>
      <c r="DD234" s="425"/>
      <c r="DE234" s="426"/>
      <c r="DF234" s="426"/>
      <c r="DG234" s="425"/>
      <c r="DH234" s="424"/>
      <c r="DI234" s="424"/>
      <c r="DJ234" s="425"/>
      <c r="DK234" s="426"/>
      <c r="DL234" s="426"/>
      <c r="DM234" s="425"/>
      <c r="DN234" s="424"/>
      <c r="DO234" s="424"/>
      <c r="DP234" s="425"/>
      <c r="DQ234" s="426"/>
      <c r="DR234" s="426"/>
      <c r="DS234" s="425"/>
      <c r="DT234" s="424"/>
      <c r="DU234" s="424"/>
      <c r="DV234" s="425"/>
      <c r="DW234" s="426"/>
      <c r="DX234" s="426"/>
      <c r="DY234" s="425"/>
      <c r="DZ234" s="424"/>
      <c r="EA234" s="424"/>
    </row>
    <row r="235" spans="3:131">
      <c r="C235" s="198" t="s">
        <v>1012</v>
      </c>
      <c r="D235" s="440" t="str">
        <f t="shared" ref="D235:D249" si="16">D201</f>
        <v>14*6</v>
      </c>
      <c r="E235" s="198" t="s">
        <v>968</v>
      </c>
      <c r="F235" s="432">
        <f>'MF Unit Material'!Y410</f>
        <v>536</v>
      </c>
      <c r="G235" s="431">
        <f>'MF Unit Material'!Z410</f>
        <v>12</v>
      </c>
      <c r="H235" s="158">
        <f>'MF Unit Material'!AA410</f>
        <v>6432</v>
      </c>
      <c r="I235" s="430">
        <f t="shared" ref="I235:I249" si="17">F235-J235</f>
        <v>536</v>
      </c>
      <c r="J235" s="429">
        <f t="shared" si="12"/>
        <v>0</v>
      </c>
      <c r="K235" s="428">
        <f t="shared" si="13"/>
        <v>0</v>
      </c>
      <c r="L235" s="427"/>
      <c r="M235" s="426"/>
      <c r="N235" s="426"/>
      <c r="O235" s="425"/>
      <c r="P235" s="424"/>
      <c r="Q235" s="424"/>
      <c r="R235" s="425"/>
      <c r="S235" s="426"/>
      <c r="T235" s="426"/>
      <c r="U235" s="425"/>
      <c r="V235" s="424"/>
      <c r="W235" s="424"/>
      <c r="X235" s="425"/>
      <c r="Y235" s="426"/>
      <c r="Z235" s="426"/>
      <c r="AA235" s="425"/>
      <c r="AB235" s="424"/>
      <c r="AC235" s="424"/>
      <c r="AD235" s="425"/>
      <c r="AE235" s="426"/>
      <c r="AF235" s="426"/>
      <c r="AG235" s="425"/>
      <c r="AH235" s="424"/>
      <c r="AI235" s="424"/>
      <c r="AJ235" s="425"/>
      <c r="AK235" s="426"/>
      <c r="AL235" s="426"/>
      <c r="AM235" s="425"/>
      <c r="AN235" s="424"/>
      <c r="AO235" s="424"/>
      <c r="AP235" s="425"/>
      <c r="AQ235" s="426"/>
      <c r="AR235" s="426"/>
      <c r="AS235" s="425"/>
      <c r="AT235" s="424"/>
      <c r="AU235" s="424"/>
      <c r="AV235" s="425"/>
      <c r="AW235" s="426"/>
      <c r="AX235" s="426"/>
      <c r="AY235" s="425"/>
      <c r="AZ235" s="424"/>
      <c r="BA235" s="424"/>
      <c r="BB235" s="425"/>
      <c r="BC235" s="426"/>
      <c r="BD235" s="426"/>
      <c r="BE235" s="425"/>
      <c r="BF235" s="424"/>
      <c r="BG235" s="424"/>
      <c r="BH235" s="425"/>
      <c r="BI235" s="426"/>
      <c r="BJ235" s="426"/>
      <c r="BK235" s="425"/>
      <c r="BL235" s="424"/>
      <c r="BM235" s="424"/>
      <c r="BN235" s="425"/>
      <c r="BO235" s="426"/>
      <c r="BP235" s="426"/>
      <c r="BQ235" s="425"/>
      <c r="BR235" s="424"/>
      <c r="BS235" s="424"/>
      <c r="BT235" s="425"/>
      <c r="BU235" s="426"/>
      <c r="BV235" s="426"/>
      <c r="BW235" s="425"/>
      <c r="BX235" s="424"/>
      <c r="BY235" s="424"/>
      <c r="BZ235" s="425"/>
      <c r="CA235" s="426"/>
      <c r="CB235" s="426"/>
      <c r="CC235" s="425"/>
      <c r="CD235" s="424"/>
      <c r="CE235" s="424"/>
      <c r="CF235" s="425"/>
      <c r="CG235" s="426"/>
      <c r="CH235" s="426"/>
      <c r="CI235" s="425"/>
      <c r="CJ235" s="424"/>
      <c r="CK235" s="424"/>
      <c r="CL235" s="425"/>
      <c r="CM235" s="426"/>
      <c r="CN235" s="426"/>
      <c r="CO235" s="425"/>
      <c r="CP235" s="424"/>
      <c r="CQ235" s="424"/>
      <c r="CR235" s="425"/>
      <c r="CS235" s="426"/>
      <c r="CT235" s="426"/>
      <c r="CU235" s="425"/>
      <c r="CV235" s="424"/>
      <c r="CW235" s="424"/>
      <c r="CX235" s="425"/>
      <c r="CY235" s="426"/>
      <c r="CZ235" s="426"/>
      <c r="DA235" s="425"/>
      <c r="DB235" s="424"/>
      <c r="DC235" s="424"/>
      <c r="DD235" s="425"/>
      <c r="DE235" s="426"/>
      <c r="DF235" s="426"/>
      <c r="DG235" s="425"/>
      <c r="DH235" s="424"/>
      <c r="DI235" s="424"/>
      <c r="DJ235" s="425"/>
      <c r="DK235" s="426"/>
      <c r="DL235" s="426"/>
      <c r="DM235" s="425"/>
      <c r="DN235" s="424"/>
      <c r="DO235" s="424"/>
      <c r="DP235" s="425"/>
      <c r="DQ235" s="426"/>
      <c r="DR235" s="426"/>
      <c r="DS235" s="425"/>
      <c r="DT235" s="424"/>
      <c r="DU235" s="424"/>
      <c r="DV235" s="425"/>
      <c r="DW235" s="426"/>
      <c r="DX235" s="426"/>
      <c r="DY235" s="425"/>
      <c r="DZ235" s="424"/>
      <c r="EA235" s="424"/>
    </row>
    <row r="236" spans="3:131">
      <c r="C236" s="200" t="s">
        <v>1014</v>
      </c>
      <c r="D236" s="439" t="str">
        <f t="shared" si="16"/>
        <v>12*6</v>
      </c>
      <c r="E236" s="200" t="s">
        <v>968</v>
      </c>
      <c r="F236" s="432">
        <f>'MF Unit Material'!Y411</f>
        <v>680</v>
      </c>
      <c r="G236" s="431">
        <f>'MF Unit Material'!Z411</f>
        <v>13.5</v>
      </c>
      <c r="H236" s="158">
        <f>'MF Unit Material'!AA411</f>
        <v>9180</v>
      </c>
      <c r="I236" s="430">
        <f t="shared" si="17"/>
        <v>680</v>
      </c>
      <c r="J236" s="429">
        <f t="shared" si="12"/>
        <v>0</v>
      </c>
      <c r="K236" s="428">
        <f t="shared" si="13"/>
        <v>0</v>
      </c>
      <c r="L236" s="427"/>
      <c r="M236" s="426"/>
      <c r="N236" s="426"/>
      <c r="O236" s="425"/>
      <c r="P236" s="424"/>
      <c r="Q236" s="424"/>
      <c r="R236" s="425"/>
      <c r="S236" s="426"/>
      <c r="T236" s="426"/>
      <c r="U236" s="425"/>
      <c r="V236" s="424"/>
      <c r="W236" s="424"/>
      <c r="X236" s="425"/>
      <c r="Y236" s="426"/>
      <c r="Z236" s="426"/>
      <c r="AA236" s="425"/>
      <c r="AB236" s="424"/>
      <c r="AC236" s="424"/>
      <c r="AD236" s="425"/>
      <c r="AE236" s="426"/>
      <c r="AF236" s="426"/>
      <c r="AG236" s="425"/>
      <c r="AH236" s="424"/>
      <c r="AI236" s="424"/>
      <c r="AJ236" s="425"/>
      <c r="AK236" s="426"/>
      <c r="AL236" s="426"/>
      <c r="AM236" s="425"/>
      <c r="AN236" s="424"/>
      <c r="AO236" s="424"/>
      <c r="AP236" s="425"/>
      <c r="AQ236" s="426"/>
      <c r="AR236" s="426"/>
      <c r="AS236" s="425"/>
      <c r="AT236" s="424"/>
      <c r="AU236" s="424"/>
      <c r="AV236" s="425"/>
      <c r="AW236" s="426"/>
      <c r="AX236" s="426"/>
      <c r="AY236" s="425"/>
      <c r="AZ236" s="424"/>
      <c r="BA236" s="424"/>
      <c r="BB236" s="425"/>
      <c r="BC236" s="426"/>
      <c r="BD236" s="426"/>
      <c r="BE236" s="425"/>
      <c r="BF236" s="424"/>
      <c r="BG236" s="424"/>
      <c r="BH236" s="425"/>
      <c r="BI236" s="426"/>
      <c r="BJ236" s="426"/>
      <c r="BK236" s="425"/>
      <c r="BL236" s="424"/>
      <c r="BM236" s="424"/>
      <c r="BN236" s="425"/>
      <c r="BO236" s="426"/>
      <c r="BP236" s="426"/>
      <c r="BQ236" s="425"/>
      <c r="BR236" s="424"/>
      <c r="BS236" s="424"/>
      <c r="BT236" s="425"/>
      <c r="BU236" s="426"/>
      <c r="BV236" s="426"/>
      <c r="BW236" s="425"/>
      <c r="BX236" s="424"/>
      <c r="BY236" s="424"/>
      <c r="BZ236" s="425"/>
      <c r="CA236" s="426"/>
      <c r="CB236" s="426"/>
      <c r="CC236" s="425"/>
      <c r="CD236" s="424"/>
      <c r="CE236" s="424"/>
      <c r="CF236" s="425"/>
      <c r="CG236" s="426"/>
      <c r="CH236" s="426"/>
      <c r="CI236" s="425"/>
      <c r="CJ236" s="424"/>
      <c r="CK236" s="424"/>
      <c r="CL236" s="425"/>
      <c r="CM236" s="426"/>
      <c r="CN236" s="426"/>
      <c r="CO236" s="425"/>
      <c r="CP236" s="424"/>
      <c r="CQ236" s="424"/>
      <c r="CR236" s="425"/>
      <c r="CS236" s="426"/>
      <c r="CT236" s="426"/>
      <c r="CU236" s="425"/>
      <c r="CV236" s="424"/>
      <c r="CW236" s="424"/>
      <c r="CX236" s="425"/>
      <c r="CY236" s="426"/>
      <c r="CZ236" s="426"/>
      <c r="DA236" s="425"/>
      <c r="DB236" s="424"/>
      <c r="DC236" s="424"/>
      <c r="DD236" s="425"/>
      <c r="DE236" s="426"/>
      <c r="DF236" s="426"/>
      <c r="DG236" s="425"/>
      <c r="DH236" s="424"/>
      <c r="DI236" s="424"/>
      <c r="DJ236" s="425"/>
      <c r="DK236" s="426"/>
      <c r="DL236" s="426"/>
      <c r="DM236" s="425"/>
      <c r="DN236" s="424"/>
      <c r="DO236" s="424"/>
      <c r="DP236" s="425"/>
      <c r="DQ236" s="426"/>
      <c r="DR236" s="426"/>
      <c r="DS236" s="425"/>
      <c r="DT236" s="424"/>
      <c r="DU236" s="424"/>
      <c r="DV236" s="425"/>
      <c r="DW236" s="426"/>
      <c r="DX236" s="426"/>
      <c r="DY236" s="425"/>
      <c r="DZ236" s="424"/>
      <c r="EA236" s="424"/>
    </row>
    <row r="237" spans="3:131">
      <c r="C237" s="200" t="s">
        <v>1016</v>
      </c>
      <c r="D237" s="439" t="str">
        <f t="shared" si="16"/>
        <v>10*6</v>
      </c>
      <c r="E237" s="200" t="s">
        <v>968</v>
      </c>
      <c r="F237" s="432">
        <f>'MF Unit Material'!Y412</f>
        <v>101</v>
      </c>
      <c r="G237" s="431">
        <f>'MF Unit Material'!Z412</f>
        <v>12.25</v>
      </c>
      <c r="H237" s="158">
        <f>'MF Unit Material'!AA412</f>
        <v>1237.25</v>
      </c>
      <c r="I237" s="430">
        <f t="shared" si="17"/>
        <v>101</v>
      </c>
      <c r="J237" s="429">
        <f t="shared" si="12"/>
        <v>0</v>
      </c>
      <c r="K237" s="428">
        <f t="shared" si="13"/>
        <v>0</v>
      </c>
      <c r="L237" s="427"/>
      <c r="M237" s="426"/>
      <c r="N237" s="426"/>
      <c r="O237" s="425"/>
      <c r="P237" s="424"/>
      <c r="Q237" s="424"/>
      <c r="R237" s="425"/>
      <c r="S237" s="426"/>
      <c r="T237" s="426"/>
      <c r="U237" s="425"/>
      <c r="V237" s="424"/>
      <c r="W237" s="424"/>
      <c r="X237" s="425"/>
      <c r="Y237" s="426"/>
      <c r="Z237" s="426"/>
      <c r="AA237" s="425"/>
      <c r="AB237" s="424"/>
      <c r="AC237" s="424"/>
      <c r="AD237" s="425"/>
      <c r="AE237" s="426"/>
      <c r="AF237" s="426"/>
      <c r="AG237" s="425"/>
      <c r="AH237" s="424"/>
      <c r="AI237" s="424"/>
      <c r="AJ237" s="425"/>
      <c r="AK237" s="426"/>
      <c r="AL237" s="426"/>
      <c r="AM237" s="425"/>
      <c r="AN237" s="424"/>
      <c r="AO237" s="424"/>
      <c r="AP237" s="425"/>
      <c r="AQ237" s="426"/>
      <c r="AR237" s="426"/>
      <c r="AS237" s="425"/>
      <c r="AT237" s="424"/>
      <c r="AU237" s="424"/>
      <c r="AV237" s="425"/>
      <c r="AW237" s="426"/>
      <c r="AX237" s="426"/>
      <c r="AY237" s="425"/>
      <c r="AZ237" s="424"/>
      <c r="BA237" s="424"/>
      <c r="BB237" s="425"/>
      <c r="BC237" s="426"/>
      <c r="BD237" s="426"/>
      <c r="BE237" s="425"/>
      <c r="BF237" s="424"/>
      <c r="BG237" s="424"/>
      <c r="BH237" s="425"/>
      <c r="BI237" s="426"/>
      <c r="BJ237" s="426"/>
      <c r="BK237" s="425"/>
      <c r="BL237" s="424"/>
      <c r="BM237" s="424"/>
      <c r="BN237" s="425"/>
      <c r="BO237" s="426"/>
      <c r="BP237" s="426"/>
      <c r="BQ237" s="425"/>
      <c r="BR237" s="424"/>
      <c r="BS237" s="424"/>
      <c r="BT237" s="425"/>
      <c r="BU237" s="426"/>
      <c r="BV237" s="426"/>
      <c r="BW237" s="425"/>
      <c r="BX237" s="424"/>
      <c r="BY237" s="424"/>
      <c r="BZ237" s="425"/>
      <c r="CA237" s="426"/>
      <c r="CB237" s="426"/>
      <c r="CC237" s="425"/>
      <c r="CD237" s="424"/>
      <c r="CE237" s="424"/>
      <c r="CF237" s="425"/>
      <c r="CG237" s="426"/>
      <c r="CH237" s="426"/>
      <c r="CI237" s="425"/>
      <c r="CJ237" s="424"/>
      <c r="CK237" s="424"/>
      <c r="CL237" s="425"/>
      <c r="CM237" s="426"/>
      <c r="CN237" s="426"/>
      <c r="CO237" s="425"/>
      <c r="CP237" s="424"/>
      <c r="CQ237" s="424"/>
      <c r="CR237" s="425"/>
      <c r="CS237" s="426"/>
      <c r="CT237" s="426"/>
      <c r="CU237" s="425"/>
      <c r="CV237" s="424"/>
      <c r="CW237" s="424"/>
      <c r="CX237" s="425"/>
      <c r="CY237" s="426"/>
      <c r="CZ237" s="426"/>
      <c r="DA237" s="425"/>
      <c r="DB237" s="424"/>
      <c r="DC237" s="424"/>
      <c r="DD237" s="425"/>
      <c r="DE237" s="426"/>
      <c r="DF237" s="426"/>
      <c r="DG237" s="425"/>
      <c r="DH237" s="424"/>
      <c r="DI237" s="424"/>
      <c r="DJ237" s="425"/>
      <c r="DK237" s="426"/>
      <c r="DL237" s="426"/>
      <c r="DM237" s="425"/>
      <c r="DN237" s="424"/>
      <c r="DO237" s="424"/>
      <c r="DP237" s="425"/>
      <c r="DQ237" s="426"/>
      <c r="DR237" s="426"/>
      <c r="DS237" s="425"/>
      <c r="DT237" s="424"/>
      <c r="DU237" s="424"/>
      <c r="DV237" s="425"/>
      <c r="DW237" s="426"/>
      <c r="DX237" s="426"/>
      <c r="DY237" s="425"/>
      <c r="DZ237" s="424"/>
      <c r="EA237" s="424"/>
    </row>
    <row r="238" spans="3:131">
      <c r="C238" s="200" t="s">
        <v>1018</v>
      </c>
      <c r="D238" s="439" t="str">
        <f t="shared" si="16"/>
        <v>8*6</v>
      </c>
      <c r="E238" s="200" t="s">
        <v>968</v>
      </c>
      <c r="F238" s="432">
        <f>'MF Unit Material'!Y413</f>
        <v>0</v>
      </c>
      <c r="G238" s="431">
        <f>'MF Unit Material'!Z413</f>
        <v>11.9</v>
      </c>
      <c r="H238" s="158">
        <f>'MF Unit Material'!AA413</f>
        <v>0</v>
      </c>
      <c r="I238" s="430">
        <f t="shared" si="17"/>
        <v>0</v>
      </c>
      <c r="J238" s="429">
        <f t="shared" si="12"/>
        <v>0</v>
      </c>
      <c r="K238" s="428">
        <f t="shared" si="13"/>
        <v>0</v>
      </c>
      <c r="L238" s="427"/>
      <c r="M238" s="426"/>
      <c r="N238" s="426"/>
      <c r="O238" s="425"/>
      <c r="P238" s="424"/>
      <c r="Q238" s="424"/>
      <c r="R238" s="425"/>
      <c r="S238" s="426"/>
      <c r="T238" s="426"/>
      <c r="U238" s="425"/>
      <c r="V238" s="424"/>
      <c r="W238" s="424"/>
      <c r="X238" s="425"/>
      <c r="Y238" s="426"/>
      <c r="Z238" s="426"/>
      <c r="AA238" s="425"/>
      <c r="AB238" s="424"/>
      <c r="AC238" s="424"/>
      <c r="AD238" s="425"/>
      <c r="AE238" s="426"/>
      <c r="AF238" s="426"/>
      <c r="AG238" s="425"/>
      <c r="AH238" s="424"/>
      <c r="AI238" s="424"/>
      <c r="AJ238" s="425"/>
      <c r="AK238" s="426"/>
      <c r="AL238" s="426"/>
      <c r="AM238" s="425"/>
      <c r="AN238" s="424"/>
      <c r="AO238" s="424"/>
      <c r="AP238" s="425"/>
      <c r="AQ238" s="426"/>
      <c r="AR238" s="426"/>
      <c r="AS238" s="425"/>
      <c r="AT238" s="424"/>
      <c r="AU238" s="424"/>
      <c r="AV238" s="425"/>
      <c r="AW238" s="426"/>
      <c r="AX238" s="426"/>
      <c r="AY238" s="425"/>
      <c r="AZ238" s="424"/>
      <c r="BA238" s="424"/>
      <c r="BB238" s="425"/>
      <c r="BC238" s="426"/>
      <c r="BD238" s="426"/>
      <c r="BE238" s="425"/>
      <c r="BF238" s="424"/>
      <c r="BG238" s="424"/>
      <c r="BH238" s="425"/>
      <c r="BI238" s="426"/>
      <c r="BJ238" s="426"/>
      <c r="BK238" s="425"/>
      <c r="BL238" s="424"/>
      <c r="BM238" s="424"/>
      <c r="BN238" s="425"/>
      <c r="BO238" s="426"/>
      <c r="BP238" s="426"/>
      <c r="BQ238" s="425"/>
      <c r="BR238" s="424"/>
      <c r="BS238" s="424"/>
      <c r="BT238" s="425"/>
      <c r="BU238" s="426"/>
      <c r="BV238" s="426"/>
      <c r="BW238" s="425"/>
      <c r="BX238" s="424"/>
      <c r="BY238" s="424"/>
      <c r="BZ238" s="425"/>
      <c r="CA238" s="426"/>
      <c r="CB238" s="426"/>
      <c r="CC238" s="425"/>
      <c r="CD238" s="424"/>
      <c r="CE238" s="424"/>
      <c r="CF238" s="425"/>
      <c r="CG238" s="426"/>
      <c r="CH238" s="426"/>
      <c r="CI238" s="425"/>
      <c r="CJ238" s="424"/>
      <c r="CK238" s="424"/>
      <c r="CL238" s="425"/>
      <c r="CM238" s="426"/>
      <c r="CN238" s="426"/>
      <c r="CO238" s="425"/>
      <c r="CP238" s="424"/>
      <c r="CQ238" s="424"/>
      <c r="CR238" s="425"/>
      <c r="CS238" s="426"/>
      <c r="CT238" s="426"/>
      <c r="CU238" s="425"/>
      <c r="CV238" s="424"/>
      <c r="CW238" s="424"/>
      <c r="CX238" s="425"/>
      <c r="CY238" s="426"/>
      <c r="CZ238" s="426"/>
      <c r="DA238" s="425"/>
      <c r="DB238" s="424"/>
      <c r="DC238" s="424"/>
      <c r="DD238" s="425"/>
      <c r="DE238" s="426"/>
      <c r="DF238" s="426"/>
      <c r="DG238" s="425"/>
      <c r="DH238" s="424"/>
      <c r="DI238" s="424"/>
      <c r="DJ238" s="425"/>
      <c r="DK238" s="426"/>
      <c r="DL238" s="426"/>
      <c r="DM238" s="425"/>
      <c r="DN238" s="424"/>
      <c r="DO238" s="424"/>
      <c r="DP238" s="425"/>
      <c r="DQ238" s="426"/>
      <c r="DR238" s="426"/>
      <c r="DS238" s="425"/>
      <c r="DT238" s="424"/>
      <c r="DU238" s="424"/>
      <c r="DV238" s="425"/>
      <c r="DW238" s="426"/>
      <c r="DX238" s="426"/>
      <c r="DY238" s="425"/>
      <c r="DZ238" s="424"/>
      <c r="EA238" s="424"/>
    </row>
    <row r="239" spans="3:131">
      <c r="C239" s="200" t="s">
        <v>1020</v>
      </c>
      <c r="D239" s="439" t="str">
        <f t="shared" si="16"/>
        <v>8*4</v>
      </c>
      <c r="E239" s="200" t="s">
        <v>968</v>
      </c>
      <c r="F239" s="432">
        <f>'MF Unit Material'!Y414</f>
        <v>735</v>
      </c>
      <c r="G239" s="431">
        <f>'MF Unit Material'!Z414</f>
        <v>11.75</v>
      </c>
      <c r="H239" s="158">
        <f>'MF Unit Material'!AA414</f>
        <v>8636.25</v>
      </c>
      <c r="I239" s="430">
        <f t="shared" si="17"/>
        <v>735</v>
      </c>
      <c r="J239" s="429">
        <f t="shared" si="12"/>
        <v>0</v>
      </c>
      <c r="K239" s="428">
        <f t="shared" si="13"/>
        <v>0</v>
      </c>
      <c r="L239" s="427"/>
      <c r="M239" s="426"/>
      <c r="N239" s="426"/>
      <c r="O239" s="425"/>
      <c r="P239" s="424"/>
      <c r="Q239" s="424"/>
      <c r="R239" s="425"/>
      <c r="S239" s="426"/>
      <c r="T239" s="426"/>
      <c r="U239" s="425"/>
      <c r="V239" s="424"/>
      <c r="W239" s="424"/>
      <c r="X239" s="425"/>
      <c r="Y239" s="426"/>
      <c r="Z239" s="426"/>
      <c r="AA239" s="425"/>
      <c r="AB239" s="424"/>
      <c r="AC239" s="424"/>
      <c r="AD239" s="425"/>
      <c r="AE239" s="426"/>
      <c r="AF239" s="426"/>
      <c r="AG239" s="425"/>
      <c r="AH239" s="424"/>
      <c r="AI239" s="424"/>
      <c r="AJ239" s="425"/>
      <c r="AK239" s="426"/>
      <c r="AL239" s="426"/>
      <c r="AM239" s="425"/>
      <c r="AN239" s="424"/>
      <c r="AO239" s="424"/>
      <c r="AP239" s="425"/>
      <c r="AQ239" s="426"/>
      <c r="AR239" s="426"/>
      <c r="AS239" s="425"/>
      <c r="AT239" s="424"/>
      <c r="AU239" s="424"/>
      <c r="AV239" s="425"/>
      <c r="AW239" s="426"/>
      <c r="AX239" s="426"/>
      <c r="AY239" s="425"/>
      <c r="AZ239" s="424"/>
      <c r="BA239" s="424"/>
      <c r="BB239" s="425"/>
      <c r="BC239" s="426"/>
      <c r="BD239" s="426"/>
      <c r="BE239" s="425"/>
      <c r="BF239" s="424"/>
      <c r="BG239" s="424"/>
      <c r="BH239" s="425"/>
      <c r="BI239" s="426"/>
      <c r="BJ239" s="426"/>
      <c r="BK239" s="425"/>
      <c r="BL239" s="424"/>
      <c r="BM239" s="424"/>
      <c r="BN239" s="425"/>
      <c r="BO239" s="426"/>
      <c r="BP239" s="426"/>
      <c r="BQ239" s="425"/>
      <c r="BR239" s="424"/>
      <c r="BS239" s="424"/>
      <c r="BT239" s="425"/>
      <c r="BU239" s="426"/>
      <c r="BV239" s="426"/>
      <c r="BW239" s="425"/>
      <c r="BX239" s="424"/>
      <c r="BY239" s="424"/>
      <c r="BZ239" s="425"/>
      <c r="CA239" s="426"/>
      <c r="CB239" s="426"/>
      <c r="CC239" s="425"/>
      <c r="CD239" s="424"/>
      <c r="CE239" s="424"/>
      <c r="CF239" s="425"/>
      <c r="CG239" s="426"/>
      <c r="CH239" s="426"/>
      <c r="CI239" s="425"/>
      <c r="CJ239" s="424"/>
      <c r="CK239" s="424"/>
      <c r="CL239" s="425"/>
      <c r="CM239" s="426"/>
      <c r="CN239" s="426"/>
      <c r="CO239" s="425"/>
      <c r="CP239" s="424"/>
      <c r="CQ239" s="424"/>
      <c r="CR239" s="425"/>
      <c r="CS239" s="426"/>
      <c r="CT239" s="426"/>
      <c r="CU239" s="425"/>
      <c r="CV239" s="424"/>
      <c r="CW239" s="424"/>
      <c r="CX239" s="425"/>
      <c r="CY239" s="426"/>
      <c r="CZ239" s="426"/>
      <c r="DA239" s="425"/>
      <c r="DB239" s="424"/>
      <c r="DC239" s="424"/>
      <c r="DD239" s="425"/>
      <c r="DE239" s="426"/>
      <c r="DF239" s="426"/>
      <c r="DG239" s="425"/>
      <c r="DH239" s="424"/>
      <c r="DI239" s="424"/>
      <c r="DJ239" s="425"/>
      <c r="DK239" s="426"/>
      <c r="DL239" s="426"/>
      <c r="DM239" s="425"/>
      <c r="DN239" s="424"/>
      <c r="DO239" s="424"/>
      <c r="DP239" s="425"/>
      <c r="DQ239" s="426"/>
      <c r="DR239" s="426"/>
      <c r="DS239" s="425"/>
      <c r="DT239" s="424"/>
      <c r="DU239" s="424"/>
      <c r="DV239" s="425"/>
      <c r="DW239" s="426"/>
      <c r="DX239" s="426"/>
      <c r="DY239" s="425"/>
      <c r="DZ239" s="424"/>
      <c r="EA239" s="424"/>
    </row>
    <row r="240" spans="3:131">
      <c r="C240" s="200" t="s">
        <v>1022</v>
      </c>
      <c r="D240" s="439">
        <f t="shared" si="16"/>
        <v>0</v>
      </c>
      <c r="E240" s="200" t="s">
        <v>968</v>
      </c>
      <c r="F240" s="432">
        <f>'MF Unit Material'!Y415</f>
        <v>0</v>
      </c>
      <c r="G240" s="431">
        <f>'MF Unit Material'!Z415</f>
        <v>0</v>
      </c>
      <c r="H240" s="158">
        <f>'MF Unit Material'!AA415</f>
        <v>0</v>
      </c>
      <c r="I240" s="430">
        <f t="shared" si="17"/>
        <v>0</v>
      </c>
      <c r="J240" s="429">
        <f t="shared" si="12"/>
        <v>0</v>
      </c>
      <c r="K240" s="428">
        <f t="shared" si="13"/>
        <v>0</v>
      </c>
      <c r="L240" s="427"/>
      <c r="M240" s="426"/>
      <c r="N240" s="426"/>
      <c r="O240" s="425"/>
      <c r="P240" s="424"/>
      <c r="Q240" s="424"/>
      <c r="R240" s="425"/>
      <c r="S240" s="426"/>
      <c r="T240" s="426"/>
      <c r="U240" s="425"/>
      <c r="V240" s="424"/>
      <c r="W240" s="424"/>
      <c r="X240" s="425"/>
      <c r="Y240" s="426"/>
      <c r="Z240" s="426"/>
      <c r="AA240" s="425"/>
      <c r="AB240" s="424"/>
      <c r="AC240" s="424"/>
      <c r="AD240" s="425"/>
      <c r="AE240" s="426"/>
      <c r="AF240" s="426"/>
      <c r="AG240" s="425"/>
      <c r="AH240" s="424"/>
      <c r="AI240" s="424"/>
      <c r="AJ240" s="425"/>
      <c r="AK240" s="426"/>
      <c r="AL240" s="426"/>
      <c r="AM240" s="425"/>
      <c r="AN240" s="424"/>
      <c r="AO240" s="424"/>
      <c r="AP240" s="425"/>
      <c r="AQ240" s="426"/>
      <c r="AR240" s="426"/>
      <c r="AS240" s="425"/>
      <c r="AT240" s="424"/>
      <c r="AU240" s="424"/>
      <c r="AV240" s="425"/>
      <c r="AW240" s="426"/>
      <c r="AX240" s="426"/>
      <c r="AY240" s="425"/>
      <c r="AZ240" s="424"/>
      <c r="BA240" s="424"/>
      <c r="BB240" s="425"/>
      <c r="BC240" s="426"/>
      <c r="BD240" s="426"/>
      <c r="BE240" s="425"/>
      <c r="BF240" s="424"/>
      <c r="BG240" s="424"/>
      <c r="BH240" s="425"/>
      <c r="BI240" s="426"/>
      <c r="BJ240" s="426"/>
      <c r="BK240" s="425"/>
      <c r="BL240" s="424"/>
      <c r="BM240" s="424"/>
      <c r="BN240" s="425"/>
      <c r="BO240" s="426"/>
      <c r="BP240" s="426"/>
      <c r="BQ240" s="425"/>
      <c r="BR240" s="424"/>
      <c r="BS240" s="424"/>
      <c r="BT240" s="425"/>
      <c r="BU240" s="426"/>
      <c r="BV240" s="426"/>
      <c r="BW240" s="425"/>
      <c r="BX240" s="424"/>
      <c r="BY240" s="424"/>
      <c r="BZ240" s="425"/>
      <c r="CA240" s="426"/>
      <c r="CB240" s="426"/>
      <c r="CC240" s="425"/>
      <c r="CD240" s="424"/>
      <c r="CE240" s="424"/>
      <c r="CF240" s="425"/>
      <c r="CG240" s="426"/>
      <c r="CH240" s="426"/>
      <c r="CI240" s="425"/>
      <c r="CJ240" s="424"/>
      <c r="CK240" s="424"/>
      <c r="CL240" s="425"/>
      <c r="CM240" s="426"/>
      <c r="CN240" s="426"/>
      <c r="CO240" s="425"/>
      <c r="CP240" s="424"/>
      <c r="CQ240" s="424"/>
      <c r="CR240" s="425"/>
      <c r="CS240" s="426"/>
      <c r="CT240" s="426"/>
      <c r="CU240" s="425"/>
      <c r="CV240" s="424"/>
      <c r="CW240" s="424"/>
      <c r="CX240" s="425"/>
      <c r="CY240" s="426"/>
      <c r="CZ240" s="426"/>
      <c r="DA240" s="425"/>
      <c r="DB240" s="424"/>
      <c r="DC240" s="424"/>
      <c r="DD240" s="425"/>
      <c r="DE240" s="426"/>
      <c r="DF240" s="426"/>
      <c r="DG240" s="425"/>
      <c r="DH240" s="424"/>
      <c r="DI240" s="424"/>
      <c r="DJ240" s="425"/>
      <c r="DK240" s="426"/>
      <c r="DL240" s="426"/>
      <c r="DM240" s="425"/>
      <c r="DN240" s="424"/>
      <c r="DO240" s="424"/>
      <c r="DP240" s="425"/>
      <c r="DQ240" s="426"/>
      <c r="DR240" s="426"/>
      <c r="DS240" s="425"/>
      <c r="DT240" s="424"/>
      <c r="DU240" s="424"/>
      <c r="DV240" s="425"/>
      <c r="DW240" s="426"/>
      <c r="DX240" s="426"/>
      <c r="DY240" s="425"/>
      <c r="DZ240" s="424"/>
      <c r="EA240" s="424"/>
    </row>
    <row r="241" spans="2:131">
      <c r="C241" s="200" t="s">
        <v>1024</v>
      </c>
      <c r="D241" s="439">
        <f t="shared" si="16"/>
        <v>0</v>
      </c>
      <c r="E241" s="200" t="s">
        <v>968</v>
      </c>
      <c r="F241" s="432">
        <f>'MF Unit Material'!Y416</f>
        <v>0</v>
      </c>
      <c r="G241" s="431">
        <f>'MF Unit Material'!Z416</f>
        <v>0</v>
      </c>
      <c r="H241" s="158">
        <f>'MF Unit Material'!AA416</f>
        <v>0</v>
      </c>
      <c r="I241" s="430">
        <f t="shared" si="17"/>
        <v>0</v>
      </c>
      <c r="J241" s="429">
        <f t="shared" si="12"/>
        <v>0</v>
      </c>
      <c r="K241" s="428">
        <f t="shared" si="13"/>
        <v>0</v>
      </c>
      <c r="L241" s="427"/>
      <c r="M241" s="426"/>
      <c r="N241" s="426"/>
      <c r="O241" s="425"/>
      <c r="P241" s="424"/>
      <c r="Q241" s="424"/>
      <c r="R241" s="425"/>
      <c r="S241" s="426"/>
      <c r="T241" s="426"/>
      <c r="U241" s="425"/>
      <c r="V241" s="424"/>
      <c r="W241" s="424"/>
      <c r="X241" s="425"/>
      <c r="Y241" s="426"/>
      <c r="Z241" s="426"/>
      <c r="AA241" s="425"/>
      <c r="AB241" s="424"/>
      <c r="AC241" s="424"/>
      <c r="AD241" s="425"/>
      <c r="AE241" s="426"/>
      <c r="AF241" s="426"/>
      <c r="AG241" s="425"/>
      <c r="AH241" s="424"/>
      <c r="AI241" s="424"/>
      <c r="AJ241" s="425"/>
      <c r="AK241" s="426"/>
      <c r="AL241" s="426"/>
      <c r="AM241" s="425"/>
      <c r="AN241" s="424"/>
      <c r="AO241" s="424"/>
      <c r="AP241" s="425"/>
      <c r="AQ241" s="426"/>
      <c r="AR241" s="426"/>
      <c r="AS241" s="425"/>
      <c r="AT241" s="424"/>
      <c r="AU241" s="424"/>
      <c r="AV241" s="425"/>
      <c r="AW241" s="426"/>
      <c r="AX241" s="426"/>
      <c r="AY241" s="425"/>
      <c r="AZ241" s="424"/>
      <c r="BA241" s="424"/>
      <c r="BB241" s="425"/>
      <c r="BC241" s="426"/>
      <c r="BD241" s="426"/>
      <c r="BE241" s="425"/>
      <c r="BF241" s="424"/>
      <c r="BG241" s="424"/>
      <c r="BH241" s="425"/>
      <c r="BI241" s="426"/>
      <c r="BJ241" s="426"/>
      <c r="BK241" s="425"/>
      <c r="BL241" s="424"/>
      <c r="BM241" s="424"/>
      <c r="BN241" s="425"/>
      <c r="BO241" s="426"/>
      <c r="BP241" s="426"/>
      <c r="BQ241" s="425"/>
      <c r="BR241" s="424"/>
      <c r="BS241" s="424"/>
      <c r="BT241" s="425"/>
      <c r="BU241" s="426"/>
      <c r="BV241" s="426"/>
      <c r="BW241" s="425"/>
      <c r="BX241" s="424"/>
      <c r="BY241" s="424"/>
      <c r="BZ241" s="425"/>
      <c r="CA241" s="426"/>
      <c r="CB241" s="426"/>
      <c r="CC241" s="425"/>
      <c r="CD241" s="424"/>
      <c r="CE241" s="424"/>
      <c r="CF241" s="425"/>
      <c r="CG241" s="426"/>
      <c r="CH241" s="426"/>
      <c r="CI241" s="425"/>
      <c r="CJ241" s="424"/>
      <c r="CK241" s="424"/>
      <c r="CL241" s="425"/>
      <c r="CM241" s="426"/>
      <c r="CN241" s="426"/>
      <c r="CO241" s="425"/>
      <c r="CP241" s="424"/>
      <c r="CQ241" s="424"/>
      <c r="CR241" s="425"/>
      <c r="CS241" s="426"/>
      <c r="CT241" s="426"/>
      <c r="CU241" s="425"/>
      <c r="CV241" s="424"/>
      <c r="CW241" s="424"/>
      <c r="CX241" s="425"/>
      <c r="CY241" s="426"/>
      <c r="CZ241" s="426"/>
      <c r="DA241" s="425"/>
      <c r="DB241" s="424"/>
      <c r="DC241" s="424"/>
      <c r="DD241" s="425"/>
      <c r="DE241" s="426"/>
      <c r="DF241" s="426"/>
      <c r="DG241" s="425"/>
      <c r="DH241" s="424"/>
      <c r="DI241" s="424"/>
      <c r="DJ241" s="425"/>
      <c r="DK241" s="426"/>
      <c r="DL241" s="426"/>
      <c r="DM241" s="425"/>
      <c r="DN241" s="424"/>
      <c r="DO241" s="424"/>
      <c r="DP241" s="425"/>
      <c r="DQ241" s="426"/>
      <c r="DR241" s="426"/>
      <c r="DS241" s="425"/>
      <c r="DT241" s="424"/>
      <c r="DU241" s="424"/>
      <c r="DV241" s="425"/>
      <c r="DW241" s="426"/>
      <c r="DX241" s="426"/>
      <c r="DY241" s="425"/>
      <c r="DZ241" s="424"/>
      <c r="EA241" s="424"/>
    </row>
    <row r="242" spans="2:131">
      <c r="C242" s="200" t="s">
        <v>1025</v>
      </c>
      <c r="D242" s="439">
        <f t="shared" si="16"/>
        <v>0</v>
      </c>
      <c r="E242" s="200" t="s">
        <v>968</v>
      </c>
      <c r="F242" s="432">
        <f>'MF Unit Material'!Y417</f>
        <v>0</v>
      </c>
      <c r="G242" s="431">
        <f>'MF Unit Material'!Z417</f>
        <v>0</v>
      </c>
      <c r="H242" s="158">
        <f>'MF Unit Material'!AA417</f>
        <v>0</v>
      </c>
      <c r="I242" s="430">
        <f t="shared" si="17"/>
        <v>0</v>
      </c>
      <c r="J242" s="429">
        <f t="shared" si="12"/>
        <v>0</v>
      </c>
      <c r="K242" s="428">
        <f t="shared" si="13"/>
        <v>0</v>
      </c>
      <c r="L242" s="427"/>
      <c r="M242" s="426"/>
      <c r="N242" s="426"/>
      <c r="O242" s="425"/>
      <c r="P242" s="424"/>
      <c r="Q242" s="424"/>
      <c r="R242" s="425"/>
      <c r="S242" s="426"/>
      <c r="T242" s="426"/>
      <c r="U242" s="425"/>
      <c r="V242" s="424"/>
      <c r="W242" s="424"/>
      <c r="X242" s="425"/>
      <c r="Y242" s="426"/>
      <c r="Z242" s="426"/>
      <c r="AA242" s="425"/>
      <c r="AB242" s="424"/>
      <c r="AC242" s="424"/>
      <c r="AD242" s="425"/>
      <c r="AE242" s="426"/>
      <c r="AF242" s="426"/>
      <c r="AG242" s="425"/>
      <c r="AH242" s="424"/>
      <c r="AI242" s="424"/>
      <c r="AJ242" s="425"/>
      <c r="AK242" s="426"/>
      <c r="AL242" s="426"/>
      <c r="AM242" s="425"/>
      <c r="AN242" s="424"/>
      <c r="AO242" s="424"/>
      <c r="AP242" s="425"/>
      <c r="AQ242" s="426"/>
      <c r="AR242" s="426"/>
      <c r="AS242" s="425"/>
      <c r="AT242" s="424"/>
      <c r="AU242" s="424"/>
      <c r="AV242" s="425"/>
      <c r="AW242" s="426"/>
      <c r="AX242" s="426"/>
      <c r="AY242" s="425"/>
      <c r="AZ242" s="424"/>
      <c r="BA242" s="424"/>
      <c r="BB242" s="425"/>
      <c r="BC242" s="426"/>
      <c r="BD242" s="426"/>
      <c r="BE242" s="425"/>
      <c r="BF242" s="424"/>
      <c r="BG242" s="424"/>
      <c r="BH242" s="425"/>
      <c r="BI242" s="426"/>
      <c r="BJ242" s="426"/>
      <c r="BK242" s="425"/>
      <c r="BL242" s="424"/>
      <c r="BM242" s="424"/>
      <c r="BN242" s="425"/>
      <c r="BO242" s="426"/>
      <c r="BP242" s="426"/>
      <c r="BQ242" s="425"/>
      <c r="BR242" s="424"/>
      <c r="BS242" s="424"/>
      <c r="BT242" s="425"/>
      <c r="BU242" s="426"/>
      <c r="BV242" s="426"/>
      <c r="BW242" s="425"/>
      <c r="BX242" s="424"/>
      <c r="BY242" s="424"/>
      <c r="BZ242" s="425"/>
      <c r="CA242" s="426"/>
      <c r="CB242" s="426"/>
      <c r="CC242" s="425"/>
      <c r="CD242" s="424"/>
      <c r="CE242" s="424"/>
      <c r="CF242" s="425"/>
      <c r="CG242" s="426"/>
      <c r="CH242" s="426"/>
      <c r="CI242" s="425"/>
      <c r="CJ242" s="424"/>
      <c r="CK242" s="424"/>
      <c r="CL242" s="425"/>
      <c r="CM242" s="426"/>
      <c r="CN242" s="426"/>
      <c r="CO242" s="425"/>
      <c r="CP242" s="424"/>
      <c r="CQ242" s="424"/>
      <c r="CR242" s="425"/>
      <c r="CS242" s="426"/>
      <c r="CT242" s="426"/>
      <c r="CU242" s="425"/>
      <c r="CV242" s="424"/>
      <c r="CW242" s="424"/>
      <c r="CX242" s="425"/>
      <c r="CY242" s="426"/>
      <c r="CZ242" s="426"/>
      <c r="DA242" s="425"/>
      <c r="DB242" s="424"/>
      <c r="DC242" s="424"/>
      <c r="DD242" s="425"/>
      <c r="DE242" s="426"/>
      <c r="DF242" s="426"/>
      <c r="DG242" s="425"/>
      <c r="DH242" s="424"/>
      <c r="DI242" s="424"/>
      <c r="DJ242" s="425"/>
      <c r="DK242" s="426"/>
      <c r="DL242" s="426"/>
      <c r="DM242" s="425"/>
      <c r="DN242" s="424"/>
      <c r="DO242" s="424"/>
      <c r="DP242" s="425"/>
      <c r="DQ242" s="426"/>
      <c r="DR242" s="426"/>
      <c r="DS242" s="425"/>
      <c r="DT242" s="424"/>
      <c r="DU242" s="424"/>
      <c r="DV242" s="425"/>
      <c r="DW242" s="426"/>
      <c r="DX242" s="426"/>
      <c r="DY242" s="425"/>
      <c r="DZ242" s="424"/>
      <c r="EA242" s="424"/>
    </row>
    <row r="243" spans="2:131">
      <c r="C243" s="200" t="s">
        <v>1026</v>
      </c>
      <c r="D243" s="439">
        <f t="shared" si="16"/>
        <v>0</v>
      </c>
      <c r="E243" s="200" t="s">
        <v>968</v>
      </c>
      <c r="F243" s="432">
        <f>'MF Unit Material'!Y418</f>
        <v>0</v>
      </c>
      <c r="G243" s="431">
        <f>'MF Unit Material'!Z418</f>
        <v>0</v>
      </c>
      <c r="H243" s="158">
        <f>'MF Unit Material'!AA418</f>
        <v>0</v>
      </c>
      <c r="I243" s="430">
        <f t="shared" si="17"/>
        <v>0</v>
      </c>
      <c r="J243" s="429">
        <f t="shared" si="12"/>
        <v>0</v>
      </c>
      <c r="K243" s="428">
        <f t="shared" si="13"/>
        <v>0</v>
      </c>
      <c r="L243" s="427"/>
      <c r="M243" s="426"/>
      <c r="N243" s="426"/>
      <c r="O243" s="425"/>
      <c r="P243" s="424"/>
      <c r="Q243" s="424"/>
      <c r="R243" s="425"/>
      <c r="S243" s="426"/>
      <c r="T243" s="426"/>
      <c r="U243" s="425"/>
      <c r="V243" s="424"/>
      <c r="W243" s="424"/>
      <c r="X243" s="425"/>
      <c r="Y243" s="426"/>
      <c r="Z243" s="426"/>
      <c r="AA243" s="425"/>
      <c r="AB243" s="424"/>
      <c r="AC243" s="424"/>
      <c r="AD243" s="425"/>
      <c r="AE243" s="426"/>
      <c r="AF243" s="426"/>
      <c r="AG243" s="425"/>
      <c r="AH243" s="424"/>
      <c r="AI243" s="424"/>
      <c r="AJ243" s="425"/>
      <c r="AK243" s="426"/>
      <c r="AL243" s="426"/>
      <c r="AM243" s="425"/>
      <c r="AN243" s="424"/>
      <c r="AO243" s="424"/>
      <c r="AP243" s="425"/>
      <c r="AQ243" s="426"/>
      <c r="AR243" s="426"/>
      <c r="AS243" s="425"/>
      <c r="AT243" s="424"/>
      <c r="AU243" s="424"/>
      <c r="AV243" s="425"/>
      <c r="AW243" s="426"/>
      <c r="AX243" s="426"/>
      <c r="AY243" s="425"/>
      <c r="AZ243" s="424"/>
      <c r="BA243" s="424"/>
      <c r="BB243" s="425"/>
      <c r="BC243" s="426"/>
      <c r="BD243" s="426"/>
      <c r="BE243" s="425"/>
      <c r="BF243" s="424"/>
      <c r="BG243" s="424"/>
      <c r="BH243" s="425"/>
      <c r="BI243" s="426"/>
      <c r="BJ243" s="426"/>
      <c r="BK243" s="425"/>
      <c r="BL243" s="424"/>
      <c r="BM243" s="424"/>
      <c r="BN243" s="425"/>
      <c r="BO243" s="426"/>
      <c r="BP243" s="426"/>
      <c r="BQ243" s="425"/>
      <c r="BR243" s="424"/>
      <c r="BS243" s="424"/>
      <c r="BT243" s="425"/>
      <c r="BU243" s="426"/>
      <c r="BV243" s="426"/>
      <c r="BW243" s="425"/>
      <c r="BX243" s="424"/>
      <c r="BY243" s="424"/>
      <c r="BZ243" s="425"/>
      <c r="CA243" s="426"/>
      <c r="CB243" s="426"/>
      <c r="CC243" s="425"/>
      <c r="CD243" s="424"/>
      <c r="CE243" s="424"/>
      <c r="CF243" s="425"/>
      <c r="CG243" s="426"/>
      <c r="CH243" s="426"/>
      <c r="CI243" s="425"/>
      <c r="CJ243" s="424"/>
      <c r="CK243" s="424"/>
      <c r="CL243" s="425"/>
      <c r="CM243" s="426"/>
      <c r="CN243" s="426"/>
      <c r="CO243" s="425"/>
      <c r="CP243" s="424"/>
      <c r="CQ243" s="424"/>
      <c r="CR243" s="425"/>
      <c r="CS243" s="426"/>
      <c r="CT243" s="426"/>
      <c r="CU243" s="425"/>
      <c r="CV243" s="424"/>
      <c r="CW243" s="424"/>
      <c r="CX243" s="425"/>
      <c r="CY243" s="426"/>
      <c r="CZ243" s="426"/>
      <c r="DA243" s="425"/>
      <c r="DB243" s="424"/>
      <c r="DC243" s="424"/>
      <c r="DD243" s="425"/>
      <c r="DE243" s="426"/>
      <c r="DF243" s="426"/>
      <c r="DG243" s="425"/>
      <c r="DH243" s="424"/>
      <c r="DI243" s="424"/>
      <c r="DJ243" s="425"/>
      <c r="DK243" s="426"/>
      <c r="DL243" s="426"/>
      <c r="DM243" s="425"/>
      <c r="DN243" s="424"/>
      <c r="DO243" s="424"/>
      <c r="DP243" s="425"/>
      <c r="DQ243" s="426"/>
      <c r="DR243" s="426"/>
      <c r="DS243" s="425"/>
      <c r="DT243" s="424"/>
      <c r="DU243" s="424"/>
      <c r="DV243" s="425"/>
      <c r="DW243" s="426"/>
      <c r="DX243" s="426"/>
      <c r="DY243" s="425"/>
      <c r="DZ243" s="424"/>
      <c r="EA243" s="424"/>
    </row>
    <row r="244" spans="2:131">
      <c r="C244" s="200" t="s">
        <v>1027</v>
      </c>
      <c r="D244" s="439">
        <f t="shared" si="16"/>
        <v>0</v>
      </c>
      <c r="E244" s="200" t="s">
        <v>968</v>
      </c>
      <c r="F244" s="432">
        <f>'MF Unit Material'!Y419</f>
        <v>0</v>
      </c>
      <c r="G244" s="431">
        <f>'MF Unit Material'!Z419</f>
        <v>0</v>
      </c>
      <c r="H244" s="158">
        <f>'MF Unit Material'!AA419</f>
        <v>0</v>
      </c>
      <c r="I244" s="430">
        <f t="shared" si="17"/>
        <v>0</v>
      </c>
      <c r="J244" s="429">
        <f t="shared" si="12"/>
        <v>0</v>
      </c>
      <c r="K244" s="428">
        <f t="shared" si="13"/>
        <v>0</v>
      </c>
      <c r="L244" s="427"/>
      <c r="M244" s="426"/>
      <c r="N244" s="426"/>
      <c r="O244" s="425"/>
      <c r="P244" s="424"/>
      <c r="Q244" s="424"/>
      <c r="R244" s="425"/>
      <c r="S244" s="426"/>
      <c r="T244" s="426"/>
      <c r="U244" s="425"/>
      <c r="V244" s="424"/>
      <c r="W244" s="424"/>
      <c r="X244" s="425"/>
      <c r="Y244" s="426"/>
      <c r="Z244" s="426"/>
      <c r="AA244" s="425"/>
      <c r="AB244" s="424"/>
      <c r="AC244" s="424"/>
      <c r="AD244" s="425"/>
      <c r="AE244" s="426"/>
      <c r="AF244" s="426"/>
      <c r="AG244" s="425"/>
      <c r="AH244" s="424"/>
      <c r="AI244" s="424"/>
      <c r="AJ244" s="425"/>
      <c r="AK244" s="426"/>
      <c r="AL244" s="426"/>
      <c r="AM244" s="425"/>
      <c r="AN244" s="424"/>
      <c r="AO244" s="424"/>
      <c r="AP244" s="425"/>
      <c r="AQ244" s="426"/>
      <c r="AR244" s="426"/>
      <c r="AS244" s="425"/>
      <c r="AT244" s="424"/>
      <c r="AU244" s="424"/>
      <c r="AV244" s="425"/>
      <c r="AW244" s="426"/>
      <c r="AX244" s="426"/>
      <c r="AY244" s="425"/>
      <c r="AZ244" s="424"/>
      <c r="BA244" s="424"/>
      <c r="BB244" s="425"/>
      <c r="BC244" s="426"/>
      <c r="BD244" s="426"/>
      <c r="BE244" s="425"/>
      <c r="BF244" s="424"/>
      <c r="BG244" s="424"/>
      <c r="BH244" s="425"/>
      <c r="BI244" s="426"/>
      <c r="BJ244" s="426"/>
      <c r="BK244" s="425"/>
      <c r="BL244" s="424"/>
      <c r="BM244" s="424"/>
      <c r="BN244" s="425"/>
      <c r="BO244" s="426"/>
      <c r="BP244" s="426"/>
      <c r="BQ244" s="425"/>
      <c r="BR244" s="424"/>
      <c r="BS244" s="424"/>
      <c r="BT244" s="425"/>
      <c r="BU244" s="426"/>
      <c r="BV244" s="426"/>
      <c r="BW244" s="425"/>
      <c r="BX244" s="424"/>
      <c r="BY244" s="424"/>
      <c r="BZ244" s="425"/>
      <c r="CA244" s="426"/>
      <c r="CB244" s="426"/>
      <c r="CC244" s="425"/>
      <c r="CD244" s="424"/>
      <c r="CE244" s="424"/>
      <c r="CF244" s="425"/>
      <c r="CG244" s="426"/>
      <c r="CH244" s="426"/>
      <c r="CI244" s="425"/>
      <c r="CJ244" s="424"/>
      <c r="CK244" s="424"/>
      <c r="CL244" s="425"/>
      <c r="CM244" s="426"/>
      <c r="CN244" s="426"/>
      <c r="CO244" s="425"/>
      <c r="CP244" s="424"/>
      <c r="CQ244" s="424"/>
      <c r="CR244" s="425"/>
      <c r="CS244" s="426"/>
      <c r="CT244" s="426"/>
      <c r="CU244" s="425"/>
      <c r="CV244" s="424"/>
      <c r="CW244" s="424"/>
      <c r="CX244" s="425"/>
      <c r="CY244" s="426"/>
      <c r="CZ244" s="426"/>
      <c r="DA244" s="425"/>
      <c r="DB244" s="424"/>
      <c r="DC244" s="424"/>
      <c r="DD244" s="425"/>
      <c r="DE244" s="426"/>
      <c r="DF244" s="426"/>
      <c r="DG244" s="425"/>
      <c r="DH244" s="424"/>
      <c r="DI244" s="424"/>
      <c r="DJ244" s="425"/>
      <c r="DK244" s="426"/>
      <c r="DL244" s="426"/>
      <c r="DM244" s="425"/>
      <c r="DN244" s="424"/>
      <c r="DO244" s="424"/>
      <c r="DP244" s="425"/>
      <c r="DQ244" s="426"/>
      <c r="DR244" s="426"/>
      <c r="DS244" s="425"/>
      <c r="DT244" s="424"/>
      <c r="DU244" s="424"/>
      <c r="DV244" s="425"/>
      <c r="DW244" s="426"/>
      <c r="DX244" s="426"/>
      <c r="DY244" s="425"/>
      <c r="DZ244" s="424"/>
      <c r="EA244" s="424"/>
    </row>
    <row r="245" spans="2:131">
      <c r="C245" s="200" t="s">
        <v>1028</v>
      </c>
      <c r="D245" s="439">
        <f t="shared" si="16"/>
        <v>0</v>
      </c>
      <c r="E245" s="200" t="s">
        <v>968</v>
      </c>
      <c r="F245" s="432">
        <f>'MF Unit Material'!Y420</f>
        <v>0</v>
      </c>
      <c r="G245" s="431">
        <f>'MF Unit Material'!Z420</f>
        <v>0</v>
      </c>
      <c r="H245" s="158">
        <f>'MF Unit Material'!AA420</f>
        <v>0</v>
      </c>
      <c r="I245" s="430">
        <f t="shared" si="17"/>
        <v>0</v>
      </c>
      <c r="J245" s="429">
        <f t="shared" si="12"/>
        <v>0</v>
      </c>
      <c r="K245" s="428">
        <f t="shared" si="13"/>
        <v>0</v>
      </c>
      <c r="L245" s="427"/>
      <c r="M245" s="426"/>
      <c r="N245" s="426"/>
      <c r="O245" s="425"/>
      <c r="P245" s="424"/>
      <c r="Q245" s="424"/>
      <c r="R245" s="425"/>
      <c r="S245" s="426"/>
      <c r="T245" s="426"/>
      <c r="U245" s="425"/>
      <c r="V245" s="424"/>
      <c r="W245" s="424"/>
      <c r="X245" s="425"/>
      <c r="Y245" s="426"/>
      <c r="Z245" s="426"/>
      <c r="AA245" s="425"/>
      <c r="AB245" s="424"/>
      <c r="AC245" s="424"/>
      <c r="AD245" s="425"/>
      <c r="AE245" s="426"/>
      <c r="AF245" s="426"/>
      <c r="AG245" s="425"/>
      <c r="AH245" s="424"/>
      <c r="AI245" s="424"/>
      <c r="AJ245" s="425"/>
      <c r="AK245" s="426"/>
      <c r="AL245" s="426"/>
      <c r="AM245" s="425"/>
      <c r="AN245" s="424"/>
      <c r="AO245" s="424"/>
      <c r="AP245" s="425"/>
      <c r="AQ245" s="426"/>
      <c r="AR245" s="426"/>
      <c r="AS245" s="425"/>
      <c r="AT245" s="424"/>
      <c r="AU245" s="424"/>
      <c r="AV245" s="425"/>
      <c r="AW245" s="426"/>
      <c r="AX245" s="426"/>
      <c r="AY245" s="425"/>
      <c r="AZ245" s="424"/>
      <c r="BA245" s="424"/>
      <c r="BB245" s="425"/>
      <c r="BC245" s="426"/>
      <c r="BD245" s="426"/>
      <c r="BE245" s="425"/>
      <c r="BF245" s="424"/>
      <c r="BG245" s="424"/>
      <c r="BH245" s="425"/>
      <c r="BI245" s="426"/>
      <c r="BJ245" s="426"/>
      <c r="BK245" s="425"/>
      <c r="BL245" s="424"/>
      <c r="BM245" s="424"/>
      <c r="BN245" s="425"/>
      <c r="BO245" s="426"/>
      <c r="BP245" s="426"/>
      <c r="BQ245" s="425"/>
      <c r="BR245" s="424"/>
      <c r="BS245" s="424"/>
      <c r="BT245" s="425"/>
      <c r="BU245" s="426"/>
      <c r="BV245" s="426"/>
      <c r="BW245" s="425"/>
      <c r="BX245" s="424"/>
      <c r="BY245" s="424"/>
      <c r="BZ245" s="425"/>
      <c r="CA245" s="426"/>
      <c r="CB245" s="426"/>
      <c r="CC245" s="425"/>
      <c r="CD245" s="424"/>
      <c r="CE245" s="424"/>
      <c r="CF245" s="425"/>
      <c r="CG245" s="426"/>
      <c r="CH245" s="426"/>
      <c r="CI245" s="425"/>
      <c r="CJ245" s="424"/>
      <c r="CK245" s="424"/>
      <c r="CL245" s="425"/>
      <c r="CM245" s="426"/>
      <c r="CN245" s="426"/>
      <c r="CO245" s="425"/>
      <c r="CP245" s="424"/>
      <c r="CQ245" s="424"/>
      <c r="CR245" s="425"/>
      <c r="CS245" s="426"/>
      <c r="CT245" s="426"/>
      <c r="CU245" s="425"/>
      <c r="CV245" s="424"/>
      <c r="CW245" s="424"/>
      <c r="CX245" s="425"/>
      <c r="CY245" s="426"/>
      <c r="CZ245" s="426"/>
      <c r="DA245" s="425"/>
      <c r="DB245" s="424"/>
      <c r="DC245" s="424"/>
      <c r="DD245" s="425"/>
      <c r="DE245" s="426"/>
      <c r="DF245" s="426"/>
      <c r="DG245" s="425"/>
      <c r="DH245" s="424"/>
      <c r="DI245" s="424"/>
      <c r="DJ245" s="425"/>
      <c r="DK245" s="426"/>
      <c r="DL245" s="426"/>
      <c r="DM245" s="425"/>
      <c r="DN245" s="424"/>
      <c r="DO245" s="424"/>
      <c r="DP245" s="425"/>
      <c r="DQ245" s="426"/>
      <c r="DR245" s="426"/>
      <c r="DS245" s="425"/>
      <c r="DT245" s="424"/>
      <c r="DU245" s="424"/>
      <c r="DV245" s="425"/>
      <c r="DW245" s="426"/>
      <c r="DX245" s="426"/>
      <c r="DY245" s="425"/>
      <c r="DZ245" s="424"/>
      <c r="EA245" s="424"/>
    </row>
    <row r="246" spans="2:131">
      <c r="C246" s="200" t="s">
        <v>1029</v>
      </c>
      <c r="D246" s="439">
        <f t="shared" si="16"/>
        <v>0</v>
      </c>
      <c r="E246" s="200" t="s">
        <v>968</v>
      </c>
      <c r="F246" s="432">
        <f>'MF Unit Material'!Y421</f>
        <v>0</v>
      </c>
      <c r="G246" s="431">
        <f>'MF Unit Material'!Z421</f>
        <v>0</v>
      </c>
      <c r="H246" s="158">
        <f>'MF Unit Material'!AA421</f>
        <v>0</v>
      </c>
      <c r="I246" s="430">
        <f t="shared" si="17"/>
        <v>0</v>
      </c>
      <c r="J246" s="429">
        <f t="shared" si="12"/>
        <v>0</v>
      </c>
      <c r="K246" s="428">
        <f t="shared" si="13"/>
        <v>0</v>
      </c>
      <c r="L246" s="427"/>
      <c r="M246" s="426"/>
      <c r="N246" s="426"/>
      <c r="O246" s="425"/>
      <c r="P246" s="424"/>
      <c r="Q246" s="424"/>
      <c r="R246" s="425"/>
      <c r="S246" s="426"/>
      <c r="T246" s="426"/>
      <c r="U246" s="425"/>
      <c r="V246" s="424"/>
      <c r="W246" s="424"/>
      <c r="X246" s="425"/>
      <c r="Y246" s="426"/>
      <c r="Z246" s="426"/>
      <c r="AA246" s="425"/>
      <c r="AB246" s="424"/>
      <c r="AC246" s="424"/>
      <c r="AD246" s="425"/>
      <c r="AE246" s="426"/>
      <c r="AF246" s="426"/>
      <c r="AG246" s="425"/>
      <c r="AH246" s="424"/>
      <c r="AI246" s="424"/>
      <c r="AJ246" s="425"/>
      <c r="AK246" s="426"/>
      <c r="AL246" s="426"/>
      <c r="AM246" s="425"/>
      <c r="AN246" s="424"/>
      <c r="AO246" s="424"/>
      <c r="AP246" s="425"/>
      <c r="AQ246" s="426"/>
      <c r="AR246" s="426"/>
      <c r="AS246" s="425"/>
      <c r="AT246" s="424"/>
      <c r="AU246" s="424"/>
      <c r="AV246" s="425"/>
      <c r="AW246" s="426"/>
      <c r="AX246" s="426"/>
      <c r="AY246" s="425"/>
      <c r="AZ246" s="424"/>
      <c r="BA246" s="424"/>
      <c r="BB246" s="425"/>
      <c r="BC246" s="426"/>
      <c r="BD246" s="426"/>
      <c r="BE246" s="425"/>
      <c r="BF246" s="424"/>
      <c r="BG246" s="424"/>
      <c r="BH246" s="425"/>
      <c r="BI246" s="426"/>
      <c r="BJ246" s="426"/>
      <c r="BK246" s="425"/>
      <c r="BL246" s="424"/>
      <c r="BM246" s="424"/>
      <c r="BN246" s="425"/>
      <c r="BO246" s="426"/>
      <c r="BP246" s="426"/>
      <c r="BQ246" s="425"/>
      <c r="BR246" s="424"/>
      <c r="BS246" s="424"/>
      <c r="BT246" s="425"/>
      <c r="BU246" s="426"/>
      <c r="BV246" s="426"/>
      <c r="BW246" s="425"/>
      <c r="BX246" s="424"/>
      <c r="BY246" s="424"/>
      <c r="BZ246" s="425"/>
      <c r="CA246" s="426"/>
      <c r="CB246" s="426"/>
      <c r="CC246" s="425"/>
      <c r="CD246" s="424"/>
      <c r="CE246" s="424"/>
      <c r="CF246" s="425"/>
      <c r="CG246" s="426"/>
      <c r="CH246" s="426"/>
      <c r="CI246" s="425"/>
      <c r="CJ246" s="424"/>
      <c r="CK246" s="424"/>
      <c r="CL246" s="425"/>
      <c r="CM246" s="426"/>
      <c r="CN246" s="426"/>
      <c r="CO246" s="425"/>
      <c r="CP246" s="424"/>
      <c r="CQ246" s="424"/>
      <c r="CR246" s="425"/>
      <c r="CS246" s="426"/>
      <c r="CT246" s="426"/>
      <c r="CU246" s="425"/>
      <c r="CV246" s="424"/>
      <c r="CW246" s="424"/>
      <c r="CX246" s="425"/>
      <c r="CY246" s="426"/>
      <c r="CZ246" s="426"/>
      <c r="DA246" s="425"/>
      <c r="DB246" s="424"/>
      <c r="DC246" s="424"/>
      <c r="DD246" s="425"/>
      <c r="DE246" s="426"/>
      <c r="DF246" s="426"/>
      <c r="DG246" s="425"/>
      <c r="DH246" s="424"/>
      <c r="DI246" s="424"/>
      <c r="DJ246" s="425"/>
      <c r="DK246" s="426"/>
      <c r="DL246" s="426"/>
      <c r="DM246" s="425"/>
      <c r="DN246" s="424"/>
      <c r="DO246" s="424"/>
      <c r="DP246" s="425"/>
      <c r="DQ246" s="426"/>
      <c r="DR246" s="426"/>
      <c r="DS246" s="425"/>
      <c r="DT246" s="424"/>
      <c r="DU246" s="424"/>
      <c r="DV246" s="425"/>
      <c r="DW246" s="426"/>
      <c r="DX246" s="426"/>
      <c r="DY246" s="425"/>
      <c r="DZ246" s="424"/>
      <c r="EA246" s="424"/>
    </row>
    <row r="247" spans="2:131">
      <c r="C247" s="200" t="s">
        <v>1030</v>
      </c>
      <c r="D247" s="439">
        <f t="shared" si="16"/>
        <v>0</v>
      </c>
      <c r="E247" s="200" t="s">
        <v>968</v>
      </c>
      <c r="F247" s="432">
        <f>'MF Unit Material'!Y422</f>
        <v>0</v>
      </c>
      <c r="G247" s="431">
        <f>'MF Unit Material'!Z422</f>
        <v>0</v>
      </c>
      <c r="H247" s="158">
        <f>'MF Unit Material'!AA422</f>
        <v>0</v>
      </c>
      <c r="I247" s="430">
        <f t="shared" si="17"/>
        <v>0</v>
      </c>
      <c r="J247" s="429">
        <f t="shared" si="12"/>
        <v>0</v>
      </c>
      <c r="K247" s="428">
        <f t="shared" si="13"/>
        <v>0</v>
      </c>
      <c r="L247" s="427"/>
      <c r="M247" s="426"/>
      <c r="N247" s="426"/>
      <c r="O247" s="425"/>
      <c r="P247" s="424"/>
      <c r="Q247" s="424"/>
      <c r="R247" s="425"/>
      <c r="S247" s="426"/>
      <c r="T247" s="426"/>
      <c r="U247" s="425"/>
      <c r="V247" s="424"/>
      <c r="W247" s="424"/>
      <c r="X247" s="425"/>
      <c r="Y247" s="426"/>
      <c r="Z247" s="426"/>
      <c r="AA247" s="425"/>
      <c r="AB247" s="424"/>
      <c r="AC247" s="424"/>
      <c r="AD247" s="425"/>
      <c r="AE247" s="426"/>
      <c r="AF247" s="426"/>
      <c r="AG247" s="425"/>
      <c r="AH247" s="424"/>
      <c r="AI247" s="424"/>
      <c r="AJ247" s="425"/>
      <c r="AK247" s="426"/>
      <c r="AL247" s="426"/>
      <c r="AM247" s="425"/>
      <c r="AN247" s="424"/>
      <c r="AO247" s="424"/>
      <c r="AP247" s="425"/>
      <c r="AQ247" s="426"/>
      <c r="AR247" s="426"/>
      <c r="AS247" s="425"/>
      <c r="AT247" s="424"/>
      <c r="AU247" s="424"/>
      <c r="AV247" s="425"/>
      <c r="AW247" s="426"/>
      <c r="AX247" s="426"/>
      <c r="AY247" s="425"/>
      <c r="AZ247" s="424"/>
      <c r="BA247" s="424"/>
      <c r="BB247" s="425"/>
      <c r="BC247" s="426"/>
      <c r="BD247" s="426"/>
      <c r="BE247" s="425"/>
      <c r="BF247" s="424"/>
      <c r="BG247" s="424"/>
      <c r="BH247" s="425"/>
      <c r="BI247" s="426"/>
      <c r="BJ247" s="426"/>
      <c r="BK247" s="425"/>
      <c r="BL247" s="424"/>
      <c r="BM247" s="424"/>
      <c r="BN247" s="425"/>
      <c r="BO247" s="426"/>
      <c r="BP247" s="426"/>
      <c r="BQ247" s="425"/>
      <c r="BR247" s="424"/>
      <c r="BS247" s="424"/>
      <c r="BT247" s="425"/>
      <c r="BU247" s="426"/>
      <c r="BV247" s="426"/>
      <c r="BW247" s="425"/>
      <c r="BX247" s="424"/>
      <c r="BY247" s="424"/>
      <c r="BZ247" s="425"/>
      <c r="CA247" s="426"/>
      <c r="CB247" s="426"/>
      <c r="CC247" s="425"/>
      <c r="CD247" s="424"/>
      <c r="CE247" s="424"/>
      <c r="CF247" s="425"/>
      <c r="CG247" s="426"/>
      <c r="CH247" s="426"/>
      <c r="CI247" s="425"/>
      <c r="CJ247" s="424"/>
      <c r="CK247" s="424"/>
      <c r="CL247" s="425"/>
      <c r="CM247" s="426"/>
      <c r="CN247" s="426"/>
      <c r="CO247" s="425"/>
      <c r="CP247" s="424"/>
      <c r="CQ247" s="424"/>
      <c r="CR247" s="425"/>
      <c r="CS247" s="426"/>
      <c r="CT247" s="426"/>
      <c r="CU247" s="425"/>
      <c r="CV247" s="424"/>
      <c r="CW247" s="424"/>
      <c r="CX247" s="425"/>
      <c r="CY247" s="426"/>
      <c r="CZ247" s="426"/>
      <c r="DA247" s="425"/>
      <c r="DB247" s="424"/>
      <c r="DC247" s="424"/>
      <c r="DD247" s="425"/>
      <c r="DE247" s="426"/>
      <c r="DF247" s="426"/>
      <c r="DG247" s="425"/>
      <c r="DH247" s="424"/>
      <c r="DI247" s="424"/>
      <c r="DJ247" s="425"/>
      <c r="DK247" s="426"/>
      <c r="DL247" s="426"/>
      <c r="DM247" s="425"/>
      <c r="DN247" s="424"/>
      <c r="DO247" s="424"/>
      <c r="DP247" s="425"/>
      <c r="DQ247" s="426"/>
      <c r="DR247" s="426"/>
      <c r="DS247" s="425"/>
      <c r="DT247" s="424"/>
      <c r="DU247" s="424"/>
      <c r="DV247" s="425"/>
      <c r="DW247" s="426"/>
      <c r="DX247" s="426"/>
      <c r="DY247" s="425"/>
      <c r="DZ247" s="424"/>
      <c r="EA247" s="424"/>
    </row>
    <row r="248" spans="2:131">
      <c r="C248" s="200" t="s">
        <v>1031</v>
      </c>
      <c r="D248" s="439">
        <f t="shared" si="16"/>
        <v>0</v>
      </c>
      <c r="E248" s="200" t="s">
        <v>968</v>
      </c>
      <c r="F248" s="432">
        <f>'MF Unit Material'!Y423</f>
        <v>0</v>
      </c>
      <c r="G248" s="431">
        <f>'MF Unit Material'!Z423</f>
        <v>0</v>
      </c>
      <c r="H248" s="158">
        <f>'MF Unit Material'!AA423</f>
        <v>0</v>
      </c>
      <c r="I248" s="430">
        <f t="shared" si="17"/>
        <v>0</v>
      </c>
      <c r="J248" s="429">
        <f t="shared" si="12"/>
        <v>0</v>
      </c>
      <c r="K248" s="428">
        <f t="shared" si="13"/>
        <v>0</v>
      </c>
      <c r="L248" s="427"/>
      <c r="M248" s="426"/>
      <c r="N248" s="426"/>
      <c r="O248" s="425"/>
      <c r="P248" s="424"/>
      <c r="Q248" s="424"/>
      <c r="R248" s="425"/>
      <c r="S248" s="426"/>
      <c r="T248" s="426"/>
      <c r="U248" s="425"/>
      <c r="V248" s="424"/>
      <c r="W248" s="424"/>
      <c r="X248" s="425"/>
      <c r="Y248" s="426"/>
      <c r="Z248" s="426"/>
      <c r="AA248" s="425"/>
      <c r="AB248" s="424"/>
      <c r="AC248" s="424"/>
      <c r="AD248" s="425"/>
      <c r="AE248" s="426"/>
      <c r="AF248" s="426"/>
      <c r="AG248" s="425"/>
      <c r="AH248" s="424"/>
      <c r="AI248" s="424"/>
      <c r="AJ248" s="425"/>
      <c r="AK248" s="426"/>
      <c r="AL248" s="426"/>
      <c r="AM248" s="425"/>
      <c r="AN248" s="424"/>
      <c r="AO248" s="424"/>
      <c r="AP248" s="425"/>
      <c r="AQ248" s="426"/>
      <c r="AR248" s="426"/>
      <c r="AS248" s="425"/>
      <c r="AT248" s="424"/>
      <c r="AU248" s="424"/>
      <c r="AV248" s="425"/>
      <c r="AW248" s="426"/>
      <c r="AX248" s="426"/>
      <c r="AY248" s="425"/>
      <c r="AZ248" s="424"/>
      <c r="BA248" s="424"/>
      <c r="BB248" s="425"/>
      <c r="BC248" s="426"/>
      <c r="BD248" s="426"/>
      <c r="BE248" s="425"/>
      <c r="BF248" s="424"/>
      <c r="BG248" s="424"/>
      <c r="BH248" s="425"/>
      <c r="BI248" s="426"/>
      <c r="BJ248" s="426"/>
      <c r="BK248" s="425"/>
      <c r="BL248" s="424"/>
      <c r="BM248" s="424"/>
      <c r="BN248" s="425"/>
      <c r="BO248" s="426"/>
      <c r="BP248" s="426"/>
      <c r="BQ248" s="425"/>
      <c r="BR248" s="424"/>
      <c r="BS248" s="424"/>
      <c r="BT248" s="425"/>
      <c r="BU248" s="426"/>
      <c r="BV248" s="426"/>
      <c r="BW248" s="425"/>
      <c r="BX248" s="424"/>
      <c r="BY248" s="424"/>
      <c r="BZ248" s="425"/>
      <c r="CA248" s="426"/>
      <c r="CB248" s="426"/>
      <c r="CC248" s="425"/>
      <c r="CD248" s="424"/>
      <c r="CE248" s="424"/>
      <c r="CF248" s="425"/>
      <c r="CG248" s="426"/>
      <c r="CH248" s="426"/>
      <c r="CI248" s="425"/>
      <c r="CJ248" s="424"/>
      <c r="CK248" s="424"/>
      <c r="CL248" s="425"/>
      <c r="CM248" s="426"/>
      <c r="CN248" s="426"/>
      <c r="CO248" s="425"/>
      <c r="CP248" s="424"/>
      <c r="CQ248" s="424"/>
      <c r="CR248" s="425"/>
      <c r="CS248" s="426"/>
      <c r="CT248" s="426"/>
      <c r="CU248" s="425"/>
      <c r="CV248" s="424"/>
      <c r="CW248" s="424"/>
      <c r="CX248" s="425"/>
      <c r="CY248" s="426"/>
      <c r="CZ248" s="426"/>
      <c r="DA248" s="425"/>
      <c r="DB248" s="424"/>
      <c r="DC248" s="424"/>
      <c r="DD248" s="425"/>
      <c r="DE248" s="426"/>
      <c r="DF248" s="426"/>
      <c r="DG248" s="425"/>
      <c r="DH248" s="424"/>
      <c r="DI248" s="424"/>
      <c r="DJ248" s="425"/>
      <c r="DK248" s="426"/>
      <c r="DL248" s="426"/>
      <c r="DM248" s="425"/>
      <c r="DN248" s="424"/>
      <c r="DO248" s="424"/>
      <c r="DP248" s="425"/>
      <c r="DQ248" s="426"/>
      <c r="DR248" s="426"/>
      <c r="DS248" s="425"/>
      <c r="DT248" s="424"/>
      <c r="DU248" s="424"/>
      <c r="DV248" s="425"/>
      <c r="DW248" s="426"/>
      <c r="DX248" s="426"/>
      <c r="DY248" s="425"/>
      <c r="DZ248" s="424"/>
      <c r="EA248" s="424"/>
    </row>
    <row r="249" spans="2:131">
      <c r="C249" s="200" t="s">
        <v>1032</v>
      </c>
      <c r="D249" s="439">
        <f t="shared" si="16"/>
        <v>0</v>
      </c>
      <c r="E249" s="200" t="s">
        <v>968</v>
      </c>
      <c r="F249" s="432">
        <f>'MF Unit Material'!Y424</f>
        <v>0</v>
      </c>
      <c r="G249" s="431">
        <f>'MF Unit Material'!Z424</f>
        <v>0</v>
      </c>
      <c r="H249" s="158">
        <f>'MF Unit Material'!AA424</f>
        <v>0</v>
      </c>
      <c r="I249" s="430">
        <f t="shared" si="17"/>
        <v>0</v>
      </c>
      <c r="J249" s="429">
        <f t="shared" si="12"/>
        <v>0</v>
      </c>
      <c r="K249" s="428">
        <f t="shared" si="13"/>
        <v>0</v>
      </c>
      <c r="L249" s="427"/>
      <c r="M249" s="426"/>
      <c r="N249" s="426"/>
      <c r="O249" s="425"/>
      <c r="P249" s="424"/>
      <c r="Q249" s="424"/>
      <c r="R249" s="425"/>
      <c r="S249" s="426"/>
      <c r="T249" s="426"/>
      <c r="U249" s="425"/>
      <c r="V249" s="424"/>
      <c r="W249" s="424"/>
      <c r="X249" s="425"/>
      <c r="Y249" s="426"/>
      <c r="Z249" s="426"/>
      <c r="AA249" s="425"/>
      <c r="AB249" s="424"/>
      <c r="AC249" s="424"/>
      <c r="AD249" s="425"/>
      <c r="AE249" s="426"/>
      <c r="AF249" s="426"/>
      <c r="AG249" s="425"/>
      <c r="AH249" s="424"/>
      <c r="AI249" s="424"/>
      <c r="AJ249" s="425"/>
      <c r="AK249" s="426"/>
      <c r="AL249" s="426"/>
      <c r="AM249" s="425"/>
      <c r="AN249" s="424"/>
      <c r="AO249" s="424"/>
      <c r="AP249" s="425"/>
      <c r="AQ249" s="426"/>
      <c r="AR249" s="426"/>
      <c r="AS249" s="425"/>
      <c r="AT249" s="424"/>
      <c r="AU249" s="424"/>
      <c r="AV249" s="425"/>
      <c r="AW249" s="426"/>
      <c r="AX249" s="426"/>
      <c r="AY249" s="425"/>
      <c r="AZ249" s="424"/>
      <c r="BA249" s="424"/>
      <c r="BB249" s="425"/>
      <c r="BC249" s="426"/>
      <c r="BD249" s="426"/>
      <c r="BE249" s="425"/>
      <c r="BF249" s="424"/>
      <c r="BG249" s="424"/>
      <c r="BH249" s="425"/>
      <c r="BI249" s="426"/>
      <c r="BJ249" s="426"/>
      <c r="BK249" s="425"/>
      <c r="BL249" s="424"/>
      <c r="BM249" s="424"/>
      <c r="BN249" s="425"/>
      <c r="BO249" s="426"/>
      <c r="BP249" s="426"/>
      <c r="BQ249" s="425"/>
      <c r="BR249" s="424"/>
      <c r="BS249" s="424"/>
      <c r="BT249" s="425"/>
      <c r="BU249" s="426"/>
      <c r="BV249" s="426"/>
      <c r="BW249" s="425"/>
      <c r="BX249" s="424"/>
      <c r="BY249" s="424"/>
      <c r="BZ249" s="425"/>
      <c r="CA249" s="426"/>
      <c r="CB249" s="426"/>
      <c r="CC249" s="425"/>
      <c r="CD249" s="424"/>
      <c r="CE249" s="424"/>
      <c r="CF249" s="425"/>
      <c r="CG249" s="426"/>
      <c r="CH249" s="426"/>
      <c r="CI249" s="425"/>
      <c r="CJ249" s="424"/>
      <c r="CK249" s="424"/>
      <c r="CL249" s="425"/>
      <c r="CM249" s="426"/>
      <c r="CN249" s="426"/>
      <c r="CO249" s="425"/>
      <c r="CP249" s="424"/>
      <c r="CQ249" s="424"/>
      <c r="CR249" s="425"/>
      <c r="CS249" s="426"/>
      <c r="CT249" s="426"/>
      <c r="CU249" s="425"/>
      <c r="CV249" s="424"/>
      <c r="CW249" s="424"/>
      <c r="CX249" s="425"/>
      <c r="CY249" s="426"/>
      <c r="CZ249" s="426"/>
      <c r="DA249" s="425"/>
      <c r="DB249" s="424"/>
      <c r="DC249" s="424"/>
      <c r="DD249" s="425"/>
      <c r="DE249" s="426"/>
      <c r="DF249" s="426"/>
      <c r="DG249" s="425"/>
      <c r="DH249" s="424"/>
      <c r="DI249" s="424"/>
      <c r="DJ249" s="425"/>
      <c r="DK249" s="426"/>
      <c r="DL249" s="426"/>
      <c r="DM249" s="425"/>
      <c r="DN249" s="424"/>
      <c r="DO249" s="424"/>
      <c r="DP249" s="425"/>
      <c r="DQ249" s="426"/>
      <c r="DR249" s="426"/>
      <c r="DS249" s="425"/>
      <c r="DT249" s="424"/>
      <c r="DU249" s="424"/>
      <c r="DV249" s="425"/>
      <c r="DW249" s="426"/>
      <c r="DX249" s="426"/>
      <c r="DY249" s="425"/>
      <c r="DZ249" s="424"/>
      <c r="EA249" s="424"/>
    </row>
    <row r="250" spans="2:131">
      <c r="C250" s="423"/>
      <c r="D250" s="1"/>
      <c r="E250" s="16" t="s">
        <v>961</v>
      </c>
      <c r="F250" s="422">
        <f>'MF Unit Material'!Y426</f>
        <v>2052</v>
      </c>
      <c r="G250" s="421">
        <f>'MF Unit Material'!Z426</f>
        <v>0</v>
      </c>
      <c r="H250" s="420">
        <f>'MF Unit Material'!AA426</f>
        <v>25485.5</v>
      </c>
      <c r="I250" s="429"/>
      <c r="J250" s="429">
        <f t="shared" si="12"/>
        <v>0</v>
      </c>
      <c r="K250" s="428">
        <f t="shared" si="13"/>
        <v>0</v>
      </c>
      <c r="L250" s="427"/>
      <c r="M250" s="426"/>
      <c r="N250" s="426"/>
      <c r="O250" s="425"/>
      <c r="P250" s="424"/>
      <c r="Q250" s="424"/>
      <c r="R250" s="425"/>
      <c r="S250" s="426"/>
      <c r="T250" s="426"/>
      <c r="U250" s="425"/>
      <c r="V250" s="424"/>
      <c r="W250" s="424"/>
      <c r="X250" s="425"/>
      <c r="Y250" s="426"/>
      <c r="Z250" s="426"/>
      <c r="AA250" s="425"/>
      <c r="AB250" s="424"/>
      <c r="AC250" s="424"/>
      <c r="AD250" s="425"/>
      <c r="AE250" s="426"/>
      <c r="AF250" s="426"/>
      <c r="AG250" s="425"/>
      <c r="AH250" s="424"/>
      <c r="AI250" s="424"/>
      <c r="AJ250" s="425"/>
      <c r="AK250" s="426"/>
      <c r="AL250" s="426"/>
      <c r="AM250" s="425"/>
      <c r="AN250" s="424"/>
      <c r="AO250" s="424"/>
      <c r="AP250" s="425"/>
      <c r="AQ250" s="426"/>
      <c r="AR250" s="426"/>
      <c r="AS250" s="425"/>
      <c r="AT250" s="424"/>
      <c r="AU250" s="424"/>
      <c r="AV250" s="425"/>
      <c r="AW250" s="426"/>
      <c r="AX250" s="426"/>
      <c r="AY250" s="425"/>
      <c r="AZ250" s="424"/>
      <c r="BA250" s="424"/>
      <c r="BB250" s="425"/>
      <c r="BC250" s="426"/>
      <c r="BD250" s="426"/>
      <c r="BE250" s="425"/>
      <c r="BF250" s="424"/>
      <c r="BG250" s="424"/>
      <c r="BH250" s="425"/>
      <c r="BI250" s="426"/>
      <c r="BJ250" s="426"/>
      <c r="BK250" s="425"/>
      <c r="BL250" s="424"/>
      <c r="BM250" s="424"/>
      <c r="BN250" s="425"/>
      <c r="BO250" s="426"/>
      <c r="BP250" s="426"/>
      <c r="BQ250" s="425"/>
      <c r="BR250" s="424"/>
      <c r="BS250" s="424"/>
      <c r="BT250" s="425"/>
      <c r="BU250" s="426"/>
      <c r="BV250" s="426"/>
      <c r="BW250" s="425"/>
      <c r="BX250" s="424"/>
      <c r="BY250" s="424"/>
      <c r="BZ250" s="425"/>
      <c r="CA250" s="426"/>
      <c r="CB250" s="426"/>
      <c r="CC250" s="425"/>
      <c r="CD250" s="424"/>
      <c r="CE250" s="424"/>
      <c r="CF250" s="425"/>
      <c r="CG250" s="426"/>
      <c r="CH250" s="426"/>
      <c r="CI250" s="425"/>
      <c r="CJ250" s="424"/>
      <c r="CK250" s="424"/>
      <c r="CL250" s="425"/>
      <c r="CM250" s="426"/>
      <c r="CN250" s="426"/>
      <c r="CO250" s="425"/>
      <c r="CP250" s="424"/>
      <c r="CQ250" s="424"/>
      <c r="CR250" s="425"/>
      <c r="CS250" s="426"/>
      <c r="CT250" s="426"/>
      <c r="CU250" s="425"/>
      <c r="CV250" s="424"/>
      <c r="CW250" s="424"/>
      <c r="CX250" s="425"/>
      <c r="CY250" s="426"/>
      <c r="CZ250" s="426"/>
      <c r="DA250" s="425"/>
      <c r="DB250" s="424"/>
      <c r="DC250" s="424"/>
      <c r="DD250" s="425"/>
      <c r="DE250" s="426"/>
      <c r="DF250" s="426"/>
      <c r="DG250" s="425"/>
      <c r="DH250" s="424"/>
      <c r="DI250" s="424"/>
      <c r="DJ250" s="425"/>
      <c r="DK250" s="426"/>
      <c r="DL250" s="426"/>
      <c r="DM250" s="425"/>
      <c r="DN250" s="424"/>
      <c r="DO250" s="424"/>
      <c r="DP250" s="425"/>
      <c r="DQ250" s="426"/>
      <c r="DR250" s="426"/>
      <c r="DS250" s="425"/>
      <c r="DT250" s="424"/>
      <c r="DU250" s="424"/>
      <c r="DV250" s="425"/>
      <c r="DW250" s="426"/>
      <c r="DX250" s="426"/>
      <c r="DY250" s="425"/>
      <c r="DZ250" s="424"/>
      <c r="EA250" s="424"/>
    </row>
    <row r="251" spans="2:131">
      <c r="B251" s="438" t="s">
        <v>1081</v>
      </c>
      <c r="C251" s="96" t="s">
        <v>1082</v>
      </c>
      <c r="D251" s="65"/>
      <c r="E251" s="65"/>
      <c r="F251" s="437" t="s">
        <v>948</v>
      </c>
      <c r="G251" s="436" t="s">
        <v>949</v>
      </c>
      <c r="H251" s="412" t="s">
        <v>950</v>
      </c>
      <c r="I251" s="429"/>
      <c r="J251" s="429">
        <f t="shared" si="12"/>
        <v>0</v>
      </c>
      <c r="K251" s="428">
        <f t="shared" si="13"/>
        <v>0</v>
      </c>
      <c r="L251" s="427"/>
      <c r="M251" s="426"/>
      <c r="N251" s="426"/>
      <c r="O251" s="425"/>
      <c r="P251" s="424"/>
      <c r="Q251" s="424"/>
      <c r="R251" s="425"/>
      <c r="S251" s="426"/>
      <c r="T251" s="426"/>
      <c r="U251" s="425"/>
      <c r="V251" s="424"/>
      <c r="W251" s="424"/>
      <c r="X251" s="425"/>
      <c r="Y251" s="426"/>
      <c r="Z251" s="426"/>
      <c r="AA251" s="425"/>
      <c r="AB251" s="424"/>
      <c r="AC251" s="424"/>
      <c r="AD251" s="425"/>
      <c r="AE251" s="426"/>
      <c r="AF251" s="426"/>
      <c r="AG251" s="425"/>
      <c r="AH251" s="424"/>
      <c r="AI251" s="424"/>
      <c r="AJ251" s="425"/>
      <c r="AK251" s="426"/>
      <c r="AL251" s="426"/>
      <c r="AM251" s="425"/>
      <c r="AN251" s="424"/>
      <c r="AO251" s="424"/>
      <c r="AP251" s="425"/>
      <c r="AQ251" s="426"/>
      <c r="AR251" s="426"/>
      <c r="AS251" s="425"/>
      <c r="AT251" s="424"/>
      <c r="AU251" s="424"/>
      <c r="AV251" s="425"/>
      <c r="AW251" s="426"/>
      <c r="AX251" s="426"/>
      <c r="AY251" s="425"/>
      <c r="AZ251" s="424"/>
      <c r="BA251" s="424"/>
      <c r="BB251" s="425"/>
      <c r="BC251" s="426"/>
      <c r="BD251" s="426"/>
      <c r="BE251" s="425"/>
      <c r="BF251" s="424"/>
      <c r="BG251" s="424"/>
      <c r="BH251" s="425"/>
      <c r="BI251" s="426"/>
      <c r="BJ251" s="426"/>
      <c r="BK251" s="425"/>
      <c r="BL251" s="424"/>
      <c r="BM251" s="424"/>
      <c r="BN251" s="425"/>
      <c r="BO251" s="426"/>
      <c r="BP251" s="426"/>
      <c r="BQ251" s="425"/>
      <c r="BR251" s="424"/>
      <c r="BS251" s="424"/>
      <c r="BT251" s="425"/>
      <c r="BU251" s="426"/>
      <c r="BV251" s="426"/>
      <c r="BW251" s="425"/>
      <c r="BX251" s="424"/>
      <c r="BY251" s="424"/>
      <c r="BZ251" s="425"/>
      <c r="CA251" s="426"/>
      <c r="CB251" s="426"/>
      <c r="CC251" s="425"/>
      <c r="CD251" s="424"/>
      <c r="CE251" s="424"/>
      <c r="CF251" s="425"/>
      <c r="CG251" s="426"/>
      <c r="CH251" s="426"/>
      <c r="CI251" s="425"/>
      <c r="CJ251" s="424"/>
      <c r="CK251" s="424"/>
      <c r="CL251" s="425"/>
      <c r="CM251" s="426"/>
      <c r="CN251" s="426"/>
      <c r="CO251" s="425"/>
      <c r="CP251" s="424"/>
      <c r="CQ251" s="424"/>
      <c r="CR251" s="425"/>
      <c r="CS251" s="426"/>
      <c r="CT251" s="426"/>
      <c r="CU251" s="425"/>
      <c r="CV251" s="424"/>
      <c r="CW251" s="424"/>
      <c r="CX251" s="425"/>
      <c r="CY251" s="426"/>
      <c r="CZ251" s="426"/>
      <c r="DA251" s="425"/>
      <c r="DB251" s="424"/>
      <c r="DC251" s="424"/>
      <c r="DD251" s="425"/>
      <c r="DE251" s="426"/>
      <c r="DF251" s="426"/>
      <c r="DG251" s="425"/>
      <c r="DH251" s="424"/>
      <c r="DI251" s="424"/>
      <c r="DJ251" s="425"/>
      <c r="DK251" s="426"/>
      <c r="DL251" s="426"/>
      <c r="DM251" s="425"/>
      <c r="DN251" s="424"/>
      <c r="DO251" s="424"/>
      <c r="DP251" s="425"/>
      <c r="DQ251" s="426"/>
      <c r="DR251" s="426"/>
      <c r="DS251" s="425"/>
      <c r="DT251" s="424"/>
      <c r="DU251" s="424"/>
      <c r="DV251" s="425"/>
      <c r="DW251" s="426"/>
      <c r="DX251" s="426"/>
      <c r="DY251" s="425"/>
      <c r="DZ251" s="424"/>
      <c r="EA251" s="424"/>
    </row>
    <row r="252" spans="2:131">
      <c r="C252" s="435" t="str">
        <f>'MF Pricing'!C220</f>
        <v>Contingency</v>
      </c>
      <c r="D252" s="435"/>
      <c r="E252" s="198" t="s">
        <v>968</v>
      </c>
      <c r="F252" s="432">
        <f>'MF Unit Material'!Y432</f>
        <v>346</v>
      </c>
      <c r="G252" s="431">
        <f>'MF Unit Material'!Z432</f>
        <v>25</v>
      </c>
      <c r="H252" s="158">
        <f>'MF Unit Material'!AA432</f>
        <v>8650</v>
      </c>
      <c r="I252" s="430">
        <f t="shared" ref="I252:I257" si="18">F252-J252</f>
        <v>346</v>
      </c>
      <c r="J252" s="429">
        <f t="shared" si="12"/>
        <v>0</v>
      </c>
      <c r="K252" s="428">
        <f t="shared" si="13"/>
        <v>0</v>
      </c>
      <c r="L252" s="427"/>
      <c r="M252" s="426"/>
      <c r="N252" s="426"/>
      <c r="O252" s="425"/>
      <c r="P252" s="424"/>
      <c r="Q252" s="424"/>
      <c r="R252" s="425"/>
      <c r="S252" s="426"/>
      <c r="T252" s="426"/>
      <c r="U252" s="425"/>
      <c r="V252" s="424"/>
      <c r="W252" s="424"/>
      <c r="X252" s="425"/>
      <c r="Y252" s="426"/>
      <c r="Z252" s="426"/>
      <c r="AA252" s="425"/>
      <c r="AB252" s="424"/>
      <c r="AC252" s="424"/>
      <c r="AD252" s="425"/>
      <c r="AE252" s="426"/>
      <c r="AF252" s="426"/>
      <c r="AG252" s="425"/>
      <c r="AH252" s="424"/>
      <c r="AI252" s="424"/>
      <c r="AJ252" s="425"/>
      <c r="AK252" s="426"/>
      <c r="AL252" s="426"/>
      <c r="AM252" s="425"/>
      <c r="AN252" s="424"/>
      <c r="AO252" s="424"/>
      <c r="AP252" s="425"/>
      <c r="AQ252" s="426"/>
      <c r="AR252" s="426"/>
      <c r="AS252" s="425"/>
      <c r="AT252" s="424"/>
      <c r="AU252" s="424"/>
      <c r="AV252" s="425"/>
      <c r="AW252" s="426"/>
      <c r="AX252" s="426"/>
      <c r="AY252" s="425"/>
      <c r="AZ252" s="424"/>
      <c r="BA252" s="424"/>
      <c r="BB252" s="425"/>
      <c r="BC252" s="426"/>
      <c r="BD252" s="426"/>
      <c r="BE252" s="425"/>
      <c r="BF252" s="424"/>
      <c r="BG252" s="424"/>
      <c r="BH252" s="425"/>
      <c r="BI252" s="426"/>
      <c r="BJ252" s="426"/>
      <c r="BK252" s="425"/>
      <c r="BL252" s="424"/>
      <c r="BM252" s="424"/>
      <c r="BN252" s="425"/>
      <c r="BO252" s="426"/>
      <c r="BP252" s="426"/>
      <c r="BQ252" s="425"/>
      <c r="BR252" s="424"/>
      <c r="BS252" s="424"/>
      <c r="BT252" s="425"/>
      <c r="BU252" s="426"/>
      <c r="BV252" s="426"/>
      <c r="BW252" s="425"/>
      <c r="BX252" s="424"/>
      <c r="BY252" s="424"/>
      <c r="BZ252" s="425"/>
      <c r="CA252" s="426"/>
      <c r="CB252" s="426"/>
      <c r="CC252" s="425"/>
      <c r="CD252" s="424"/>
      <c r="CE252" s="424"/>
      <c r="CF252" s="425"/>
      <c r="CG252" s="426"/>
      <c r="CH252" s="426"/>
      <c r="CI252" s="425"/>
      <c r="CJ252" s="424"/>
      <c r="CK252" s="424"/>
      <c r="CL252" s="425"/>
      <c r="CM252" s="426"/>
      <c r="CN252" s="426"/>
      <c r="CO252" s="425"/>
      <c r="CP252" s="424"/>
      <c r="CQ252" s="424"/>
      <c r="CR252" s="425"/>
      <c r="CS252" s="426"/>
      <c r="CT252" s="426"/>
      <c r="CU252" s="425"/>
      <c r="CV252" s="424"/>
      <c r="CW252" s="424"/>
      <c r="CX252" s="425"/>
      <c r="CY252" s="426"/>
      <c r="CZ252" s="426"/>
      <c r="DA252" s="425"/>
      <c r="DB252" s="424"/>
      <c r="DC252" s="424"/>
      <c r="DD252" s="425"/>
      <c r="DE252" s="426"/>
      <c r="DF252" s="426"/>
      <c r="DG252" s="425"/>
      <c r="DH252" s="424"/>
      <c r="DI252" s="424"/>
      <c r="DJ252" s="425"/>
      <c r="DK252" s="426"/>
      <c r="DL252" s="426"/>
      <c r="DM252" s="425"/>
      <c r="DN252" s="424"/>
      <c r="DO252" s="424"/>
      <c r="DP252" s="425"/>
      <c r="DQ252" s="426"/>
      <c r="DR252" s="426"/>
      <c r="DS252" s="425"/>
      <c r="DT252" s="424"/>
      <c r="DU252" s="424"/>
      <c r="DV252" s="425"/>
      <c r="DW252" s="426"/>
      <c r="DX252" s="426"/>
      <c r="DY252" s="425"/>
      <c r="DZ252" s="424"/>
      <c r="EA252" s="424"/>
    </row>
    <row r="253" spans="2:131">
      <c r="C253" s="434">
        <f>'MF Pricing'!C221</f>
        <v>0</v>
      </c>
      <c r="D253" s="433"/>
      <c r="E253" s="200" t="s">
        <v>968</v>
      </c>
      <c r="F253" s="432">
        <f>'MF Unit Material'!Y433</f>
        <v>0</v>
      </c>
      <c r="G253" s="431">
        <f>'MF Unit Material'!Z433</f>
        <v>0</v>
      </c>
      <c r="H253" s="158">
        <f>'MF Unit Material'!AA433</f>
        <v>0</v>
      </c>
      <c r="I253" s="430">
        <f t="shared" si="18"/>
        <v>0</v>
      </c>
      <c r="J253" s="429">
        <f t="shared" si="12"/>
        <v>0</v>
      </c>
      <c r="K253" s="428">
        <f t="shared" si="13"/>
        <v>0</v>
      </c>
      <c r="L253" s="427"/>
      <c r="M253" s="426"/>
      <c r="N253" s="426"/>
      <c r="O253" s="425"/>
      <c r="P253" s="424"/>
      <c r="Q253" s="424"/>
      <c r="R253" s="425"/>
      <c r="S253" s="426"/>
      <c r="T253" s="426"/>
      <c r="U253" s="425"/>
      <c r="V253" s="424"/>
      <c r="W253" s="424"/>
      <c r="X253" s="425"/>
      <c r="Y253" s="426"/>
      <c r="Z253" s="426"/>
      <c r="AA253" s="425"/>
      <c r="AB253" s="424"/>
      <c r="AC253" s="424"/>
      <c r="AD253" s="425"/>
      <c r="AE253" s="426"/>
      <c r="AF253" s="426"/>
      <c r="AG253" s="425"/>
      <c r="AH253" s="424"/>
      <c r="AI253" s="424"/>
      <c r="AJ253" s="425"/>
      <c r="AK253" s="426"/>
      <c r="AL253" s="426"/>
      <c r="AM253" s="425"/>
      <c r="AN253" s="424"/>
      <c r="AO253" s="424"/>
      <c r="AP253" s="425"/>
      <c r="AQ253" s="426"/>
      <c r="AR253" s="426"/>
      <c r="AS253" s="425"/>
      <c r="AT253" s="424"/>
      <c r="AU253" s="424"/>
      <c r="AV253" s="425"/>
      <c r="AW253" s="426"/>
      <c r="AX253" s="426"/>
      <c r="AY253" s="425"/>
      <c r="AZ253" s="424"/>
      <c r="BA253" s="424"/>
      <c r="BB253" s="425"/>
      <c r="BC253" s="426"/>
      <c r="BD253" s="426"/>
      <c r="BE253" s="425"/>
      <c r="BF253" s="424"/>
      <c r="BG253" s="424"/>
      <c r="BH253" s="425"/>
      <c r="BI253" s="426"/>
      <c r="BJ253" s="426"/>
      <c r="BK253" s="425"/>
      <c r="BL253" s="424"/>
      <c r="BM253" s="424"/>
      <c r="BN253" s="425"/>
      <c r="BO253" s="426"/>
      <c r="BP253" s="426"/>
      <c r="BQ253" s="425"/>
      <c r="BR253" s="424"/>
      <c r="BS253" s="424"/>
      <c r="BT253" s="425"/>
      <c r="BU253" s="426"/>
      <c r="BV253" s="426"/>
      <c r="BW253" s="425"/>
      <c r="BX253" s="424"/>
      <c r="BY253" s="424"/>
      <c r="BZ253" s="425"/>
      <c r="CA253" s="426"/>
      <c r="CB253" s="426"/>
      <c r="CC253" s="425"/>
      <c r="CD253" s="424"/>
      <c r="CE253" s="424"/>
      <c r="CF253" s="425"/>
      <c r="CG253" s="426"/>
      <c r="CH253" s="426"/>
      <c r="CI253" s="425"/>
      <c r="CJ253" s="424"/>
      <c r="CK253" s="424"/>
      <c r="CL253" s="425"/>
      <c r="CM253" s="426"/>
      <c r="CN253" s="426"/>
      <c r="CO253" s="425"/>
      <c r="CP253" s="424"/>
      <c r="CQ253" s="424"/>
      <c r="CR253" s="425"/>
      <c r="CS253" s="426"/>
      <c r="CT253" s="426"/>
      <c r="CU253" s="425"/>
      <c r="CV253" s="424"/>
      <c r="CW253" s="424"/>
      <c r="CX253" s="425"/>
      <c r="CY253" s="426"/>
      <c r="CZ253" s="426"/>
      <c r="DA253" s="425"/>
      <c r="DB253" s="424"/>
      <c r="DC253" s="424"/>
      <c r="DD253" s="425"/>
      <c r="DE253" s="426"/>
      <c r="DF253" s="426"/>
      <c r="DG253" s="425"/>
      <c r="DH253" s="424"/>
      <c r="DI253" s="424"/>
      <c r="DJ253" s="425"/>
      <c r="DK253" s="426"/>
      <c r="DL253" s="426"/>
      <c r="DM253" s="425"/>
      <c r="DN253" s="424"/>
      <c r="DO253" s="424"/>
      <c r="DP253" s="425"/>
      <c r="DQ253" s="426"/>
      <c r="DR253" s="426"/>
      <c r="DS253" s="425"/>
      <c r="DT253" s="424"/>
      <c r="DU253" s="424"/>
      <c r="DV253" s="425"/>
      <c r="DW253" s="426"/>
      <c r="DX253" s="426"/>
      <c r="DY253" s="425"/>
      <c r="DZ253" s="424"/>
      <c r="EA253" s="424"/>
    </row>
    <row r="254" spans="2:131">
      <c r="C254" s="434">
        <f>'MF Pricing'!C222</f>
        <v>0</v>
      </c>
      <c r="D254" s="433"/>
      <c r="E254" s="200" t="s">
        <v>968</v>
      </c>
      <c r="F254" s="432">
        <f>'MF Unit Material'!Y434</f>
        <v>0</v>
      </c>
      <c r="G254" s="431">
        <f>'MF Unit Material'!Z434</f>
        <v>0</v>
      </c>
      <c r="H254" s="158">
        <f>'MF Unit Material'!AA434</f>
        <v>0</v>
      </c>
      <c r="I254" s="430">
        <f t="shared" si="18"/>
        <v>0</v>
      </c>
      <c r="J254" s="429">
        <f t="shared" si="12"/>
        <v>0</v>
      </c>
      <c r="K254" s="428">
        <f t="shared" si="13"/>
        <v>0</v>
      </c>
      <c r="L254" s="427"/>
      <c r="M254" s="426"/>
      <c r="N254" s="426"/>
      <c r="O254" s="425"/>
      <c r="P254" s="424"/>
      <c r="Q254" s="424"/>
      <c r="R254" s="425"/>
      <c r="S254" s="426"/>
      <c r="T254" s="426"/>
      <c r="U254" s="425"/>
      <c r="V254" s="424"/>
      <c r="W254" s="424"/>
      <c r="X254" s="425"/>
      <c r="Y254" s="426"/>
      <c r="Z254" s="426"/>
      <c r="AA254" s="425"/>
      <c r="AB254" s="424"/>
      <c r="AC254" s="424"/>
      <c r="AD254" s="425"/>
      <c r="AE254" s="426"/>
      <c r="AF254" s="426"/>
      <c r="AG254" s="425"/>
      <c r="AH254" s="424"/>
      <c r="AI254" s="424"/>
      <c r="AJ254" s="425"/>
      <c r="AK254" s="426"/>
      <c r="AL254" s="426"/>
      <c r="AM254" s="425"/>
      <c r="AN254" s="424"/>
      <c r="AO254" s="424"/>
      <c r="AP254" s="425"/>
      <c r="AQ254" s="426"/>
      <c r="AR254" s="426"/>
      <c r="AS254" s="425"/>
      <c r="AT254" s="424"/>
      <c r="AU254" s="424"/>
      <c r="AV254" s="425"/>
      <c r="AW254" s="426"/>
      <c r="AX254" s="426"/>
      <c r="AY254" s="425"/>
      <c r="AZ254" s="424"/>
      <c r="BA254" s="424"/>
      <c r="BB254" s="425"/>
      <c r="BC254" s="426"/>
      <c r="BD254" s="426"/>
      <c r="BE254" s="425"/>
      <c r="BF254" s="424"/>
      <c r="BG254" s="424"/>
      <c r="BH254" s="425"/>
      <c r="BI254" s="426"/>
      <c r="BJ254" s="426"/>
      <c r="BK254" s="425"/>
      <c r="BL254" s="424"/>
      <c r="BM254" s="424"/>
      <c r="BN254" s="425"/>
      <c r="BO254" s="426"/>
      <c r="BP254" s="426"/>
      <c r="BQ254" s="425"/>
      <c r="BR254" s="424"/>
      <c r="BS254" s="424"/>
      <c r="BT254" s="425"/>
      <c r="BU254" s="426"/>
      <c r="BV254" s="426"/>
      <c r="BW254" s="425"/>
      <c r="BX254" s="424"/>
      <c r="BY254" s="424"/>
      <c r="BZ254" s="425"/>
      <c r="CA254" s="426"/>
      <c r="CB254" s="426"/>
      <c r="CC254" s="425"/>
      <c r="CD254" s="424"/>
      <c r="CE254" s="424"/>
      <c r="CF254" s="425"/>
      <c r="CG254" s="426"/>
      <c r="CH254" s="426"/>
      <c r="CI254" s="425"/>
      <c r="CJ254" s="424"/>
      <c r="CK254" s="424"/>
      <c r="CL254" s="425"/>
      <c r="CM254" s="426"/>
      <c r="CN254" s="426"/>
      <c r="CO254" s="425"/>
      <c r="CP254" s="424"/>
      <c r="CQ254" s="424"/>
      <c r="CR254" s="425"/>
      <c r="CS254" s="426"/>
      <c r="CT254" s="426"/>
      <c r="CU254" s="425"/>
      <c r="CV254" s="424"/>
      <c r="CW254" s="424"/>
      <c r="CX254" s="425"/>
      <c r="CY254" s="426"/>
      <c r="CZ254" s="426"/>
      <c r="DA254" s="425"/>
      <c r="DB254" s="424"/>
      <c r="DC254" s="424"/>
      <c r="DD254" s="425"/>
      <c r="DE254" s="426"/>
      <c r="DF254" s="426"/>
      <c r="DG254" s="425"/>
      <c r="DH254" s="424"/>
      <c r="DI254" s="424"/>
      <c r="DJ254" s="425"/>
      <c r="DK254" s="426"/>
      <c r="DL254" s="426"/>
      <c r="DM254" s="425"/>
      <c r="DN254" s="424"/>
      <c r="DO254" s="424"/>
      <c r="DP254" s="425"/>
      <c r="DQ254" s="426"/>
      <c r="DR254" s="426"/>
      <c r="DS254" s="425"/>
      <c r="DT254" s="424"/>
      <c r="DU254" s="424"/>
      <c r="DV254" s="425"/>
      <c r="DW254" s="426"/>
      <c r="DX254" s="426"/>
      <c r="DY254" s="425"/>
      <c r="DZ254" s="424"/>
      <c r="EA254" s="424"/>
    </row>
    <row r="255" spans="2:131">
      <c r="C255" s="434">
        <f>'MF Pricing'!C223</f>
        <v>0</v>
      </c>
      <c r="D255" s="433"/>
      <c r="E255" s="200" t="s">
        <v>968</v>
      </c>
      <c r="F255" s="432">
        <f>'MF Unit Material'!Y435</f>
        <v>0</v>
      </c>
      <c r="G255" s="431">
        <f>'MF Unit Material'!Z435</f>
        <v>0</v>
      </c>
      <c r="H255" s="158">
        <f>'MF Unit Material'!AA435</f>
        <v>0</v>
      </c>
      <c r="I255" s="430">
        <f t="shared" si="18"/>
        <v>0</v>
      </c>
      <c r="J255" s="429">
        <f t="shared" si="12"/>
        <v>0</v>
      </c>
      <c r="K255" s="428">
        <f t="shared" si="13"/>
        <v>0</v>
      </c>
      <c r="L255" s="427"/>
      <c r="M255" s="426"/>
      <c r="N255" s="426"/>
      <c r="O255" s="425"/>
      <c r="P255" s="424"/>
      <c r="Q255" s="424"/>
      <c r="R255" s="425"/>
      <c r="S255" s="426"/>
      <c r="T255" s="426"/>
      <c r="U255" s="425"/>
      <c r="V255" s="424"/>
      <c r="W255" s="424"/>
      <c r="X255" s="425"/>
      <c r="Y255" s="426"/>
      <c r="Z255" s="426"/>
      <c r="AA255" s="425"/>
      <c r="AB255" s="424"/>
      <c r="AC255" s="424"/>
      <c r="AD255" s="425"/>
      <c r="AE255" s="426"/>
      <c r="AF255" s="426"/>
      <c r="AG255" s="425"/>
      <c r="AH255" s="424"/>
      <c r="AI255" s="424"/>
      <c r="AJ255" s="425"/>
      <c r="AK255" s="426"/>
      <c r="AL255" s="426"/>
      <c r="AM255" s="425"/>
      <c r="AN255" s="424"/>
      <c r="AO255" s="424"/>
      <c r="AP255" s="425"/>
      <c r="AQ255" s="426"/>
      <c r="AR255" s="426"/>
      <c r="AS255" s="425"/>
      <c r="AT255" s="424"/>
      <c r="AU255" s="424"/>
      <c r="AV255" s="425"/>
      <c r="AW255" s="426"/>
      <c r="AX255" s="426"/>
      <c r="AY255" s="425"/>
      <c r="AZ255" s="424"/>
      <c r="BA255" s="424"/>
      <c r="BB255" s="425"/>
      <c r="BC255" s="426"/>
      <c r="BD255" s="426"/>
      <c r="BE255" s="425"/>
      <c r="BF255" s="424"/>
      <c r="BG255" s="424"/>
      <c r="BH255" s="425"/>
      <c r="BI255" s="426"/>
      <c r="BJ255" s="426"/>
      <c r="BK255" s="425"/>
      <c r="BL255" s="424"/>
      <c r="BM255" s="424"/>
      <c r="BN255" s="425"/>
      <c r="BO255" s="426"/>
      <c r="BP255" s="426"/>
      <c r="BQ255" s="425"/>
      <c r="BR255" s="424"/>
      <c r="BS255" s="424"/>
      <c r="BT255" s="425"/>
      <c r="BU255" s="426"/>
      <c r="BV255" s="426"/>
      <c r="BW255" s="425"/>
      <c r="BX255" s="424"/>
      <c r="BY255" s="424"/>
      <c r="BZ255" s="425"/>
      <c r="CA255" s="426"/>
      <c r="CB255" s="426"/>
      <c r="CC255" s="425"/>
      <c r="CD255" s="424"/>
      <c r="CE255" s="424"/>
      <c r="CF255" s="425"/>
      <c r="CG255" s="426"/>
      <c r="CH255" s="426"/>
      <c r="CI255" s="425"/>
      <c r="CJ255" s="424"/>
      <c r="CK255" s="424"/>
      <c r="CL255" s="425"/>
      <c r="CM255" s="426"/>
      <c r="CN255" s="426"/>
      <c r="CO255" s="425"/>
      <c r="CP255" s="424"/>
      <c r="CQ255" s="424"/>
      <c r="CR255" s="425"/>
      <c r="CS255" s="426"/>
      <c r="CT255" s="426"/>
      <c r="CU255" s="425"/>
      <c r="CV255" s="424"/>
      <c r="CW255" s="424"/>
      <c r="CX255" s="425"/>
      <c r="CY255" s="426"/>
      <c r="CZ255" s="426"/>
      <c r="DA255" s="425"/>
      <c r="DB255" s="424"/>
      <c r="DC255" s="424"/>
      <c r="DD255" s="425"/>
      <c r="DE255" s="426"/>
      <c r="DF255" s="426"/>
      <c r="DG255" s="425"/>
      <c r="DH255" s="424"/>
      <c r="DI255" s="424"/>
      <c r="DJ255" s="425"/>
      <c r="DK255" s="426"/>
      <c r="DL255" s="426"/>
      <c r="DM255" s="425"/>
      <c r="DN255" s="424"/>
      <c r="DO255" s="424"/>
      <c r="DP255" s="425"/>
      <c r="DQ255" s="426"/>
      <c r="DR255" s="426"/>
      <c r="DS255" s="425"/>
      <c r="DT255" s="424"/>
      <c r="DU255" s="424"/>
      <c r="DV255" s="425"/>
      <c r="DW255" s="426"/>
      <c r="DX255" s="426"/>
      <c r="DY255" s="425"/>
      <c r="DZ255" s="424"/>
      <c r="EA255" s="424"/>
    </row>
    <row r="256" spans="2:131">
      <c r="C256" s="434">
        <f>'MF Pricing'!C224</f>
        <v>0</v>
      </c>
      <c r="D256" s="433"/>
      <c r="E256" s="200" t="s">
        <v>968</v>
      </c>
      <c r="F256" s="432">
        <f>'MF Unit Material'!Y436</f>
        <v>16</v>
      </c>
      <c r="G256" s="431">
        <f>'MF Unit Material'!Z436</f>
        <v>0</v>
      </c>
      <c r="H256" s="158">
        <f>'MF Unit Material'!AA436</f>
        <v>0</v>
      </c>
      <c r="I256" s="430">
        <f t="shared" si="18"/>
        <v>16</v>
      </c>
      <c r="J256" s="429">
        <f t="shared" si="12"/>
        <v>0</v>
      </c>
      <c r="K256" s="428">
        <f t="shared" si="13"/>
        <v>0</v>
      </c>
      <c r="L256" s="427"/>
      <c r="M256" s="426"/>
      <c r="N256" s="426"/>
      <c r="O256" s="425"/>
      <c r="P256" s="424"/>
      <c r="Q256" s="424"/>
      <c r="R256" s="425"/>
      <c r="S256" s="426"/>
      <c r="T256" s="426"/>
      <c r="U256" s="425"/>
      <c r="V256" s="424"/>
      <c r="W256" s="424"/>
      <c r="X256" s="425"/>
      <c r="Y256" s="426"/>
      <c r="Z256" s="426"/>
      <c r="AA256" s="425"/>
      <c r="AB256" s="424"/>
      <c r="AC256" s="424"/>
      <c r="AD256" s="425"/>
      <c r="AE256" s="426"/>
      <c r="AF256" s="426"/>
      <c r="AG256" s="425"/>
      <c r="AH256" s="424"/>
      <c r="AI256" s="424"/>
      <c r="AJ256" s="425"/>
      <c r="AK256" s="426"/>
      <c r="AL256" s="426"/>
      <c r="AM256" s="425"/>
      <c r="AN256" s="424"/>
      <c r="AO256" s="424"/>
      <c r="AP256" s="425"/>
      <c r="AQ256" s="426"/>
      <c r="AR256" s="426"/>
      <c r="AS256" s="425"/>
      <c r="AT256" s="424"/>
      <c r="AU256" s="424"/>
      <c r="AV256" s="425"/>
      <c r="AW256" s="426"/>
      <c r="AX256" s="426"/>
      <c r="AY256" s="425"/>
      <c r="AZ256" s="424"/>
      <c r="BA256" s="424"/>
      <c r="BB256" s="425"/>
      <c r="BC256" s="426"/>
      <c r="BD256" s="426"/>
      <c r="BE256" s="425"/>
      <c r="BF256" s="424"/>
      <c r="BG256" s="424"/>
      <c r="BH256" s="425"/>
      <c r="BI256" s="426"/>
      <c r="BJ256" s="426"/>
      <c r="BK256" s="425"/>
      <c r="BL256" s="424"/>
      <c r="BM256" s="424"/>
      <c r="BN256" s="425"/>
      <c r="BO256" s="426"/>
      <c r="BP256" s="426"/>
      <c r="BQ256" s="425"/>
      <c r="BR256" s="424"/>
      <c r="BS256" s="424"/>
      <c r="BT256" s="425"/>
      <c r="BU256" s="426"/>
      <c r="BV256" s="426"/>
      <c r="BW256" s="425"/>
      <c r="BX256" s="424"/>
      <c r="BY256" s="424"/>
      <c r="BZ256" s="425"/>
      <c r="CA256" s="426"/>
      <c r="CB256" s="426"/>
      <c r="CC256" s="425"/>
      <c r="CD256" s="424"/>
      <c r="CE256" s="424"/>
      <c r="CF256" s="425"/>
      <c r="CG256" s="426"/>
      <c r="CH256" s="426"/>
      <c r="CI256" s="425"/>
      <c r="CJ256" s="424"/>
      <c r="CK256" s="424"/>
      <c r="CL256" s="425"/>
      <c r="CM256" s="426"/>
      <c r="CN256" s="426"/>
      <c r="CO256" s="425"/>
      <c r="CP256" s="424"/>
      <c r="CQ256" s="424"/>
      <c r="CR256" s="425"/>
      <c r="CS256" s="426"/>
      <c r="CT256" s="426"/>
      <c r="CU256" s="425"/>
      <c r="CV256" s="424"/>
      <c r="CW256" s="424"/>
      <c r="CX256" s="425"/>
      <c r="CY256" s="426"/>
      <c r="CZ256" s="426"/>
      <c r="DA256" s="425"/>
      <c r="DB256" s="424"/>
      <c r="DC256" s="424"/>
      <c r="DD256" s="425"/>
      <c r="DE256" s="426"/>
      <c r="DF256" s="426"/>
      <c r="DG256" s="425"/>
      <c r="DH256" s="424"/>
      <c r="DI256" s="424"/>
      <c r="DJ256" s="425"/>
      <c r="DK256" s="426"/>
      <c r="DL256" s="426"/>
      <c r="DM256" s="425"/>
      <c r="DN256" s="424"/>
      <c r="DO256" s="424"/>
      <c r="DP256" s="425"/>
      <c r="DQ256" s="426"/>
      <c r="DR256" s="426"/>
      <c r="DS256" s="425"/>
      <c r="DT256" s="424"/>
      <c r="DU256" s="424"/>
      <c r="DV256" s="425"/>
      <c r="DW256" s="426"/>
      <c r="DX256" s="426"/>
      <c r="DY256" s="425"/>
      <c r="DZ256" s="424"/>
      <c r="EA256" s="424"/>
    </row>
    <row r="257" spans="3:131">
      <c r="C257" s="423"/>
      <c r="D257" s="1"/>
      <c r="E257" s="16" t="s">
        <v>961</v>
      </c>
      <c r="F257" s="422">
        <f>'MF Unit Material'!Y438</f>
        <v>362</v>
      </c>
      <c r="G257" s="421">
        <f>'MF Unit Material'!Z438</f>
        <v>0</v>
      </c>
      <c r="H257" s="420">
        <f>'MF Unit Material'!AA438</f>
        <v>8650</v>
      </c>
      <c r="I257" s="419">
        <f t="shared" si="18"/>
        <v>362</v>
      </c>
      <c r="J257" s="418">
        <f t="shared" si="12"/>
        <v>0</v>
      </c>
      <c r="K257" s="417">
        <f t="shared" si="13"/>
        <v>0</v>
      </c>
      <c r="L257" s="416"/>
      <c r="M257" s="415"/>
      <c r="N257" s="415"/>
      <c r="O257" s="414"/>
      <c r="P257" s="413"/>
      <c r="Q257" s="413"/>
      <c r="R257" s="414"/>
      <c r="S257" s="415"/>
      <c r="T257" s="415"/>
      <c r="U257" s="414"/>
      <c r="V257" s="413"/>
      <c r="W257" s="413"/>
      <c r="X257" s="414"/>
      <c r="Y257" s="415"/>
      <c r="Z257" s="415"/>
      <c r="AA257" s="414"/>
      <c r="AB257" s="413"/>
      <c r="AC257" s="413"/>
      <c r="AD257" s="414"/>
      <c r="AE257" s="415"/>
      <c r="AF257" s="415"/>
      <c r="AG257" s="414"/>
      <c r="AH257" s="413"/>
      <c r="AI257" s="413"/>
      <c r="AJ257" s="414"/>
      <c r="AK257" s="415"/>
      <c r="AL257" s="415"/>
      <c r="AM257" s="414"/>
      <c r="AN257" s="413"/>
      <c r="AO257" s="413"/>
      <c r="AP257" s="414"/>
      <c r="AQ257" s="415"/>
      <c r="AR257" s="415"/>
      <c r="AS257" s="414"/>
      <c r="AT257" s="413"/>
      <c r="AU257" s="413"/>
      <c r="AV257" s="414"/>
      <c r="AW257" s="415"/>
      <c r="AX257" s="415"/>
      <c r="AY257" s="414"/>
      <c r="AZ257" s="413"/>
      <c r="BA257" s="413"/>
      <c r="BB257" s="414"/>
      <c r="BC257" s="415"/>
      <c r="BD257" s="415"/>
      <c r="BE257" s="414"/>
      <c r="BF257" s="413"/>
      <c r="BG257" s="413"/>
      <c r="BH257" s="414"/>
      <c r="BI257" s="415"/>
      <c r="BJ257" s="415"/>
      <c r="BK257" s="414"/>
      <c r="BL257" s="413"/>
      <c r="BM257" s="413"/>
      <c r="BN257" s="414"/>
      <c r="BO257" s="415"/>
      <c r="BP257" s="415"/>
      <c r="BQ257" s="414"/>
      <c r="BR257" s="413"/>
      <c r="BS257" s="413"/>
      <c r="BT257" s="414"/>
      <c r="BU257" s="415"/>
      <c r="BV257" s="415"/>
      <c r="BW257" s="414"/>
      <c r="BX257" s="413"/>
      <c r="BY257" s="413"/>
      <c r="BZ257" s="414"/>
      <c r="CA257" s="415"/>
      <c r="CB257" s="415"/>
      <c r="CC257" s="414"/>
      <c r="CD257" s="413"/>
      <c r="CE257" s="413"/>
      <c r="CF257" s="414"/>
      <c r="CG257" s="415"/>
      <c r="CH257" s="415"/>
      <c r="CI257" s="414"/>
      <c r="CJ257" s="413"/>
      <c r="CK257" s="413"/>
      <c r="CL257" s="414"/>
      <c r="CM257" s="415"/>
      <c r="CN257" s="415"/>
      <c r="CO257" s="414"/>
      <c r="CP257" s="413"/>
      <c r="CQ257" s="413"/>
      <c r="CR257" s="414"/>
      <c r="CS257" s="415"/>
      <c r="CT257" s="415"/>
      <c r="CU257" s="414"/>
      <c r="CV257" s="413"/>
      <c r="CW257" s="413"/>
      <c r="CX257" s="414"/>
      <c r="CY257" s="415"/>
      <c r="CZ257" s="415"/>
      <c r="DA257" s="414"/>
      <c r="DB257" s="413"/>
      <c r="DC257" s="413"/>
      <c r="DD257" s="414"/>
      <c r="DE257" s="415"/>
      <c r="DF257" s="415"/>
      <c r="DG257" s="414"/>
      <c r="DH257" s="413"/>
      <c r="DI257" s="413"/>
      <c r="DJ257" s="414"/>
      <c r="DK257" s="415"/>
      <c r="DL257" s="415"/>
      <c r="DM257" s="414"/>
      <c r="DN257" s="413"/>
      <c r="DO257" s="413"/>
      <c r="DP257" s="414"/>
      <c r="DQ257" s="415"/>
      <c r="DR257" s="415"/>
      <c r="DS257" s="414"/>
      <c r="DT257" s="413"/>
      <c r="DU257" s="413"/>
      <c r="DV257" s="414"/>
      <c r="DW257" s="415"/>
      <c r="DX257" s="415"/>
      <c r="DY257" s="414"/>
      <c r="DZ257" s="413"/>
      <c r="EA257" s="413"/>
    </row>
    <row r="258" spans="3:131">
      <c r="H258" s="412">
        <f ca="1">H257+H250+H233+H216+H199+H186+H183+H180+H177+H171+H169+H157+H144+H141+H124+H123+H118+H115+H112+H109+H106+H103+H100+H97+H94+H91+H88+H85+H82+H79+H76+H73+H70+H67+H64+H61+H58+H55+H52+H49+H46+H43+H40+H37+H34+H31+H28+H25+H22+H19+H16+H12</f>
        <v>1033925.3425504761</v>
      </c>
      <c r="I258" s="411"/>
      <c r="K258" s="410">
        <f>SUM(K5:K257)</f>
        <v>0</v>
      </c>
    </row>
    <row r="269" spans="3:131">
      <c r="J269" s="409"/>
      <c r="K269" s="408"/>
    </row>
    <row r="270" spans="3:131">
      <c r="J270" s="409"/>
      <c r="K270" s="408"/>
    </row>
  </sheetData>
  <mergeCells count="2">
    <mergeCell ref="D4:E4"/>
    <mergeCell ref="J3:K3"/>
  </mergeCells>
  <conditionalFormatting sqref="G190 G192:G193 G196 G198">
    <cfRule type="cellIs" dxfId="214" priority="50" operator="equal">
      <formula>0</formula>
    </cfRule>
  </conditionalFormatting>
  <conditionalFormatting sqref="G5:H11 I5:I257 J5:K267">
    <cfRule type="cellIs" dxfId="213" priority="51" operator="equal">
      <formula>0</formula>
    </cfRule>
  </conditionalFormatting>
  <conditionalFormatting sqref="G14:H15">
    <cfRule type="cellIs" dxfId="212" priority="49" operator="equal">
      <formula>0</formula>
    </cfRule>
  </conditionalFormatting>
  <conditionalFormatting sqref="H18">
    <cfRule type="cellIs" dxfId="211" priority="48" operator="equal">
      <formula>0</formula>
    </cfRule>
  </conditionalFormatting>
  <conditionalFormatting sqref="H21">
    <cfRule type="cellIs" dxfId="210" priority="47" operator="equal">
      <formula>0</formula>
    </cfRule>
  </conditionalFormatting>
  <conditionalFormatting sqref="H24">
    <cfRule type="cellIs" dxfId="209" priority="46" operator="equal">
      <formula>0</formula>
    </cfRule>
  </conditionalFormatting>
  <conditionalFormatting sqref="H27">
    <cfRule type="cellIs" dxfId="208" priority="45" operator="equal">
      <formula>0</formula>
    </cfRule>
  </conditionalFormatting>
  <conditionalFormatting sqref="H30">
    <cfRule type="cellIs" dxfId="207" priority="44" operator="equal">
      <formula>0</formula>
    </cfRule>
  </conditionalFormatting>
  <conditionalFormatting sqref="H33">
    <cfRule type="cellIs" dxfId="206" priority="43" operator="equal">
      <formula>0</formula>
    </cfRule>
  </conditionalFormatting>
  <conditionalFormatting sqref="H36">
    <cfRule type="cellIs" dxfId="205" priority="42" operator="equal">
      <formula>0</formula>
    </cfRule>
  </conditionalFormatting>
  <conditionalFormatting sqref="H39">
    <cfRule type="cellIs" dxfId="204" priority="41" operator="equal">
      <formula>0</formula>
    </cfRule>
  </conditionalFormatting>
  <conditionalFormatting sqref="H42">
    <cfRule type="cellIs" dxfId="203" priority="40" operator="equal">
      <formula>0</formula>
    </cfRule>
  </conditionalFormatting>
  <conditionalFormatting sqref="H45">
    <cfRule type="cellIs" dxfId="202" priority="39" operator="equal">
      <formula>0</formula>
    </cfRule>
  </conditionalFormatting>
  <conditionalFormatting sqref="H48">
    <cfRule type="cellIs" dxfId="201" priority="38" operator="equal">
      <formula>0</formula>
    </cfRule>
  </conditionalFormatting>
  <conditionalFormatting sqref="H51">
    <cfRule type="cellIs" dxfId="200" priority="37" operator="equal">
      <formula>0</formula>
    </cfRule>
  </conditionalFormatting>
  <conditionalFormatting sqref="H54">
    <cfRule type="cellIs" dxfId="199" priority="36" operator="equal">
      <formula>0</formula>
    </cfRule>
  </conditionalFormatting>
  <conditionalFormatting sqref="H57">
    <cfRule type="cellIs" dxfId="198" priority="35" operator="equal">
      <formula>0</formula>
    </cfRule>
  </conditionalFormatting>
  <conditionalFormatting sqref="H60">
    <cfRule type="cellIs" dxfId="197" priority="34" operator="equal">
      <formula>0</formula>
    </cfRule>
  </conditionalFormatting>
  <conditionalFormatting sqref="H63">
    <cfRule type="cellIs" dxfId="196" priority="33" operator="equal">
      <formula>0</formula>
    </cfRule>
  </conditionalFormatting>
  <conditionalFormatting sqref="H66">
    <cfRule type="cellIs" dxfId="195" priority="32" operator="equal">
      <formula>0</formula>
    </cfRule>
  </conditionalFormatting>
  <conditionalFormatting sqref="H69">
    <cfRule type="cellIs" dxfId="194" priority="31" operator="equal">
      <formula>0</formula>
    </cfRule>
  </conditionalFormatting>
  <conditionalFormatting sqref="H72">
    <cfRule type="cellIs" dxfId="193" priority="30" operator="equal">
      <formula>0</formula>
    </cfRule>
  </conditionalFormatting>
  <conditionalFormatting sqref="H75">
    <cfRule type="cellIs" dxfId="192" priority="29" operator="equal">
      <formula>0</formula>
    </cfRule>
  </conditionalFormatting>
  <conditionalFormatting sqref="H78">
    <cfRule type="cellIs" dxfId="191" priority="28" operator="equal">
      <formula>0</formula>
    </cfRule>
  </conditionalFormatting>
  <conditionalFormatting sqref="H81">
    <cfRule type="cellIs" dxfId="190" priority="27" operator="equal">
      <formula>0</formula>
    </cfRule>
  </conditionalFormatting>
  <conditionalFormatting sqref="H84">
    <cfRule type="cellIs" dxfId="189" priority="26" operator="equal">
      <formula>0</formula>
    </cfRule>
  </conditionalFormatting>
  <conditionalFormatting sqref="H87">
    <cfRule type="cellIs" dxfId="188" priority="25" operator="equal">
      <formula>0</formula>
    </cfRule>
  </conditionalFormatting>
  <conditionalFormatting sqref="H90">
    <cfRule type="cellIs" dxfId="187" priority="24" operator="equal">
      <formula>0</formula>
    </cfRule>
  </conditionalFormatting>
  <conditionalFormatting sqref="H93">
    <cfRule type="cellIs" dxfId="186" priority="23" operator="equal">
      <formula>0</formula>
    </cfRule>
  </conditionalFormatting>
  <conditionalFormatting sqref="H96">
    <cfRule type="cellIs" dxfId="185" priority="22" operator="equal">
      <formula>0</formula>
    </cfRule>
  </conditionalFormatting>
  <conditionalFormatting sqref="H99">
    <cfRule type="cellIs" dxfId="184" priority="21" operator="equal">
      <formula>0</formula>
    </cfRule>
  </conditionalFormatting>
  <conditionalFormatting sqref="H102">
    <cfRule type="cellIs" dxfId="183" priority="20" operator="equal">
      <formula>0</formula>
    </cfRule>
  </conditionalFormatting>
  <conditionalFormatting sqref="H105">
    <cfRule type="cellIs" dxfId="182" priority="19" operator="equal">
      <formula>0</formula>
    </cfRule>
  </conditionalFormatting>
  <conditionalFormatting sqref="H108">
    <cfRule type="cellIs" dxfId="181" priority="18" operator="equal">
      <formula>0</formula>
    </cfRule>
  </conditionalFormatting>
  <conditionalFormatting sqref="H111">
    <cfRule type="cellIs" dxfId="180" priority="17" operator="equal">
      <formula>0</formula>
    </cfRule>
  </conditionalFormatting>
  <conditionalFormatting sqref="H114">
    <cfRule type="cellIs" dxfId="179" priority="16" operator="equal">
      <formula>0</formula>
    </cfRule>
  </conditionalFormatting>
  <conditionalFormatting sqref="H117">
    <cfRule type="cellIs" dxfId="178" priority="15" operator="equal">
      <formula>0</formula>
    </cfRule>
  </conditionalFormatting>
  <conditionalFormatting sqref="H120:H122">
    <cfRule type="cellIs" dxfId="177" priority="14" operator="equal">
      <formula>0</formula>
    </cfRule>
  </conditionalFormatting>
  <conditionalFormatting sqref="H126:H140">
    <cfRule type="cellIs" dxfId="176" priority="13" operator="equal">
      <formula>0</formula>
    </cfRule>
  </conditionalFormatting>
  <conditionalFormatting sqref="H143">
    <cfRule type="cellIs" dxfId="175" priority="12" operator="equal">
      <formula>0</formula>
    </cfRule>
  </conditionalFormatting>
  <conditionalFormatting sqref="H171">
    <cfRule type="cellIs" dxfId="174" priority="11" operator="equal">
      <formula>0</formula>
    </cfRule>
  </conditionalFormatting>
  <conditionalFormatting sqref="H173">
    <cfRule type="cellIs" dxfId="173" priority="10" operator="equal">
      <formula>0</formula>
    </cfRule>
  </conditionalFormatting>
  <conditionalFormatting sqref="H176">
    <cfRule type="cellIs" dxfId="172" priority="9" operator="equal">
      <formula>0</formula>
    </cfRule>
  </conditionalFormatting>
  <conditionalFormatting sqref="H179">
    <cfRule type="cellIs" dxfId="171" priority="8" operator="equal">
      <formula>0</formula>
    </cfRule>
  </conditionalFormatting>
  <conditionalFormatting sqref="H182">
    <cfRule type="cellIs" dxfId="170" priority="7" operator="equal">
      <formula>0</formula>
    </cfRule>
  </conditionalFormatting>
  <conditionalFormatting sqref="H185">
    <cfRule type="cellIs" dxfId="169" priority="6" operator="equal">
      <formula>0</formula>
    </cfRule>
  </conditionalFormatting>
  <conditionalFormatting sqref="H188:H198">
    <cfRule type="cellIs" dxfId="168" priority="5" operator="equal">
      <formula>0</formula>
    </cfRule>
  </conditionalFormatting>
  <conditionalFormatting sqref="H201:H215">
    <cfRule type="cellIs" dxfId="167" priority="4" operator="equal">
      <formula>0</formula>
    </cfRule>
  </conditionalFormatting>
  <conditionalFormatting sqref="H218:H232">
    <cfRule type="cellIs" dxfId="166" priority="3" operator="equal">
      <formula>0</formula>
    </cfRule>
  </conditionalFormatting>
  <conditionalFormatting sqref="H235:H249">
    <cfRule type="cellIs" dxfId="165" priority="2" operator="equal">
      <formula>0</formula>
    </cfRule>
  </conditionalFormatting>
  <conditionalFormatting sqref="H252:H256">
    <cfRule type="cellIs" dxfId="164" priority="1" operator="equal">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3AF58BBA-29F8-4E98-8BD8-2673300732FE}">
          <x14:formula1>
            <xm:f>'MF Pricing'!$D$98:$D$120</xm:f>
          </x14:formula1>
          <xm:sqref>D126</xm:sqref>
        </x14:dataValidation>
        <x14:dataValidation type="list" allowBlank="1" showInputMessage="1" showErrorMessage="1" xr:uid="{7C5FE845-6C9A-47C5-B079-EEBAD711A819}">
          <x14:formula1>
            <xm:f>'MF Pricing'!$D$172:$D$186</xm:f>
          </x14:formula1>
          <xm:sqref>D201:D215</xm:sqref>
        </x14:dataValidation>
        <x14:dataValidation type="list" allowBlank="1" showInputMessage="1" showErrorMessage="1" xr:uid="{840F7D22-CA51-4E30-A833-1C2577F7DCB0}">
          <x14:formula1>
            <xm:f>'MF Pricing'!$D$188:$D$202</xm:f>
          </x14:formula1>
          <xm:sqref>D218:D232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77903-8CEF-4C86-AFD3-393A0B5947F1}">
  <sheetPr>
    <tabColor theme="8" tint="0.39997558519241921"/>
  </sheetPr>
  <dimension ref="B2:AE58"/>
  <sheetViews>
    <sheetView showGridLines="0" zoomScale="75" zoomScaleNormal="75" workbookViewId="0"/>
  </sheetViews>
  <sheetFormatPr defaultRowHeight="15"/>
  <cols>
    <col min="1" max="1" width="2.140625" customWidth="1"/>
  </cols>
  <sheetData>
    <row r="2" spans="2:23" ht="17.25">
      <c r="B2" s="524" t="s">
        <v>1083</v>
      </c>
      <c r="C2" s="932" t="str">
        <f>[2]Summary!B1</f>
        <v>[MultiFamily Project]</v>
      </c>
      <c r="D2" s="932"/>
      <c r="E2" s="932"/>
      <c r="F2" s="932"/>
      <c r="G2" s="932"/>
      <c r="S2" s="523" t="s">
        <v>1084</v>
      </c>
      <c r="T2" s="522"/>
      <c r="U2" s="522"/>
      <c r="V2" s="522"/>
    </row>
    <row r="4" spans="2:23">
      <c r="D4" s="934" t="s">
        <v>1085</v>
      </c>
      <c r="E4" s="936"/>
      <c r="F4" s="936"/>
      <c r="G4" s="936"/>
      <c r="H4" s="936"/>
      <c r="I4" s="936"/>
      <c r="J4" s="936"/>
      <c r="K4" s="936"/>
      <c r="L4" s="936"/>
      <c r="M4" s="936"/>
      <c r="N4" s="936"/>
      <c r="O4" s="936"/>
      <c r="P4" s="936"/>
      <c r="Q4" s="936"/>
      <c r="R4" s="936"/>
      <c r="S4" s="936"/>
      <c r="T4" s="936"/>
      <c r="U4" s="936"/>
      <c r="V4" s="935"/>
    </row>
    <row r="5" spans="2:23">
      <c r="B5" s="101" t="s">
        <v>1086</v>
      </c>
      <c r="C5" s="101" t="s">
        <v>24</v>
      </c>
      <c r="D5" s="521" t="s">
        <v>1087</v>
      </c>
      <c r="E5" s="521" t="s">
        <v>1088</v>
      </c>
      <c r="F5" s="521" t="s">
        <v>1089</v>
      </c>
      <c r="G5" s="521" t="s">
        <v>1090</v>
      </c>
      <c r="H5" s="521" t="s">
        <v>1091</v>
      </c>
      <c r="I5" s="521" t="s">
        <v>1092</v>
      </c>
      <c r="J5" s="521" t="s">
        <v>1093</v>
      </c>
      <c r="K5" s="521" t="s">
        <v>1094</v>
      </c>
      <c r="L5" s="521" t="s">
        <v>1095</v>
      </c>
      <c r="M5" s="521" t="s">
        <v>1096</v>
      </c>
      <c r="N5" s="521" t="s">
        <v>1097</v>
      </c>
      <c r="O5" s="521" t="s">
        <v>1098</v>
      </c>
      <c r="P5" s="521" t="s">
        <v>1099</v>
      </c>
      <c r="Q5" s="521" t="s">
        <v>1100</v>
      </c>
      <c r="R5" s="521" t="s">
        <v>1101</v>
      </c>
      <c r="S5" s="521" t="s">
        <v>1102</v>
      </c>
      <c r="T5" s="521">
        <v>17</v>
      </c>
      <c r="U5" s="521">
        <v>18</v>
      </c>
      <c r="V5" s="521">
        <v>19</v>
      </c>
      <c r="W5" s="1" t="s">
        <v>135</v>
      </c>
    </row>
    <row r="6" spans="2:23">
      <c r="B6" s="520">
        <v>1</v>
      </c>
      <c r="C6" s="460" t="s">
        <v>992</v>
      </c>
      <c r="D6" s="519">
        <v>2</v>
      </c>
      <c r="E6" s="518">
        <v>4</v>
      </c>
      <c r="F6" s="518">
        <v>2</v>
      </c>
      <c r="G6" s="518">
        <v>5</v>
      </c>
      <c r="H6" s="518">
        <v>12</v>
      </c>
      <c r="I6" s="518">
        <v>2</v>
      </c>
      <c r="J6" s="518">
        <v>6</v>
      </c>
      <c r="K6" s="518">
        <v>4</v>
      </c>
      <c r="L6" s="518">
        <v>8</v>
      </c>
      <c r="M6" s="518">
        <v>16</v>
      </c>
      <c r="N6" s="518">
        <v>12</v>
      </c>
      <c r="O6" s="518">
        <v>4</v>
      </c>
      <c r="P6" s="518">
        <v>6</v>
      </c>
      <c r="Q6" s="518">
        <v>2</v>
      </c>
      <c r="R6" s="518">
        <v>2</v>
      </c>
      <c r="S6" s="518">
        <v>3</v>
      </c>
      <c r="T6" s="518"/>
      <c r="U6" s="518"/>
      <c r="V6" s="517"/>
      <c r="W6" s="516">
        <f t="shared" ref="W6:W30" si="0">SUM(D6:V6)</f>
        <v>90</v>
      </c>
    </row>
    <row r="7" spans="2:23">
      <c r="B7" s="509">
        <f>B6</f>
        <v>1</v>
      </c>
      <c r="C7" s="515" t="s">
        <v>1103</v>
      </c>
      <c r="D7" s="513">
        <v>6</v>
      </c>
      <c r="E7" s="512">
        <v>12</v>
      </c>
      <c r="F7" s="512">
        <v>6</v>
      </c>
      <c r="G7" s="512">
        <v>14</v>
      </c>
      <c r="H7" s="512">
        <v>36</v>
      </c>
      <c r="I7" s="512">
        <v>2</v>
      </c>
      <c r="J7" s="512">
        <v>18</v>
      </c>
      <c r="K7" s="512">
        <v>6</v>
      </c>
      <c r="L7" s="512">
        <v>24</v>
      </c>
      <c r="M7" s="512">
        <v>48</v>
      </c>
      <c r="N7" s="512">
        <v>34</v>
      </c>
      <c r="O7" s="512">
        <v>12</v>
      </c>
      <c r="P7" s="512">
        <v>18</v>
      </c>
      <c r="Q7" s="512">
        <v>6</v>
      </c>
      <c r="R7" s="512">
        <v>6</v>
      </c>
      <c r="S7" s="512">
        <v>8</v>
      </c>
      <c r="T7" s="512"/>
      <c r="U7" s="512"/>
      <c r="V7" s="511"/>
      <c r="W7" s="510">
        <f t="shared" si="0"/>
        <v>256</v>
      </c>
    </row>
    <row r="8" spans="2:23">
      <c r="B8" s="514">
        <v>2</v>
      </c>
      <c r="C8" s="459" t="s">
        <v>992</v>
      </c>
      <c r="D8" s="513"/>
      <c r="E8" s="512"/>
      <c r="F8" s="512"/>
      <c r="G8" s="512"/>
      <c r="H8" s="512"/>
      <c r="I8" s="512"/>
      <c r="J8" s="512"/>
      <c r="K8" s="512"/>
      <c r="L8" s="512"/>
      <c r="M8" s="512"/>
      <c r="N8" s="512"/>
      <c r="O8" s="512"/>
      <c r="P8" s="512"/>
      <c r="Q8" s="512"/>
      <c r="R8" s="512"/>
      <c r="S8" s="512"/>
      <c r="T8" s="512"/>
      <c r="U8" s="512"/>
      <c r="V8" s="511"/>
      <c r="W8" s="510">
        <f t="shared" si="0"/>
        <v>0</v>
      </c>
    </row>
    <row r="9" spans="2:23">
      <c r="B9" s="509">
        <f>B8</f>
        <v>2</v>
      </c>
      <c r="C9" s="515" t="s">
        <v>1103</v>
      </c>
      <c r="D9" s="513"/>
      <c r="E9" s="512"/>
      <c r="F9" s="512"/>
      <c r="G9" s="512"/>
      <c r="H9" s="512"/>
      <c r="I9" s="512"/>
      <c r="J9" s="512"/>
      <c r="K9" s="512"/>
      <c r="L9" s="512"/>
      <c r="M9" s="512"/>
      <c r="N9" s="512"/>
      <c r="O9" s="512"/>
      <c r="P9" s="512"/>
      <c r="Q9" s="512"/>
      <c r="R9" s="512"/>
      <c r="S9" s="512"/>
      <c r="T9" s="512"/>
      <c r="U9" s="512"/>
      <c r="V9" s="511"/>
      <c r="W9" s="510">
        <f t="shared" si="0"/>
        <v>0</v>
      </c>
    </row>
    <row r="10" spans="2:23">
      <c r="B10" s="514">
        <v>3</v>
      </c>
      <c r="C10" s="459" t="s">
        <v>992</v>
      </c>
      <c r="D10" s="513"/>
      <c r="E10" s="512"/>
      <c r="F10" s="512"/>
      <c r="G10" s="512"/>
      <c r="H10" s="512"/>
      <c r="I10" s="512"/>
      <c r="J10" s="512"/>
      <c r="K10" s="512"/>
      <c r="L10" s="512"/>
      <c r="M10" s="512"/>
      <c r="N10" s="512"/>
      <c r="O10" s="512"/>
      <c r="P10" s="512"/>
      <c r="Q10" s="512"/>
      <c r="R10" s="512"/>
      <c r="S10" s="512"/>
      <c r="T10" s="512"/>
      <c r="U10" s="512"/>
      <c r="V10" s="511"/>
      <c r="W10" s="510">
        <f t="shared" si="0"/>
        <v>0</v>
      </c>
    </row>
    <row r="11" spans="2:23">
      <c r="B11" s="509">
        <f>B10</f>
        <v>3</v>
      </c>
      <c r="C11" s="515" t="s">
        <v>1103</v>
      </c>
      <c r="D11" s="513"/>
      <c r="E11" s="512"/>
      <c r="F11" s="512"/>
      <c r="G11" s="512"/>
      <c r="H11" s="512"/>
      <c r="I11" s="512"/>
      <c r="J11" s="512"/>
      <c r="K11" s="512"/>
      <c r="L11" s="512"/>
      <c r="M11" s="512"/>
      <c r="N11" s="512"/>
      <c r="O11" s="512"/>
      <c r="P11" s="512"/>
      <c r="Q11" s="512"/>
      <c r="R11" s="512"/>
      <c r="S11" s="512"/>
      <c r="T11" s="512"/>
      <c r="U11" s="512"/>
      <c r="V11" s="511"/>
      <c r="W11" s="510">
        <f t="shared" si="0"/>
        <v>0</v>
      </c>
    </row>
    <row r="12" spans="2:23">
      <c r="B12" s="514">
        <v>4</v>
      </c>
      <c r="C12" s="459" t="s">
        <v>992</v>
      </c>
      <c r="D12" s="513"/>
      <c r="E12" s="512"/>
      <c r="F12" s="512"/>
      <c r="G12" s="512"/>
      <c r="H12" s="512"/>
      <c r="I12" s="512"/>
      <c r="J12" s="512"/>
      <c r="K12" s="512"/>
      <c r="L12" s="512"/>
      <c r="M12" s="512"/>
      <c r="N12" s="512"/>
      <c r="O12" s="512"/>
      <c r="P12" s="512"/>
      <c r="Q12" s="512"/>
      <c r="R12" s="512"/>
      <c r="S12" s="512"/>
      <c r="T12" s="512"/>
      <c r="U12" s="512"/>
      <c r="V12" s="511"/>
      <c r="W12" s="510">
        <f t="shared" si="0"/>
        <v>0</v>
      </c>
    </row>
    <row r="13" spans="2:23">
      <c r="B13" s="509">
        <f>B12</f>
        <v>4</v>
      </c>
      <c r="C13" s="515" t="s">
        <v>1103</v>
      </c>
      <c r="D13" s="513"/>
      <c r="E13" s="512"/>
      <c r="F13" s="512"/>
      <c r="G13" s="512"/>
      <c r="H13" s="512"/>
      <c r="I13" s="512"/>
      <c r="J13" s="512"/>
      <c r="K13" s="512"/>
      <c r="L13" s="512"/>
      <c r="M13" s="512"/>
      <c r="N13" s="512"/>
      <c r="O13" s="512"/>
      <c r="P13" s="512"/>
      <c r="Q13" s="512"/>
      <c r="R13" s="512"/>
      <c r="S13" s="512"/>
      <c r="T13" s="512"/>
      <c r="U13" s="512"/>
      <c r="V13" s="511"/>
      <c r="W13" s="510">
        <f t="shared" si="0"/>
        <v>0</v>
      </c>
    </row>
    <row r="14" spans="2:23">
      <c r="B14" s="514">
        <v>5</v>
      </c>
      <c r="C14" s="459" t="s">
        <v>992</v>
      </c>
      <c r="D14" s="513"/>
      <c r="E14" s="512"/>
      <c r="F14" s="512"/>
      <c r="G14" s="512"/>
      <c r="H14" s="512"/>
      <c r="I14" s="512"/>
      <c r="J14" s="512"/>
      <c r="K14" s="512"/>
      <c r="L14" s="512"/>
      <c r="M14" s="512"/>
      <c r="N14" s="512"/>
      <c r="O14" s="512"/>
      <c r="P14" s="512"/>
      <c r="Q14" s="512"/>
      <c r="R14" s="512"/>
      <c r="S14" s="512"/>
      <c r="T14" s="512"/>
      <c r="U14" s="512"/>
      <c r="V14" s="511"/>
      <c r="W14" s="510">
        <f t="shared" si="0"/>
        <v>0</v>
      </c>
    </row>
    <row r="15" spans="2:23">
      <c r="B15" s="509">
        <f>B14</f>
        <v>5</v>
      </c>
      <c r="C15" s="515" t="s">
        <v>1103</v>
      </c>
      <c r="D15" s="513"/>
      <c r="E15" s="512"/>
      <c r="F15" s="512"/>
      <c r="G15" s="512"/>
      <c r="H15" s="512"/>
      <c r="I15" s="512"/>
      <c r="J15" s="512"/>
      <c r="K15" s="512"/>
      <c r="L15" s="512"/>
      <c r="M15" s="512"/>
      <c r="N15" s="512"/>
      <c r="O15" s="512"/>
      <c r="P15" s="512"/>
      <c r="Q15" s="512"/>
      <c r="R15" s="512"/>
      <c r="S15" s="512"/>
      <c r="T15" s="512"/>
      <c r="U15" s="512"/>
      <c r="V15" s="511"/>
      <c r="W15" s="510">
        <f t="shared" si="0"/>
        <v>0</v>
      </c>
    </row>
    <row r="16" spans="2:23">
      <c r="B16" s="514">
        <v>6</v>
      </c>
      <c r="C16" s="459" t="s">
        <v>992</v>
      </c>
      <c r="D16" s="513"/>
      <c r="E16" s="512"/>
      <c r="F16" s="512"/>
      <c r="G16" s="512"/>
      <c r="H16" s="512"/>
      <c r="I16" s="512"/>
      <c r="J16" s="512"/>
      <c r="K16" s="512"/>
      <c r="L16" s="512"/>
      <c r="M16" s="512"/>
      <c r="N16" s="512"/>
      <c r="O16" s="512"/>
      <c r="P16" s="512"/>
      <c r="Q16" s="512"/>
      <c r="R16" s="512"/>
      <c r="S16" s="512"/>
      <c r="T16" s="512"/>
      <c r="U16" s="512"/>
      <c r="V16" s="511"/>
      <c r="W16" s="510">
        <f t="shared" si="0"/>
        <v>0</v>
      </c>
    </row>
    <row r="17" spans="2:23">
      <c r="B17" s="509">
        <f>B16</f>
        <v>6</v>
      </c>
      <c r="C17" s="515" t="s">
        <v>1103</v>
      </c>
      <c r="D17" s="513"/>
      <c r="E17" s="512"/>
      <c r="F17" s="512"/>
      <c r="G17" s="512"/>
      <c r="H17" s="512"/>
      <c r="I17" s="512"/>
      <c r="J17" s="512"/>
      <c r="K17" s="512"/>
      <c r="L17" s="512"/>
      <c r="M17" s="512"/>
      <c r="N17" s="512"/>
      <c r="O17" s="512"/>
      <c r="P17" s="512"/>
      <c r="Q17" s="512"/>
      <c r="R17" s="512"/>
      <c r="S17" s="512"/>
      <c r="T17" s="512"/>
      <c r="U17" s="512"/>
      <c r="V17" s="511"/>
      <c r="W17" s="510">
        <f t="shared" si="0"/>
        <v>0</v>
      </c>
    </row>
    <row r="18" spans="2:23">
      <c r="B18" s="514">
        <v>7</v>
      </c>
      <c r="C18" s="459" t="s">
        <v>992</v>
      </c>
      <c r="D18" s="513"/>
      <c r="E18" s="512"/>
      <c r="F18" s="512"/>
      <c r="G18" s="512"/>
      <c r="H18" s="512"/>
      <c r="I18" s="512"/>
      <c r="J18" s="512"/>
      <c r="K18" s="512"/>
      <c r="L18" s="512"/>
      <c r="M18" s="512"/>
      <c r="N18" s="512"/>
      <c r="O18" s="512"/>
      <c r="P18" s="512"/>
      <c r="Q18" s="512"/>
      <c r="R18" s="512"/>
      <c r="S18" s="512"/>
      <c r="T18" s="512"/>
      <c r="U18" s="512"/>
      <c r="V18" s="511"/>
      <c r="W18" s="510">
        <f t="shared" si="0"/>
        <v>0</v>
      </c>
    </row>
    <row r="19" spans="2:23">
      <c r="B19" s="509">
        <f>B18</f>
        <v>7</v>
      </c>
      <c r="C19" s="515" t="s">
        <v>1103</v>
      </c>
      <c r="D19" s="513"/>
      <c r="E19" s="512"/>
      <c r="F19" s="512"/>
      <c r="G19" s="512"/>
      <c r="H19" s="512"/>
      <c r="I19" s="512"/>
      <c r="J19" s="512"/>
      <c r="K19" s="512"/>
      <c r="L19" s="512"/>
      <c r="M19" s="512"/>
      <c r="N19" s="512"/>
      <c r="O19" s="512"/>
      <c r="P19" s="512"/>
      <c r="Q19" s="512"/>
      <c r="R19" s="512"/>
      <c r="S19" s="512"/>
      <c r="T19" s="512"/>
      <c r="U19" s="512"/>
      <c r="V19" s="511"/>
      <c r="W19" s="510">
        <f t="shared" si="0"/>
        <v>0</v>
      </c>
    </row>
    <row r="20" spans="2:23">
      <c r="B20" s="514">
        <v>8</v>
      </c>
      <c r="C20" s="459" t="s">
        <v>992</v>
      </c>
      <c r="D20" s="513"/>
      <c r="E20" s="512"/>
      <c r="F20" s="512"/>
      <c r="G20" s="512"/>
      <c r="H20" s="512"/>
      <c r="I20" s="512"/>
      <c r="J20" s="512"/>
      <c r="K20" s="512"/>
      <c r="L20" s="512"/>
      <c r="M20" s="512"/>
      <c r="N20" s="512"/>
      <c r="O20" s="512"/>
      <c r="P20" s="512"/>
      <c r="Q20" s="512"/>
      <c r="R20" s="512"/>
      <c r="S20" s="512"/>
      <c r="T20" s="512"/>
      <c r="U20" s="512"/>
      <c r="V20" s="511"/>
      <c r="W20" s="510">
        <f t="shared" si="0"/>
        <v>0</v>
      </c>
    </row>
    <row r="21" spans="2:23">
      <c r="B21" s="509">
        <f>B20</f>
        <v>8</v>
      </c>
      <c r="C21" s="515" t="s">
        <v>1103</v>
      </c>
      <c r="D21" s="513"/>
      <c r="E21" s="512"/>
      <c r="F21" s="512"/>
      <c r="G21" s="512"/>
      <c r="H21" s="512"/>
      <c r="I21" s="512"/>
      <c r="J21" s="512"/>
      <c r="K21" s="512"/>
      <c r="L21" s="512"/>
      <c r="M21" s="512"/>
      <c r="N21" s="512"/>
      <c r="O21" s="512"/>
      <c r="P21" s="512"/>
      <c r="Q21" s="512"/>
      <c r="R21" s="512"/>
      <c r="S21" s="512"/>
      <c r="T21" s="512"/>
      <c r="U21" s="512"/>
      <c r="V21" s="511"/>
      <c r="W21" s="510">
        <f t="shared" si="0"/>
        <v>0</v>
      </c>
    </row>
    <row r="22" spans="2:23">
      <c r="B22" s="514">
        <v>9</v>
      </c>
      <c r="C22" s="459" t="s">
        <v>992</v>
      </c>
      <c r="D22" s="513"/>
      <c r="E22" s="512"/>
      <c r="F22" s="512"/>
      <c r="G22" s="512"/>
      <c r="H22" s="512"/>
      <c r="I22" s="512"/>
      <c r="J22" s="512"/>
      <c r="K22" s="512"/>
      <c r="L22" s="512"/>
      <c r="M22" s="512"/>
      <c r="N22" s="512"/>
      <c r="O22" s="512"/>
      <c r="P22" s="512"/>
      <c r="Q22" s="512"/>
      <c r="R22" s="512"/>
      <c r="S22" s="512"/>
      <c r="T22" s="512"/>
      <c r="U22" s="512"/>
      <c r="V22" s="511"/>
      <c r="W22" s="510">
        <f t="shared" si="0"/>
        <v>0</v>
      </c>
    </row>
    <row r="23" spans="2:23">
      <c r="B23" s="509">
        <f>B22</f>
        <v>9</v>
      </c>
      <c r="C23" s="515" t="s">
        <v>1103</v>
      </c>
      <c r="D23" s="513"/>
      <c r="E23" s="512"/>
      <c r="F23" s="512"/>
      <c r="G23" s="512"/>
      <c r="H23" s="512"/>
      <c r="I23" s="512"/>
      <c r="J23" s="512"/>
      <c r="K23" s="512"/>
      <c r="L23" s="512"/>
      <c r="M23" s="512"/>
      <c r="N23" s="512"/>
      <c r="O23" s="512"/>
      <c r="P23" s="512"/>
      <c r="Q23" s="512"/>
      <c r="R23" s="512"/>
      <c r="S23" s="512"/>
      <c r="T23" s="512"/>
      <c r="U23" s="512"/>
      <c r="V23" s="511"/>
      <c r="W23" s="510">
        <f t="shared" si="0"/>
        <v>0</v>
      </c>
    </row>
    <row r="24" spans="2:23">
      <c r="B24" s="514">
        <v>10</v>
      </c>
      <c r="C24" s="459" t="s">
        <v>992</v>
      </c>
      <c r="D24" s="513"/>
      <c r="E24" s="512"/>
      <c r="F24" s="512"/>
      <c r="G24" s="512"/>
      <c r="H24" s="512"/>
      <c r="I24" s="512"/>
      <c r="J24" s="512"/>
      <c r="K24" s="512"/>
      <c r="L24" s="512"/>
      <c r="M24" s="512"/>
      <c r="N24" s="512"/>
      <c r="O24" s="512"/>
      <c r="P24" s="512"/>
      <c r="Q24" s="512"/>
      <c r="R24" s="512"/>
      <c r="S24" s="512"/>
      <c r="T24" s="512"/>
      <c r="U24" s="512"/>
      <c r="V24" s="511"/>
      <c r="W24" s="510">
        <f t="shared" si="0"/>
        <v>0</v>
      </c>
    </row>
    <row r="25" spans="2:23">
      <c r="B25" s="509">
        <f>B24</f>
        <v>10</v>
      </c>
      <c r="C25" s="515" t="s">
        <v>1103</v>
      </c>
      <c r="D25" s="513"/>
      <c r="E25" s="512"/>
      <c r="F25" s="512"/>
      <c r="G25" s="512"/>
      <c r="H25" s="512"/>
      <c r="I25" s="512"/>
      <c r="J25" s="512"/>
      <c r="K25" s="512"/>
      <c r="L25" s="512"/>
      <c r="M25" s="512"/>
      <c r="N25" s="512"/>
      <c r="O25" s="512"/>
      <c r="P25" s="512"/>
      <c r="Q25" s="512"/>
      <c r="R25" s="512"/>
      <c r="S25" s="512"/>
      <c r="T25" s="512"/>
      <c r="U25" s="512"/>
      <c r="V25" s="511"/>
      <c r="W25" s="510">
        <f t="shared" si="0"/>
        <v>0</v>
      </c>
    </row>
    <row r="26" spans="2:23">
      <c r="B26" s="514">
        <v>11</v>
      </c>
      <c r="C26" s="459" t="s">
        <v>992</v>
      </c>
      <c r="D26" s="513"/>
      <c r="E26" s="512"/>
      <c r="F26" s="512"/>
      <c r="G26" s="512"/>
      <c r="H26" s="512"/>
      <c r="I26" s="512"/>
      <c r="J26" s="512"/>
      <c r="K26" s="512"/>
      <c r="L26" s="512"/>
      <c r="M26" s="512"/>
      <c r="N26" s="512"/>
      <c r="O26" s="512"/>
      <c r="P26" s="512"/>
      <c r="Q26" s="512"/>
      <c r="R26" s="512"/>
      <c r="S26" s="512"/>
      <c r="T26" s="512"/>
      <c r="U26" s="512"/>
      <c r="V26" s="511"/>
      <c r="W26" s="510">
        <f t="shared" si="0"/>
        <v>0</v>
      </c>
    </row>
    <row r="27" spans="2:23">
      <c r="B27" s="509">
        <f>B26</f>
        <v>11</v>
      </c>
      <c r="C27" s="515" t="s">
        <v>1103</v>
      </c>
      <c r="D27" s="513"/>
      <c r="E27" s="512"/>
      <c r="F27" s="512"/>
      <c r="G27" s="512"/>
      <c r="H27" s="512"/>
      <c r="I27" s="512"/>
      <c r="J27" s="512"/>
      <c r="K27" s="512"/>
      <c r="L27" s="512"/>
      <c r="M27" s="512"/>
      <c r="N27" s="512"/>
      <c r="O27" s="512"/>
      <c r="P27" s="512"/>
      <c r="Q27" s="512"/>
      <c r="R27" s="512"/>
      <c r="S27" s="512"/>
      <c r="T27" s="512"/>
      <c r="U27" s="512"/>
      <c r="V27" s="511"/>
      <c r="W27" s="510">
        <f t="shared" si="0"/>
        <v>0</v>
      </c>
    </row>
    <row r="28" spans="2:23">
      <c r="B28" s="514">
        <v>12</v>
      </c>
      <c r="C28" s="459" t="s">
        <v>992</v>
      </c>
      <c r="D28" s="513"/>
      <c r="E28" s="512"/>
      <c r="F28" s="512"/>
      <c r="G28" s="512"/>
      <c r="H28" s="512"/>
      <c r="I28" s="512"/>
      <c r="J28" s="512"/>
      <c r="K28" s="512"/>
      <c r="L28" s="512"/>
      <c r="M28" s="512"/>
      <c r="N28" s="512"/>
      <c r="O28" s="512"/>
      <c r="P28" s="512"/>
      <c r="Q28" s="512"/>
      <c r="R28" s="512"/>
      <c r="S28" s="512"/>
      <c r="T28" s="512"/>
      <c r="U28" s="512"/>
      <c r="V28" s="511"/>
      <c r="W28" s="510">
        <f t="shared" si="0"/>
        <v>0</v>
      </c>
    </row>
    <row r="29" spans="2:23">
      <c r="B29" s="509">
        <f>B28</f>
        <v>12</v>
      </c>
      <c r="C29" s="459" t="s">
        <v>1103</v>
      </c>
      <c r="D29" s="508"/>
      <c r="E29" s="507"/>
      <c r="F29" s="507"/>
      <c r="G29" s="507"/>
      <c r="H29" s="507"/>
      <c r="I29" s="507"/>
      <c r="J29" s="507"/>
      <c r="K29" s="507"/>
      <c r="L29" s="507"/>
      <c r="M29" s="507"/>
      <c r="N29" s="507"/>
      <c r="O29" s="507"/>
      <c r="P29" s="507"/>
      <c r="Q29" s="507"/>
      <c r="R29" s="507"/>
      <c r="S29" s="507"/>
      <c r="T29" s="507"/>
      <c r="U29" s="507"/>
      <c r="V29" s="506"/>
      <c r="W29" s="505">
        <f t="shared" si="0"/>
        <v>0</v>
      </c>
    </row>
    <row r="30" spans="2:23">
      <c r="C30" s="78" t="s">
        <v>135</v>
      </c>
      <c r="D30" s="504">
        <f t="shared" ref="D30:V30" si="1">SUM(D6:D29)</f>
        <v>8</v>
      </c>
      <c r="E30" s="504">
        <f t="shared" si="1"/>
        <v>16</v>
      </c>
      <c r="F30" s="504">
        <f t="shared" si="1"/>
        <v>8</v>
      </c>
      <c r="G30" s="504">
        <f t="shared" si="1"/>
        <v>19</v>
      </c>
      <c r="H30" s="504">
        <f t="shared" si="1"/>
        <v>48</v>
      </c>
      <c r="I30" s="504">
        <f t="shared" si="1"/>
        <v>4</v>
      </c>
      <c r="J30" s="504">
        <f t="shared" si="1"/>
        <v>24</v>
      </c>
      <c r="K30" s="504">
        <f t="shared" si="1"/>
        <v>10</v>
      </c>
      <c r="L30" s="504">
        <f t="shared" si="1"/>
        <v>32</v>
      </c>
      <c r="M30" s="504">
        <f t="shared" si="1"/>
        <v>64</v>
      </c>
      <c r="N30" s="504">
        <f t="shared" si="1"/>
        <v>46</v>
      </c>
      <c r="O30" s="504">
        <f t="shared" si="1"/>
        <v>16</v>
      </c>
      <c r="P30" s="504">
        <f t="shared" si="1"/>
        <v>24</v>
      </c>
      <c r="Q30" s="504">
        <f t="shared" si="1"/>
        <v>8</v>
      </c>
      <c r="R30" s="504">
        <f t="shared" si="1"/>
        <v>8</v>
      </c>
      <c r="S30" s="504">
        <f t="shared" si="1"/>
        <v>11</v>
      </c>
      <c r="T30" s="504">
        <f t="shared" si="1"/>
        <v>0</v>
      </c>
      <c r="U30" s="504">
        <f t="shared" si="1"/>
        <v>0</v>
      </c>
      <c r="V30" s="503">
        <f t="shared" si="1"/>
        <v>0</v>
      </c>
      <c r="W30" s="496">
        <f t="shared" si="0"/>
        <v>346</v>
      </c>
    </row>
    <row r="31" spans="2:23">
      <c r="C31" s="215" t="s">
        <v>992</v>
      </c>
      <c r="D31" s="502">
        <f t="shared" ref="D31:V31" si="2">D6+D8+D10+D12+D14+D16+D18+D20+D22+D24+D26+D28</f>
        <v>2</v>
      </c>
      <c r="E31" s="502">
        <f t="shared" si="2"/>
        <v>4</v>
      </c>
      <c r="F31" s="502">
        <f t="shared" si="2"/>
        <v>2</v>
      </c>
      <c r="G31" s="502">
        <f t="shared" si="2"/>
        <v>5</v>
      </c>
      <c r="H31" s="502">
        <f t="shared" si="2"/>
        <v>12</v>
      </c>
      <c r="I31" s="502">
        <f t="shared" si="2"/>
        <v>2</v>
      </c>
      <c r="J31" s="502">
        <f t="shared" si="2"/>
        <v>6</v>
      </c>
      <c r="K31" s="502">
        <f t="shared" si="2"/>
        <v>4</v>
      </c>
      <c r="L31" s="502">
        <f t="shared" si="2"/>
        <v>8</v>
      </c>
      <c r="M31" s="502">
        <f t="shared" si="2"/>
        <v>16</v>
      </c>
      <c r="N31" s="502">
        <f t="shared" si="2"/>
        <v>12</v>
      </c>
      <c r="O31" s="502">
        <f t="shared" si="2"/>
        <v>4</v>
      </c>
      <c r="P31" s="502">
        <f t="shared" si="2"/>
        <v>6</v>
      </c>
      <c r="Q31" s="502">
        <f t="shared" si="2"/>
        <v>2</v>
      </c>
      <c r="R31" s="502">
        <f t="shared" si="2"/>
        <v>2</v>
      </c>
      <c r="S31" s="502">
        <f t="shared" si="2"/>
        <v>3</v>
      </c>
      <c r="T31" s="502">
        <f t="shared" si="2"/>
        <v>0</v>
      </c>
      <c r="U31" s="502">
        <f t="shared" si="2"/>
        <v>0</v>
      </c>
      <c r="V31" s="501">
        <f t="shared" si="2"/>
        <v>0</v>
      </c>
    </row>
    <row r="32" spans="2:23">
      <c r="C32" s="216" t="s">
        <v>1103</v>
      </c>
      <c r="D32" s="64">
        <f t="shared" ref="D32:V32" si="3">D7+D9+D11+D13+D15+D17+D19+D21+D23+D25+D27+D29</f>
        <v>6</v>
      </c>
      <c r="E32" s="64">
        <f t="shared" si="3"/>
        <v>12</v>
      </c>
      <c r="F32" s="64">
        <f t="shared" si="3"/>
        <v>6</v>
      </c>
      <c r="G32" s="64">
        <f t="shared" si="3"/>
        <v>14</v>
      </c>
      <c r="H32" s="64">
        <f t="shared" si="3"/>
        <v>36</v>
      </c>
      <c r="I32" s="64">
        <f t="shared" si="3"/>
        <v>2</v>
      </c>
      <c r="J32" s="64">
        <f t="shared" si="3"/>
        <v>18</v>
      </c>
      <c r="K32" s="64">
        <f t="shared" si="3"/>
        <v>6</v>
      </c>
      <c r="L32" s="64">
        <f t="shared" si="3"/>
        <v>24</v>
      </c>
      <c r="M32" s="64">
        <f t="shared" si="3"/>
        <v>48</v>
      </c>
      <c r="N32" s="64">
        <f t="shared" si="3"/>
        <v>34</v>
      </c>
      <c r="O32" s="64">
        <f t="shared" si="3"/>
        <v>12</v>
      </c>
      <c r="P32" s="64">
        <f t="shared" si="3"/>
        <v>18</v>
      </c>
      <c r="Q32" s="64">
        <f t="shared" si="3"/>
        <v>6</v>
      </c>
      <c r="R32" s="64">
        <f t="shared" si="3"/>
        <v>6</v>
      </c>
      <c r="S32" s="64">
        <f t="shared" si="3"/>
        <v>8</v>
      </c>
      <c r="T32" s="64">
        <f t="shared" si="3"/>
        <v>0</v>
      </c>
      <c r="U32" s="64">
        <f t="shared" si="3"/>
        <v>0</v>
      </c>
      <c r="V32" s="255">
        <f t="shared" si="3"/>
        <v>0</v>
      </c>
    </row>
    <row r="34" spans="2:31">
      <c r="C34" s="934" t="s">
        <v>1104</v>
      </c>
      <c r="D34" s="936"/>
      <c r="E34" s="936"/>
      <c r="F34" s="935"/>
      <c r="G34" s="934" t="s">
        <v>1105</v>
      </c>
      <c r="H34" s="936"/>
      <c r="I34" s="936" t="s">
        <v>1106</v>
      </c>
      <c r="J34" s="936"/>
      <c r="L34" s="933" t="s">
        <v>1107</v>
      </c>
      <c r="M34" s="933"/>
      <c r="O34" s="934" t="s">
        <v>1108</v>
      </c>
      <c r="P34" s="935"/>
    </row>
    <row r="35" spans="2:31">
      <c r="B35" s="64" t="s">
        <v>368</v>
      </c>
      <c r="C35" s="75" t="s">
        <v>1109</v>
      </c>
      <c r="D35" s="75" t="s">
        <v>1110</v>
      </c>
      <c r="E35" s="75" t="s">
        <v>1111</v>
      </c>
      <c r="F35" s="75" t="s">
        <v>1112</v>
      </c>
      <c r="G35" s="937" t="s">
        <v>968</v>
      </c>
      <c r="H35" s="937"/>
      <c r="I35" s="75" t="s">
        <v>992</v>
      </c>
      <c r="J35" s="75" t="s">
        <v>1103</v>
      </c>
      <c r="L35" s="1" t="s">
        <v>379</v>
      </c>
      <c r="M35" s="1" t="s">
        <v>914</v>
      </c>
      <c r="O35" s="938">
        <v>4</v>
      </c>
      <c r="P35" s="939"/>
    </row>
    <row r="36" spans="2:31">
      <c r="B36" s="198" t="str" cm="1">
        <f t="array" aca="1" ref="B36" ca="1">OFFSET($D$5,0,COUNTA($B$35:$B35)-1,)</f>
        <v>AM1</v>
      </c>
      <c r="C36" s="493">
        <v>1.5</v>
      </c>
      <c r="D36" s="493">
        <v>0</v>
      </c>
      <c r="E36" s="493">
        <v>1.5</v>
      </c>
      <c r="F36" s="493">
        <v>0</v>
      </c>
      <c r="G36" s="199">
        <f t="shared" ref="G36:G54" si="4">COUNTIF(C36:D36,"&gt;0")</f>
        <v>1</v>
      </c>
      <c r="H36" s="199"/>
      <c r="I36" s="500">
        <f t="shared" ref="I36:I54" ca="1" si="5">INDEX($D$31:$V$31,1,MATCH($B36,$D$5:$V$5,0))</f>
        <v>2</v>
      </c>
      <c r="J36" s="500">
        <f t="shared" ref="J36:J54" ca="1" si="6">INDEX($D$32:$V$32,1,MATCH($B36,$D$5:$V$5,0))</f>
        <v>6</v>
      </c>
      <c r="K36" s="1"/>
      <c r="L36" s="74">
        <v>1.5</v>
      </c>
      <c r="M36" s="499">
        <f t="shared" ref="M36:M43" ca="1" si="7">SUMIFS($I$36:$I$54,$C$36:$C$54,$L36)+SUMIFS($J$36:$J$54,$E$36:$E$54,$L36)+SUMIFS($I$36:$I$54,$D$36:$D$54,$L36)+SUMIFS($J$36:$J$54,$F$36:$F$54,$L36)</f>
        <v>191</v>
      </c>
    </row>
    <row r="37" spans="2:31">
      <c r="B37" s="200" t="str" cm="1">
        <f t="array" aca="1" ref="B37" ca="1">OFFSET($D$5,0,COUNTA($B$35:$B36)-1,)</f>
        <v>AM2</v>
      </c>
      <c r="C37" s="491">
        <v>1.5</v>
      </c>
      <c r="D37" s="491">
        <v>0</v>
      </c>
      <c r="E37" s="493">
        <v>1.5</v>
      </c>
      <c r="F37" s="491">
        <v>0</v>
      </c>
      <c r="G37" s="201">
        <f t="shared" si="4"/>
        <v>1</v>
      </c>
      <c r="H37" s="201"/>
      <c r="I37" s="492">
        <f t="shared" ca="1" si="5"/>
        <v>4</v>
      </c>
      <c r="J37" s="492">
        <f t="shared" ca="1" si="6"/>
        <v>12</v>
      </c>
      <c r="K37" s="1"/>
      <c r="L37" s="74">
        <v>2</v>
      </c>
      <c r="M37" s="499">
        <f t="shared" ca="1" si="7"/>
        <v>121</v>
      </c>
    </row>
    <row r="38" spans="2:31">
      <c r="B38" s="200" t="str" cm="1">
        <f t="array" aca="1" ref="B38" ca="1">OFFSET($D$5,0,COUNTA($B$35:$B37)-1,)</f>
        <v>AE1</v>
      </c>
      <c r="C38" s="491">
        <v>1.5</v>
      </c>
      <c r="D38" s="491">
        <v>0</v>
      </c>
      <c r="E38" s="493">
        <v>1.5</v>
      </c>
      <c r="F38" s="491">
        <v>0</v>
      </c>
      <c r="G38" s="201">
        <f t="shared" si="4"/>
        <v>1</v>
      </c>
      <c r="H38" s="201"/>
      <c r="I38" s="492">
        <f t="shared" ca="1" si="5"/>
        <v>2</v>
      </c>
      <c r="J38" s="492">
        <f t="shared" ca="1" si="6"/>
        <v>6</v>
      </c>
      <c r="K38" s="1"/>
      <c r="L38" s="74">
        <v>2.5</v>
      </c>
      <c r="M38" s="499">
        <f t="shared" ca="1" si="7"/>
        <v>45</v>
      </c>
    </row>
    <row r="39" spans="2:31">
      <c r="B39" s="200" t="str" cm="1">
        <f t="array" aca="1" ref="B39" ca="1">OFFSET($D$5,0,COUNTA($B$35:$B38)-1,)</f>
        <v>AE2</v>
      </c>
      <c r="C39" s="491">
        <v>1.5</v>
      </c>
      <c r="D39" s="491">
        <v>0</v>
      </c>
      <c r="E39" s="493">
        <v>1.5</v>
      </c>
      <c r="F39" s="491">
        <v>0</v>
      </c>
      <c r="G39" s="201">
        <f t="shared" si="4"/>
        <v>1</v>
      </c>
      <c r="H39" s="201"/>
      <c r="I39" s="492">
        <f t="shared" ca="1" si="5"/>
        <v>5</v>
      </c>
      <c r="J39" s="492">
        <f t="shared" ca="1" si="6"/>
        <v>14</v>
      </c>
      <c r="K39" s="1"/>
      <c r="L39" s="74">
        <v>3</v>
      </c>
      <c r="M39" s="499">
        <f t="shared" ca="1" si="7"/>
        <v>8</v>
      </c>
    </row>
    <row r="40" spans="2:31">
      <c r="B40" s="200" t="str" cm="1">
        <f t="array" aca="1" ref="B40" ca="1">OFFSET($D$5,0,COUNTA($B$35:$B39)-1,)</f>
        <v>B1</v>
      </c>
      <c r="C40" s="491">
        <v>1.5</v>
      </c>
      <c r="D40" s="491">
        <v>0</v>
      </c>
      <c r="E40" s="493">
        <v>1.5</v>
      </c>
      <c r="F40" s="491">
        <v>0</v>
      </c>
      <c r="G40" s="201">
        <f t="shared" si="4"/>
        <v>1</v>
      </c>
      <c r="H40" s="201"/>
      <c r="I40" s="492">
        <f t="shared" ca="1" si="5"/>
        <v>12</v>
      </c>
      <c r="J40" s="492">
        <f t="shared" ca="1" si="6"/>
        <v>36</v>
      </c>
      <c r="K40" s="1"/>
      <c r="L40" s="74">
        <v>3.5</v>
      </c>
      <c r="M40" s="499">
        <f t="shared" si="7"/>
        <v>0</v>
      </c>
      <c r="AD40" s="1" t="s">
        <v>1113</v>
      </c>
      <c r="AE40" s="1" t="s">
        <v>1114</v>
      </c>
    </row>
    <row r="41" spans="2:31">
      <c r="B41" s="200" t="str" cm="1">
        <f t="array" aca="1" ref="B41" ca="1">OFFSET($D$5,0,COUNTA($B$35:$B40)-1,)</f>
        <v>B2</v>
      </c>
      <c r="C41" s="491">
        <v>2</v>
      </c>
      <c r="D41" s="491">
        <v>0</v>
      </c>
      <c r="E41" s="493">
        <v>1.5</v>
      </c>
      <c r="F41" s="491">
        <v>0</v>
      </c>
      <c r="G41" s="201">
        <f t="shared" si="4"/>
        <v>1</v>
      </c>
      <c r="H41" s="201"/>
      <c r="I41" s="492">
        <f t="shared" ca="1" si="5"/>
        <v>2</v>
      </c>
      <c r="J41" s="492">
        <f t="shared" ca="1" si="6"/>
        <v>2</v>
      </c>
      <c r="K41" s="1"/>
      <c r="L41" s="74">
        <v>4</v>
      </c>
      <c r="M41" s="499">
        <f t="shared" si="7"/>
        <v>0</v>
      </c>
      <c r="AA41">
        <v>580</v>
      </c>
      <c r="AB41">
        <f t="shared" ref="AB41:AB56" si="8">AA41/600</f>
        <v>0.96666666666666667</v>
      </c>
      <c r="AC41">
        <f t="shared" ref="AC41:AC56" si="9">AA41/500</f>
        <v>1.1599999999999999</v>
      </c>
      <c r="AD41">
        <v>1.5</v>
      </c>
      <c r="AE41">
        <v>1.5</v>
      </c>
    </row>
    <row r="42" spans="2:31">
      <c r="B42" s="200" t="str" cm="1">
        <f t="array" aca="1" ref="B42" ca="1">OFFSET($D$5,0,COUNTA($B$35:$B41)-1,)</f>
        <v>B3</v>
      </c>
      <c r="C42" s="491">
        <v>2</v>
      </c>
      <c r="D42" s="491">
        <v>0</v>
      </c>
      <c r="E42" s="493">
        <v>1.5</v>
      </c>
      <c r="F42" s="491">
        <v>0</v>
      </c>
      <c r="G42" s="201">
        <f t="shared" si="4"/>
        <v>1</v>
      </c>
      <c r="H42" s="201"/>
      <c r="I42" s="492">
        <f t="shared" ca="1" si="5"/>
        <v>6</v>
      </c>
      <c r="J42" s="492">
        <f t="shared" ca="1" si="6"/>
        <v>18</v>
      </c>
      <c r="K42" s="1"/>
      <c r="L42" s="74">
        <v>4.5</v>
      </c>
      <c r="M42" s="499">
        <f t="shared" si="7"/>
        <v>0</v>
      </c>
      <c r="O42">
        <v>7</v>
      </c>
      <c r="AA42">
        <v>580</v>
      </c>
      <c r="AB42">
        <f t="shared" si="8"/>
        <v>0.96666666666666667</v>
      </c>
      <c r="AC42">
        <f t="shared" si="9"/>
        <v>1.1599999999999999</v>
      </c>
      <c r="AD42">
        <v>1.5</v>
      </c>
      <c r="AE42">
        <v>1.5</v>
      </c>
    </row>
    <row r="43" spans="2:31">
      <c r="B43" s="200" t="str" cm="1">
        <f t="array" aca="1" ref="B43" ca="1">OFFSET($D$5,0,COUNTA($B$35:$B42)-1,)</f>
        <v>B4</v>
      </c>
      <c r="C43" s="491">
        <v>2</v>
      </c>
      <c r="D43" s="491">
        <v>0</v>
      </c>
      <c r="E43" s="495">
        <v>2</v>
      </c>
      <c r="F43" s="491">
        <v>0</v>
      </c>
      <c r="G43" s="201">
        <f t="shared" si="4"/>
        <v>1</v>
      </c>
      <c r="H43" s="201"/>
      <c r="I43" s="492">
        <f t="shared" ca="1" si="5"/>
        <v>4</v>
      </c>
      <c r="J43" s="492">
        <f t="shared" ca="1" si="6"/>
        <v>6</v>
      </c>
      <c r="K43" s="1"/>
      <c r="L43" s="498">
        <v>5</v>
      </c>
      <c r="M43" s="497">
        <f t="shared" si="7"/>
        <v>0</v>
      </c>
      <c r="AA43">
        <v>496</v>
      </c>
      <c r="AB43">
        <f t="shared" si="8"/>
        <v>0.82666666666666666</v>
      </c>
      <c r="AC43">
        <f t="shared" si="9"/>
        <v>0.99199999999999999</v>
      </c>
      <c r="AD43">
        <v>1.5</v>
      </c>
      <c r="AE43">
        <v>1.5</v>
      </c>
    </row>
    <row r="44" spans="2:31">
      <c r="B44" s="200" t="str" cm="1">
        <f t="array" aca="1" ref="B44" ca="1">OFFSET($D$5,0,COUNTA($B$35:$B43)-1,)</f>
        <v>BS1</v>
      </c>
      <c r="C44" s="491">
        <v>2</v>
      </c>
      <c r="D44" s="491">
        <v>0</v>
      </c>
      <c r="E44" s="493">
        <v>1.5</v>
      </c>
      <c r="F44" s="491">
        <v>0</v>
      </c>
      <c r="G44" s="201">
        <f t="shared" si="4"/>
        <v>1</v>
      </c>
      <c r="H44" s="201"/>
      <c r="I44" s="492">
        <f t="shared" ca="1" si="5"/>
        <v>8</v>
      </c>
      <c r="J44" s="492">
        <f t="shared" ca="1" si="6"/>
        <v>24</v>
      </c>
      <c r="K44" s="1"/>
      <c r="M44" s="496">
        <f ca="1">SUM(M36:M43)</f>
        <v>365</v>
      </c>
      <c r="AA44">
        <v>780</v>
      </c>
      <c r="AB44">
        <f t="shared" si="8"/>
        <v>1.3</v>
      </c>
      <c r="AC44">
        <f t="shared" si="9"/>
        <v>1.56</v>
      </c>
      <c r="AD44">
        <v>1.5</v>
      </c>
      <c r="AE44">
        <v>1.5</v>
      </c>
    </row>
    <row r="45" spans="2:31">
      <c r="B45" s="200" t="str" cm="1">
        <f t="array" aca="1" ref="B45" ca="1">OFFSET($D$5,0,COUNTA($B$35:$B44)-1,)</f>
        <v>D1</v>
      </c>
      <c r="C45" s="491">
        <v>2</v>
      </c>
      <c r="D45" s="491">
        <v>0</v>
      </c>
      <c r="E45" s="493">
        <v>1.5</v>
      </c>
      <c r="F45" s="491">
        <v>0</v>
      </c>
      <c r="G45" s="201">
        <f t="shared" si="4"/>
        <v>1</v>
      </c>
      <c r="H45" s="201"/>
      <c r="I45" s="492">
        <f t="shared" ca="1" si="5"/>
        <v>16</v>
      </c>
      <c r="J45" s="492">
        <f t="shared" ca="1" si="6"/>
        <v>48</v>
      </c>
      <c r="K45" s="1"/>
      <c r="Z45" t="s">
        <v>1092</v>
      </c>
      <c r="AA45">
        <v>797</v>
      </c>
      <c r="AB45">
        <f t="shared" si="8"/>
        <v>1.3283333333333334</v>
      </c>
      <c r="AC45">
        <f t="shared" si="9"/>
        <v>1.5940000000000001</v>
      </c>
      <c r="AD45">
        <v>1.5</v>
      </c>
      <c r="AE45">
        <v>2</v>
      </c>
    </row>
    <row r="46" spans="2:31">
      <c r="B46" s="200" t="str" cm="1">
        <f t="array" aca="1" ref="B46" ca="1">OFFSET($D$5,0,COUNTA($B$35:$B45)-1,)</f>
        <v>D2</v>
      </c>
      <c r="C46" s="491">
        <v>2.5</v>
      </c>
      <c r="D46" s="491">
        <v>0</v>
      </c>
      <c r="E46" s="495">
        <v>2</v>
      </c>
      <c r="F46" s="491">
        <v>0</v>
      </c>
      <c r="G46" s="201">
        <f t="shared" si="4"/>
        <v>1</v>
      </c>
      <c r="H46" s="201"/>
      <c r="I46" s="492">
        <f t="shared" ca="1" si="5"/>
        <v>12</v>
      </c>
      <c r="J46" s="492">
        <f t="shared" ca="1" si="6"/>
        <v>34</v>
      </c>
      <c r="K46" s="1"/>
      <c r="Z46" t="s">
        <v>1093</v>
      </c>
      <c r="AA46">
        <v>825</v>
      </c>
      <c r="AB46">
        <f t="shared" si="8"/>
        <v>1.375</v>
      </c>
      <c r="AC46">
        <f t="shared" si="9"/>
        <v>1.65</v>
      </c>
      <c r="AD46">
        <v>1.5</v>
      </c>
      <c r="AE46">
        <v>2</v>
      </c>
    </row>
    <row r="47" spans="2:31">
      <c r="B47" s="200" t="str" cm="1">
        <f t="array" aca="1" ref="B47" ca="1">OFFSET($D$5,0,COUNTA($B$35:$B46)-1,)</f>
        <v>E1</v>
      </c>
      <c r="C47" s="494">
        <v>2.5</v>
      </c>
      <c r="D47" s="491">
        <v>0</v>
      </c>
      <c r="E47" s="495">
        <v>2</v>
      </c>
      <c r="F47" s="491">
        <v>0</v>
      </c>
      <c r="G47" s="201">
        <f t="shared" si="4"/>
        <v>1</v>
      </c>
      <c r="H47" s="201"/>
      <c r="I47" s="492">
        <f t="shared" ca="1" si="5"/>
        <v>4</v>
      </c>
      <c r="J47" s="492">
        <f t="shared" ca="1" si="6"/>
        <v>12</v>
      </c>
      <c r="K47" s="1"/>
      <c r="Z47" t="s">
        <v>1094</v>
      </c>
      <c r="AA47">
        <v>965</v>
      </c>
      <c r="AB47">
        <f t="shared" si="8"/>
        <v>1.6083333333333334</v>
      </c>
      <c r="AC47">
        <f t="shared" si="9"/>
        <v>1.93</v>
      </c>
      <c r="AD47">
        <v>2</v>
      </c>
      <c r="AE47">
        <v>2</v>
      </c>
    </row>
    <row r="48" spans="2:31">
      <c r="B48" s="200" t="str" cm="1">
        <f t="array" aca="1" ref="B48" ca="1">OFFSET($D$5,0,COUNTA($B$35:$B47)-1,)</f>
        <v>F1</v>
      </c>
      <c r="C48" s="494">
        <v>3</v>
      </c>
      <c r="D48" s="491">
        <v>0</v>
      </c>
      <c r="E48" s="495">
        <v>2.5</v>
      </c>
      <c r="F48" s="491">
        <v>0</v>
      </c>
      <c r="G48" s="201">
        <f t="shared" si="4"/>
        <v>1</v>
      </c>
      <c r="H48" s="201"/>
      <c r="I48" s="492">
        <f t="shared" ca="1" si="5"/>
        <v>6</v>
      </c>
      <c r="J48" s="492">
        <f t="shared" ca="1" si="6"/>
        <v>18</v>
      </c>
      <c r="K48" s="1"/>
      <c r="Z48" t="s">
        <v>1095</v>
      </c>
      <c r="AA48">
        <v>884</v>
      </c>
      <c r="AB48">
        <f t="shared" si="8"/>
        <v>1.4733333333333334</v>
      </c>
      <c r="AC48">
        <f t="shared" si="9"/>
        <v>1.768</v>
      </c>
      <c r="AD48">
        <v>1.5</v>
      </c>
      <c r="AE48">
        <v>2</v>
      </c>
    </row>
    <row r="49" spans="2:31">
      <c r="B49" s="200" t="str" cm="1">
        <f t="array" aca="1" ref="B49" ca="1">OFFSET($D$5,0,COUNTA($B$35:$B48)-1,)</f>
        <v>F2</v>
      </c>
      <c r="C49" s="494">
        <v>3</v>
      </c>
      <c r="D49" s="491">
        <v>0</v>
      </c>
      <c r="E49" s="495">
        <v>2.5</v>
      </c>
      <c r="F49" s="491">
        <v>0</v>
      </c>
      <c r="G49" s="201">
        <f t="shared" si="4"/>
        <v>1</v>
      </c>
      <c r="H49" s="201"/>
      <c r="I49" s="492">
        <f t="shared" ca="1" si="5"/>
        <v>2</v>
      </c>
      <c r="J49" s="492">
        <f t="shared" ca="1" si="6"/>
        <v>6</v>
      </c>
      <c r="K49" s="1"/>
      <c r="Z49" t="s">
        <v>1096</v>
      </c>
      <c r="AA49">
        <v>940</v>
      </c>
      <c r="AB49">
        <f t="shared" si="8"/>
        <v>1.5666666666666667</v>
      </c>
      <c r="AC49">
        <f t="shared" si="9"/>
        <v>1.88</v>
      </c>
      <c r="AD49">
        <v>1.5</v>
      </c>
      <c r="AE49">
        <v>2</v>
      </c>
    </row>
    <row r="50" spans="2:31">
      <c r="B50" s="200" t="str" cm="1">
        <f t="array" aca="1" ref="B50" ca="1">OFFSET($D$5,0,COUNTA($B$35:$B49)-1,)</f>
        <v>H1</v>
      </c>
      <c r="C50" s="494">
        <v>2</v>
      </c>
      <c r="D50" s="494">
        <v>2.5</v>
      </c>
      <c r="E50" s="495">
        <v>2</v>
      </c>
      <c r="F50" s="491">
        <v>2</v>
      </c>
      <c r="G50" s="201">
        <f t="shared" si="4"/>
        <v>2</v>
      </c>
      <c r="H50" s="201"/>
      <c r="I50" s="492">
        <f t="shared" ca="1" si="5"/>
        <v>2</v>
      </c>
      <c r="J50" s="492">
        <f t="shared" ca="1" si="6"/>
        <v>6</v>
      </c>
      <c r="K50" s="1"/>
      <c r="Z50" t="s">
        <v>1097</v>
      </c>
      <c r="AA50">
        <v>1134</v>
      </c>
      <c r="AB50">
        <f t="shared" si="8"/>
        <v>1.89</v>
      </c>
      <c r="AC50">
        <f t="shared" si="9"/>
        <v>2.2679999999999998</v>
      </c>
      <c r="AD50">
        <v>2</v>
      </c>
      <c r="AE50">
        <v>2.5</v>
      </c>
    </row>
    <row r="51" spans="2:31">
      <c r="B51" s="200" t="str" cm="1">
        <f t="array" aca="1" ref="B51" ca="1">OFFSET($D$5,0,COUNTA($B$35:$B50)-1,)</f>
        <v>H2</v>
      </c>
      <c r="C51" s="491">
        <v>2</v>
      </c>
      <c r="D51" s="494">
        <v>2.5</v>
      </c>
      <c r="E51" s="493">
        <v>2</v>
      </c>
      <c r="F51" s="491">
        <v>2</v>
      </c>
      <c r="G51" s="201">
        <f t="shared" si="4"/>
        <v>2</v>
      </c>
      <c r="H51" s="201"/>
      <c r="I51" s="492">
        <f t="shared" ca="1" si="5"/>
        <v>3</v>
      </c>
      <c r="J51" s="492">
        <f t="shared" ca="1" si="6"/>
        <v>8</v>
      </c>
      <c r="K51" s="1"/>
      <c r="Z51" t="s">
        <v>1115</v>
      </c>
      <c r="AA51">
        <v>1175</v>
      </c>
      <c r="AB51">
        <f t="shared" si="8"/>
        <v>1.9583333333333333</v>
      </c>
      <c r="AC51">
        <f t="shared" si="9"/>
        <v>2.35</v>
      </c>
      <c r="AD51">
        <v>2</v>
      </c>
      <c r="AE51">
        <v>2.5</v>
      </c>
    </row>
    <row r="52" spans="2:31">
      <c r="B52" s="200" cm="1">
        <f t="array" aca="1" ref="B52" ca="1">OFFSET($D$5,0,COUNTA($B$35:$B51)-1,)</f>
        <v>17</v>
      </c>
      <c r="C52" s="491">
        <v>0</v>
      </c>
      <c r="D52" s="491">
        <v>0</v>
      </c>
      <c r="E52" s="491">
        <v>0</v>
      </c>
      <c r="F52" s="491">
        <v>0</v>
      </c>
      <c r="G52" s="201">
        <f t="shared" si="4"/>
        <v>0</v>
      </c>
      <c r="H52" s="201"/>
      <c r="I52" s="492">
        <f t="shared" ca="1" si="5"/>
        <v>0</v>
      </c>
      <c r="J52" s="492">
        <f t="shared" ca="1" si="6"/>
        <v>0</v>
      </c>
      <c r="K52" s="1"/>
      <c r="W52">
        <v>180</v>
      </c>
      <c r="Z52" t="s">
        <v>1098</v>
      </c>
      <c r="AA52">
        <v>1175</v>
      </c>
      <c r="AB52">
        <f t="shared" si="8"/>
        <v>1.9583333333333333</v>
      </c>
      <c r="AC52">
        <f t="shared" si="9"/>
        <v>2.35</v>
      </c>
      <c r="AD52">
        <v>2</v>
      </c>
      <c r="AE52">
        <v>2.5</v>
      </c>
    </row>
    <row r="53" spans="2:31">
      <c r="B53" s="200" cm="1">
        <f t="array" aca="1" ref="B53" ca="1">OFFSET($D$5,0,COUNTA($B$35:$B52)-1,)</f>
        <v>18</v>
      </c>
      <c r="C53" s="491">
        <v>0</v>
      </c>
      <c r="D53" s="491">
        <v>0</v>
      </c>
      <c r="E53" s="491">
        <v>0</v>
      </c>
      <c r="F53" s="491">
        <v>0</v>
      </c>
      <c r="G53" s="201">
        <f t="shared" si="4"/>
        <v>0</v>
      </c>
      <c r="H53" s="201"/>
      <c r="I53" s="492">
        <f t="shared" ca="1" si="5"/>
        <v>0</v>
      </c>
      <c r="J53" s="492">
        <f t="shared" ca="1" si="6"/>
        <v>0</v>
      </c>
      <c r="K53" s="1"/>
      <c r="W53">
        <v>50</v>
      </c>
      <c r="Z53" t="s">
        <v>1099</v>
      </c>
      <c r="AA53">
        <v>1263</v>
      </c>
      <c r="AB53">
        <f t="shared" si="8"/>
        <v>2.105</v>
      </c>
      <c r="AC53">
        <f t="shared" si="9"/>
        <v>2.5259999999999998</v>
      </c>
      <c r="AD53">
        <v>2.5</v>
      </c>
      <c r="AE53">
        <v>3</v>
      </c>
    </row>
    <row r="54" spans="2:31">
      <c r="B54" s="452" cm="1">
        <f t="array" aca="1" ref="B54" ca="1">OFFSET($D$5,0,COUNTA($B$35:$B53)-1,)</f>
        <v>19</v>
      </c>
      <c r="C54" s="491">
        <v>0</v>
      </c>
      <c r="D54" s="490">
        <v>0</v>
      </c>
      <c r="E54" s="490">
        <v>0</v>
      </c>
      <c r="F54" s="490">
        <v>0</v>
      </c>
      <c r="G54" s="202">
        <f t="shared" si="4"/>
        <v>0</v>
      </c>
      <c r="H54" s="202"/>
      <c r="I54" s="489">
        <f t="shared" ca="1" si="5"/>
        <v>0</v>
      </c>
      <c r="J54" s="489">
        <f t="shared" ca="1" si="6"/>
        <v>0</v>
      </c>
      <c r="K54" s="1"/>
      <c r="W54">
        <v>200</v>
      </c>
      <c r="Z54" t="s">
        <v>1100</v>
      </c>
      <c r="AA54">
        <v>1263</v>
      </c>
      <c r="AB54">
        <f t="shared" si="8"/>
        <v>2.105</v>
      </c>
      <c r="AC54">
        <f t="shared" si="9"/>
        <v>2.5259999999999998</v>
      </c>
      <c r="AD54">
        <v>2.5</v>
      </c>
      <c r="AE54">
        <v>3</v>
      </c>
    </row>
    <row r="55" spans="2:31">
      <c r="I55" s="4">
        <f ca="1">SUM(I36:I54)</f>
        <v>90</v>
      </c>
      <c r="J55" s="4">
        <f ca="1">SUM(J36:J54)</f>
        <v>256</v>
      </c>
      <c r="K55" s="488">
        <f ca="1">SUM(I55:J55)</f>
        <v>346</v>
      </c>
      <c r="W55">
        <v>150</v>
      </c>
      <c r="Z55" t="s">
        <v>41</v>
      </c>
      <c r="AA55">
        <v>2088</v>
      </c>
      <c r="AB55">
        <f t="shared" si="8"/>
        <v>3.48</v>
      </c>
      <c r="AC55">
        <f t="shared" si="9"/>
        <v>4.1760000000000002</v>
      </c>
      <c r="AD55" t="s">
        <v>1116</v>
      </c>
      <c r="AE55" t="s">
        <v>1117</v>
      </c>
    </row>
    <row r="56" spans="2:31">
      <c r="W56">
        <v>180</v>
      </c>
      <c r="Z56" t="s">
        <v>41</v>
      </c>
      <c r="AA56">
        <v>2088</v>
      </c>
      <c r="AB56">
        <f t="shared" si="8"/>
        <v>3.48</v>
      </c>
      <c r="AC56">
        <f t="shared" si="9"/>
        <v>4.1760000000000002</v>
      </c>
      <c r="AD56" t="s">
        <v>1116</v>
      </c>
      <c r="AE56" t="s">
        <v>1117</v>
      </c>
    </row>
    <row r="57" spans="2:31">
      <c r="W57">
        <v>50</v>
      </c>
    </row>
    <row r="58" spans="2:31">
      <c r="W58">
        <v>25</v>
      </c>
    </row>
  </sheetData>
  <mergeCells count="9">
    <mergeCell ref="C2:G2"/>
    <mergeCell ref="L34:M34"/>
    <mergeCell ref="O34:P34"/>
    <mergeCell ref="G34:H34"/>
    <mergeCell ref="G35:H35"/>
    <mergeCell ref="D4:V4"/>
    <mergeCell ref="I34:J34"/>
    <mergeCell ref="C34:F34"/>
    <mergeCell ref="O35:P3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5CF8A-729B-4FDA-96E4-C5B09A3106A0}">
  <sheetPr>
    <tabColor theme="8" tint="0.39997558519241921"/>
  </sheetPr>
  <dimension ref="A2:AR456"/>
  <sheetViews>
    <sheetView showGridLines="0" zoomScale="67" zoomScaleNormal="75" workbookViewId="0"/>
  </sheetViews>
  <sheetFormatPr defaultRowHeight="15" outlineLevelRow="3"/>
  <cols>
    <col min="1" max="1" width="2.140625" customWidth="1"/>
    <col min="2" max="2" width="12.140625" bestFit="1" customWidth="1"/>
    <col min="3" max="3" width="12.5703125" customWidth="1"/>
    <col min="5" max="5" width="13.7109375" customWidth="1"/>
    <col min="6" max="24" width="9.7109375" customWidth="1"/>
    <col min="25" max="25" width="12.28515625" style="407" customWidth="1"/>
    <col min="26" max="26" width="11.42578125" customWidth="1"/>
    <col min="27" max="27" width="12.140625" style="27" bestFit="1" customWidth="1"/>
    <col min="28" max="29" width="11.42578125" bestFit="1" customWidth="1"/>
    <col min="30" max="30" width="18.7109375" bestFit="1" customWidth="1"/>
    <col min="35" max="35" width="30.7109375" customWidth="1"/>
    <col min="37" max="38" width="18.7109375" bestFit="1" customWidth="1"/>
  </cols>
  <sheetData>
    <row r="2" spans="2:38" ht="17.25">
      <c r="B2" s="607" t="s">
        <v>1083</v>
      </c>
      <c r="C2" s="607" t="str">
        <f>'MF Overview'!C2</f>
        <v>[MultiFamily Project]</v>
      </c>
      <c r="D2" s="60"/>
      <c r="E2" s="60"/>
      <c r="F2" s="60"/>
      <c r="H2" t="s">
        <v>1118</v>
      </c>
      <c r="I2" s="606">
        <v>3</v>
      </c>
      <c r="K2" t="s">
        <v>1119</v>
      </c>
      <c r="L2">
        <f>3/I2</f>
        <v>1</v>
      </c>
      <c r="U2" s="605" t="s">
        <v>1084</v>
      </c>
      <c r="V2" s="522"/>
      <c r="W2" s="522"/>
      <c r="X2" s="522"/>
    </row>
    <row r="4" spans="2:38" ht="17.25">
      <c r="B4" s="604"/>
      <c r="C4" s="604"/>
      <c r="D4" s="604"/>
      <c r="E4" s="604"/>
      <c r="F4" s="945" t="s">
        <v>1120</v>
      </c>
      <c r="G4" s="945"/>
      <c r="H4" s="945"/>
      <c r="I4" s="945"/>
      <c r="J4" s="945"/>
      <c r="K4" s="945"/>
      <c r="L4" s="945"/>
      <c r="M4" s="945"/>
      <c r="N4" s="945"/>
      <c r="O4" s="945"/>
      <c r="P4" s="945"/>
      <c r="Q4" s="945"/>
      <c r="R4" s="945"/>
      <c r="S4" s="945"/>
      <c r="T4" s="945"/>
      <c r="U4" s="945"/>
      <c r="V4" s="945"/>
      <c r="W4" s="945"/>
      <c r="X4" s="946"/>
    </row>
    <row r="5" spans="2:38">
      <c r="E5" s="1" t="s">
        <v>947</v>
      </c>
      <c r="F5" s="75" t="str">
        <f>'MF Overview'!D5</f>
        <v>AM1</v>
      </c>
      <c r="G5" s="75" t="str">
        <f>'MF Overview'!E5</f>
        <v>AM2</v>
      </c>
      <c r="H5" s="75" t="str">
        <f>'MF Overview'!F5</f>
        <v>AE1</v>
      </c>
      <c r="I5" s="75" t="str">
        <f>'MF Overview'!G5</f>
        <v>AE2</v>
      </c>
      <c r="J5" s="75" t="str">
        <f>'MF Overview'!H5</f>
        <v>B1</v>
      </c>
      <c r="K5" s="75" t="str">
        <f>'MF Overview'!I5</f>
        <v>B2</v>
      </c>
      <c r="L5" s="75" t="str">
        <f>'MF Overview'!J5</f>
        <v>B3</v>
      </c>
      <c r="M5" s="75" t="str">
        <f>'MF Overview'!K5</f>
        <v>B4</v>
      </c>
      <c r="N5" s="75" t="str">
        <f>'MF Overview'!L5</f>
        <v>BS1</v>
      </c>
      <c r="O5" s="75" t="str">
        <f>'MF Overview'!M5</f>
        <v>D1</v>
      </c>
      <c r="P5" s="75" t="str">
        <f>'MF Overview'!N5</f>
        <v>D2</v>
      </c>
      <c r="Q5" s="75" t="str">
        <f>'MF Overview'!O5</f>
        <v>E1</v>
      </c>
      <c r="R5" s="75" t="str">
        <f>'MF Overview'!P5</f>
        <v>F1</v>
      </c>
      <c r="S5" s="75" t="str">
        <f>'MF Overview'!Q5</f>
        <v>F2</v>
      </c>
      <c r="T5" s="75" t="str">
        <f>'MF Overview'!R5</f>
        <v>H1</v>
      </c>
      <c r="U5" s="75" t="str">
        <f>'MF Overview'!S5</f>
        <v>H2</v>
      </c>
      <c r="V5" s="75">
        <f>'MF Overview'!T5</f>
        <v>17</v>
      </c>
      <c r="W5" s="75">
        <f>'MF Overview'!U5</f>
        <v>18</v>
      </c>
      <c r="X5" s="75">
        <f>'MF Overview'!V5</f>
        <v>19</v>
      </c>
      <c r="Y5" s="437" t="s">
        <v>948</v>
      </c>
      <c r="Z5" s="92" t="s">
        <v>949</v>
      </c>
      <c r="AA5" s="541" t="s">
        <v>950</v>
      </c>
    </row>
    <row r="6" spans="2:38">
      <c r="B6" s="336" t="s">
        <v>1121</v>
      </c>
      <c r="C6" s="337"/>
      <c r="D6" s="1"/>
      <c r="E6" s="16" t="s">
        <v>1122</v>
      </c>
      <c r="F6" s="603">
        <f>'MF Overview'!D30</f>
        <v>8</v>
      </c>
      <c r="G6" s="603">
        <f>'MF Overview'!E30</f>
        <v>16</v>
      </c>
      <c r="H6" s="603">
        <f>'MF Overview'!F30</f>
        <v>8</v>
      </c>
      <c r="I6" s="603">
        <f>'MF Overview'!G30</f>
        <v>19</v>
      </c>
      <c r="J6" s="603">
        <f>'MF Overview'!H30</f>
        <v>48</v>
      </c>
      <c r="K6" s="603">
        <f>'MF Overview'!I30</f>
        <v>4</v>
      </c>
      <c r="L6" s="603">
        <f>'MF Overview'!J30</f>
        <v>24</v>
      </c>
      <c r="M6" s="603">
        <f>'MF Overview'!K30</f>
        <v>10</v>
      </c>
      <c r="N6" s="603">
        <f>'MF Overview'!L30</f>
        <v>32</v>
      </c>
      <c r="O6" s="603">
        <f>'MF Overview'!M30</f>
        <v>64</v>
      </c>
      <c r="P6" s="603">
        <f>'MF Overview'!N30</f>
        <v>46</v>
      </c>
      <c r="Q6" s="603">
        <f>'MF Overview'!O30</f>
        <v>16</v>
      </c>
      <c r="R6" s="603">
        <f>'MF Overview'!P30</f>
        <v>24</v>
      </c>
      <c r="S6" s="603">
        <f>'MF Overview'!Q30</f>
        <v>8</v>
      </c>
      <c r="T6" s="603">
        <f>'MF Overview'!R30</f>
        <v>8</v>
      </c>
      <c r="U6" s="603">
        <f>'MF Overview'!S30</f>
        <v>11</v>
      </c>
      <c r="V6" s="603">
        <f>'MF Overview'!T30</f>
        <v>0</v>
      </c>
      <c r="W6" s="603">
        <f>'MF Overview'!U30</f>
        <v>0</v>
      </c>
      <c r="X6" s="603">
        <f>'MF Overview'!V30</f>
        <v>0</v>
      </c>
      <c r="Y6" s="602">
        <f>SUM(F6:X6)</f>
        <v>346</v>
      </c>
    </row>
    <row r="7" spans="2:38">
      <c r="B7" s="1"/>
      <c r="C7" s="1"/>
      <c r="D7" s="1"/>
      <c r="E7" s="16" t="s">
        <v>1123</v>
      </c>
      <c r="F7" s="4">
        <f>'MF Overview'!D31</f>
        <v>2</v>
      </c>
      <c r="G7" s="4">
        <f>'MF Overview'!E31</f>
        <v>4</v>
      </c>
      <c r="H7" s="4">
        <f>'MF Overview'!F31</f>
        <v>2</v>
      </c>
      <c r="I7" s="4">
        <f>'MF Overview'!G31</f>
        <v>5</v>
      </c>
      <c r="J7" s="4">
        <f>'MF Overview'!H31</f>
        <v>12</v>
      </c>
      <c r="K7" s="4">
        <f>'MF Overview'!I31</f>
        <v>2</v>
      </c>
      <c r="L7" s="4">
        <f>'MF Overview'!J31</f>
        <v>6</v>
      </c>
      <c r="M7" s="4">
        <f>'MF Overview'!K31</f>
        <v>4</v>
      </c>
      <c r="N7" s="4">
        <f>'MF Overview'!L31</f>
        <v>8</v>
      </c>
      <c r="O7" s="4">
        <f>'MF Overview'!M31</f>
        <v>16</v>
      </c>
      <c r="P7" s="4">
        <f>'MF Overview'!N31</f>
        <v>12</v>
      </c>
      <c r="Q7" s="4">
        <f>'MF Overview'!O31</f>
        <v>4</v>
      </c>
      <c r="R7" s="4">
        <f>'MF Overview'!P31</f>
        <v>6</v>
      </c>
      <c r="S7" s="4">
        <f>'MF Overview'!Q31</f>
        <v>2</v>
      </c>
      <c r="T7" s="4">
        <f>'MF Overview'!R31</f>
        <v>2</v>
      </c>
      <c r="U7" s="4">
        <f>'MF Overview'!S31</f>
        <v>3</v>
      </c>
      <c r="V7" s="4">
        <f>'MF Overview'!T31</f>
        <v>0</v>
      </c>
      <c r="W7" s="4">
        <f>'MF Overview'!U31</f>
        <v>0</v>
      </c>
      <c r="X7" s="4">
        <f>'MF Overview'!V31</f>
        <v>0</v>
      </c>
      <c r="Y7" s="407">
        <f>SUM(F7:X7)</f>
        <v>90</v>
      </c>
    </row>
    <row r="8" spans="2:38">
      <c r="B8" s="1"/>
      <c r="C8" s="1"/>
      <c r="D8" s="1"/>
      <c r="E8" s="16" t="s">
        <v>1124</v>
      </c>
      <c r="F8" s="4">
        <f>'MF Overview'!D32</f>
        <v>6</v>
      </c>
      <c r="G8" s="4">
        <f>'MF Overview'!E32</f>
        <v>12</v>
      </c>
      <c r="H8" s="4">
        <f>'MF Overview'!F32</f>
        <v>6</v>
      </c>
      <c r="I8" s="4">
        <f>'MF Overview'!G32</f>
        <v>14</v>
      </c>
      <c r="J8" s="4">
        <f>'MF Overview'!H32</f>
        <v>36</v>
      </c>
      <c r="K8" s="4">
        <f>'MF Overview'!I32</f>
        <v>2</v>
      </c>
      <c r="L8" s="4">
        <f>'MF Overview'!J32</f>
        <v>18</v>
      </c>
      <c r="M8" s="4">
        <f>'MF Overview'!K32</f>
        <v>6</v>
      </c>
      <c r="N8" s="4">
        <f>'MF Overview'!L32</f>
        <v>24</v>
      </c>
      <c r="O8" s="4">
        <f>'MF Overview'!M32</f>
        <v>48</v>
      </c>
      <c r="P8" s="4">
        <f>'MF Overview'!N32</f>
        <v>34</v>
      </c>
      <c r="Q8" s="4">
        <f>'MF Overview'!O32</f>
        <v>12</v>
      </c>
      <c r="R8" s="4">
        <f>'MF Overview'!P32</f>
        <v>18</v>
      </c>
      <c r="S8" s="4">
        <f>'MF Overview'!Q32</f>
        <v>6</v>
      </c>
      <c r="T8" s="4">
        <f>'MF Overview'!R32</f>
        <v>6</v>
      </c>
      <c r="U8" s="4">
        <f>'MF Overview'!S32</f>
        <v>8</v>
      </c>
      <c r="V8" s="4">
        <f>'MF Overview'!T32</f>
        <v>0</v>
      </c>
      <c r="W8" s="4">
        <f>'MF Overview'!U32</f>
        <v>0</v>
      </c>
      <c r="X8" s="4">
        <f>'MF Overview'!V32</f>
        <v>0</v>
      </c>
      <c r="Y8" s="407">
        <f>SUM(F8:X8)</f>
        <v>256</v>
      </c>
    </row>
    <row r="9" spans="2:38">
      <c r="B9" s="21" t="s">
        <v>977</v>
      </c>
      <c r="C9" s="126"/>
      <c r="D9" s="1"/>
      <c r="E9" s="16" t="s">
        <v>1125</v>
      </c>
      <c r="F9" s="4">
        <f ca="1">INDEX('MF Overview'!$G$36:$G$54,MATCH(F$5,'MF Overview'!$B$36:$B$54,0),1)</f>
        <v>1</v>
      </c>
      <c r="G9" s="4">
        <f ca="1">INDEX('MF Overview'!$G$36:$G$54,MATCH(G$5,'MF Overview'!$B$36:$B$54,0),1)</f>
        <v>1</v>
      </c>
      <c r="H9" s="4">
        <f ca="1">INDEX('MF Overview'!$G$36:$G$54,MATCH(H$5,'MF Overview'!$B$36:$B$54,0),1)</f>
        <v>1</v>
      </c>
      <c r="I9" s="4">
        <f ca="1">INDEX('MF Overview'!$G$36:$G$54,MATCH(I$5,'MF Overview'!$B$36:$B$54,0),1)</f>
        <v>1</v>
      </c>
      <c r="J9" s="4">
        <f ca="1">INDEX('MF Overview'!$G$36:$G$54,MATCH(J$5,'MF Overview'!$B$36:$B$54,0),1)</f>
        <v>1</v>
      </c>
      <c r="K9" s="4">
        <f ca="1">INDEX('MF Overview'!$G$36:$G$54,MATCH(K$5,'MF Overview'!$B$36:$B$54,0),1)</f>
        <v>1</v>
      </c>
      <c r="L9" s="4">
        <f ca="1">INDEX('MF Overview'!$G$36:$G$54,MATCH(L$5,'MF Overview'!$B$36:$B$54,0),1)</f>
        <v>1</v>
      </c>
      <c r="M9" s="4">
        <f ca="1">INDEX('MF Overview'!$G$36:$G$54,MATCH(M$5,'MF Overview'!$B$36:$B$54,0),1)</f>
        <v>1</v>
      </c>
      <c r="N9" s="4">
        <f ca="1">INDEX('MF Overview'!$G$36:$G$54,MATCH(N$5,'MF Overview'!$B$36:$B$54,0),1)</f>
        <v>1</v>
      </c>
      <c r="O9" s="4">
        <f ca="1">INDEX('MF Overview'!$G$36:$G$54,MATCH(O$5,'MF Overview'!$B$36:$B$54,0),1)</f>
        <v>1</v>
      </c>
      <c r="P9" s="4">
        <f ca="1">INDEX('MF Overview'!$G$36:$G$54,MATCH(P$5,'MF Overview'!$B$36:$B$54,0),1)</f>
        <v>1</v>
      </c>
      <c r="Q9" s="4">
        <f ca="1">INDEX('MF Overview'!$G$36:$G$54,MATCH(Q$5,'MF Overview'!$B$36:$B$54,0),1)</f>
        <v>1</v>
      </c>
      <c r="R9" s="4">
        <f ca="1">INDEX('MF Overview'!$G$36:$G$54,MATCH(R$5,'MF Overview'!$B$36:$B$54,0),1)</f>
        <v>1</v>
      </c>
      <c r="S9" s="4">
        <f ca="1">INDEX('MF Overview'!$G$36:$G$54,MATCH(S$5,'MF Overview'!$B$36:$B$54,0),1)</f>
        <v>1</v>
      </c>
      <c r="T9" s="4">
        <f ca="1">INDEX('MF Overview'!$G$36:$G$54,MATCH(T$5,'MF Overview'!$B$36:$B$54,0),1)</f>
        <v>2</v>
      </c>
      <c r="U9" s="4">
        <f ca="1">INDEX('MF Overview'!$G$36:$G$54,MATCH(U$5,'MF Overview'!$B$36:$B$54,0),1)</f>
        <v>2</v>
      </c>
      <c r="V9" s="4">
        <f ca="1">INDEX('MF Overview'!$G$36:$G$54,MATCH(V$5,'MF Overview'!$B$36:$B$54,0),1)</f>
        <v>0</v>
      </c>
      <c r="W9" s="4">
        <f ca="1">INDEX('MF Overview'!$G$36:$G$54,MATCH(W$5,'MF Overview'!$B$36:$B$54,0),1)</f>
        <v>0</v>
      </c>
      <c r="X9" s="4">
        <f ca="1">INDEX('MF Overview'!$G$36:$G$54,MATCH(X$5,'MF Overview'!$B$36:$B$54,0),1)</f>
        <v>0</v>
      </c>
    </row>
    <row r="10" spans="2:38">
      <c r="B10" s="438" t="s">
        <v>946</v>
      </c>
      <c r="C10" s="601" t="s">
        <v>946</v>
      </c>
      <c r="D10" s="941" t="s">
        <v>1126</v>
      </c>
      <c r="E10" s="941"/>
      <c r="F10" s="542"/>
      <c r="G10" s="542"/>
      <c r="H10" s="542"/>
      <c r="I10" s="542"/>
      <c r="J10" s="542"/>
      <c r="K10" s="542"/>
      <c r="L10" s="542"/>
      <c r="M10" s="542"/>
      <c r="N10" s="542"/>
      <c r="O10" s="542"/>
      <c r="P10" s="542"/>
      <c r="Q10" s="542"/>
      <c r="R10" s="542"/>
      <c r="S10" s="542"/>
      <c r="T10" s="542"/>
      <c r="U10" s="542"/>
      <c r="V10" s="542"/>
      <c r="W10" s="542"/>
      <c r="X10" s="542"/>
      <c r="Y10" s="437" t="s">
        <v>948</v>
      </c>
      <c r="Z10" s="92" t="s">
        <v>949</v>
      </c>
      <c r="AA10" s="541" t="s">
        <v>950</v>
      </c>
      <c r="AB10" s="92" t="s">
        <v>1127</v>
      </c>
      <c r="AC10" s="92" t="s">
        <v>1128</v>
      </c>
    </row>
    <row r="11" spans="2:38" outlineLevel="1">
      <c r="B11" s="21"/>
      <c r="D11" s="5">
        <v>1.5</v>
      </c>
      <c r="E11" s="1" t="s">
        <v>960</v>
      </c>
      <c r="F11" s="551">
        <f ca="1">IF(F$6=0,0,IF(INDEX('MF Overview'!$C$36:$C$54,MATCH(F$5,'MF Overview'!$B$36:$B$54,0),1)=$D11,1,0))</f>
        <v>1</v>
      </c>
      <c r="G11" s="551">
        <f ca="1">IF(G$6=0,0,IF(INDEX('MF Overview'!$C$36:$C$54,MATCH(G$5,'MF Overview'!$B$36:$B$54,0),1)=$D11,1,0))</f>
        <v>1</v>
      </c>
      <c r="H11" s="551">
        <f ca="1">IF(H$6=0,0,IF(INDEX('MF Overview'!$C$36:$C$54,MATCH(H$5,'MF Overview'!$B$36:$B$54,0),1)=$D11,1,0))</f>
        <v>1</v>
      </c>
      <c r="I11" s="551">
        <f ca="1">IF(I$6=0,0,IF(INDEX('MF Overview'!$C$36:$C$54,MATCH(I$5,'MF Overview'!$B$36:$B$54,0),1)=$D11,1,0))</f>
        <v>1</v>
      </c>
      <c r="J11" s="551">
        <f ca="1">IF(J$6=0,0,IF(INDEX('MF Overview'!$C$36:$C$54,MATCH(J$5,'MF Overview'!$B$36:$B$54,0),1)=$D11,1,0))</f>
        <v>1</v>
      </c>
      <c r="K11" s="551">
        <f ca="1">IF(K$6=0,0,IF(INDEX('MF Overview'!$C$36:$C$54,MATCH(K$5,'MF Overview'!$B$36:$B$54,0),1)=$D11,1,0))</f>
        <v>0</v>
      </c>
      <c r="L11" s="551">
        <f ca="1">IF(L$6=0,0,IF(INDEX('MF Overview'!$C$36:$C$54,MATCH(L$5,'MF Overview'!$B$36:$B$54,0),1)=$D11,1,0))</f>
        <v>0</v>
      </c>
      <c r="M11" s="551">
        <f ca="1">IF(M$6=0,0,IF(INDEX('MF Overview'!$C$36:$C$54,MATCH(M$5,'MF Overview'!$B$36:$B$54,0),1)=$D11,1,0))</f>
        <v>0</v>
      </c>
      <c r="N11" s="551">
        <f ca="1">IF(N$6=0,0,IF(INDEX('MF Overview'!$C$36:$C$54,MATCH(N$5,'MF Overview'!$B$36:$B$54,0),1)=$D11,1,0))</f>
        <v>0</v>
      </c>
      <c r="O11" s="551">
        <f ca="1">IF(O$6=0,0,IF(INDEX('MF Overview'!$C$36:$C$54,MATCH(O$5,'MF Overview'!$B$36:$B$54,0),1)=$D11,1,0))</f>
        <v>0</v>
      </c>
      <c r="P11" s="551">
        <f ca="1">IF(P$6=0,0,IF(INDEX('MF Overview'!$C$36:$C$54,MATCH(P$5,'MF Overview'!$B$36:$B$54,0),1)=$D11,1,0))</f>
        <v>0</v>
      </c>
      <c r="Q11" s="551">
        <f ca="1">IF(Q$6=0,0,IF(INDEX('MF Overview'!$C$36:$C$54,MATCH(Q$5,'MF Overview'!$B$36:$B$54,0),1)=$D11,1,0))</f>
        <v>0</v>
      </c>
      <c r="R11" s="551">
        <f ca="1">IF(R$6=0,0,IF(INDEX('MF Overview'!$C$36:$C$54,MATCH(R$5,'MF Overview'!$B$36:$B$54,0),1)=$D11,1,0))</f>
        <v>0</v>
      </c>
      <c r="S11" s="551">
        <f ca="1">IF(S$6=0,0,IF(INDEX('MF Overview'!$C$36:$C$54,MATCH(S$5,'MF Overview'!$B$36:$B$54,0),1)=$D11,1,0))</f>
        <v>0</v>
      </c>
      <c r="T11" s="551">
        <f ca="1">IF(T$6=0,0,IF(INDEX('MF Overview'!$C$36:$C$54,MATCH(T$5,'MF Overview'!$B$36:$B$54,0),1)=$D11,1,0))</f>
        <v>0</v>
      </c>
      <c r="U11" s="551">
        <f ca="1">IF(U$6=0,0,IF(INDEX('MF Overview'!$C$36:$C$54,MATCH(U$5,'MF Overview'!$B$36:$B$54,0),1)=$D11,1,0))</f>
        <v>0</v>
      </c>
      <c r="V11" s="551">
        <f>IF(V$6=0,0,IF(INDEX('MF Overview'!$C$36:$C$54,MATCH(V$5,'MF Overview'!$B$36:$B$54,0),1)=$D11,1,0))</f>
        <v>0</v>
      </c>
      <c r="W11" s="551">
        <f>IF(W$6=0,0,IF(INDEX('MF Overview'!$C$36:$C$54,MATCH(W$5,'MF Overview'!$B$36:$B$54,0),1)=$D11,1,0))</f>
        <v>0</v>
      </c>
      <c r="X11" s="550">
        <f>IF(X$6=0,0,IF(INDEX('MF Overview'!$C$36:$C$54,MATCH(X$5,'MF Overview'!$B$36:$B$54,0),1)=$D11,1,0))</f>
        <v>0</v>
      </c>
      <c r="Y11" s="432"/>
      <c r="Z11" s="532"/>
      <c r="AA11" s="394"/>
      <c r="AB11" s="208"/>
      <c r="AC11" s="208"/>
      <c r="AI11" s="592" t="s">
        <v>1129</v>
      </c>
      <c r="AJ11" s="101" t="s">
        <v>1130</v>
      </c>
      <c r="AK11" s="101" t="s">
        <v>1131</v>
      </c>
      <c r="AL11" s="101" t="s">
        <v>1132</v>
      </c>
    </row>
    <row r="12" spans="2:38" outlineLevel="1">
      <c r="B12" s="21"/>
      <c r="D12" s="5">
        <v>2</v>
      </c>
      <c r="E12" s="1" t="s">
        <v>960</v>
      </c>
      <c r="F12" s="551">
        <f ca="1">IF(F$6=0,0,IF(INDEX('MF Overview'!$C$36:$C$54,MATCH(F$5,'MF Overview'!$B$36:$B$54,0),1)=$D12,1,0))</f>
        <v>0</v>
      </c>
      <c r="G12" s="551">
        <f ca="1">IF(G$6=0,0,IF(INDEX('MF Overview'!$C$36:$C$54,MATCH(G$5,'MF Overview'!$B$36:$B$54,0),1)=$D12,1,0))</f>
        <v>0</v>
      </c>
      <c r="H12" s="551">
        <f ca="1">IF(H$6=0,0,IF(INDEX('MF Overview'!$C$36:$C$54,MATCH(H$5,'MF Overview'!$B$36:$B$54,0),1)=$D12,1,0))</f>
        <v>0</v>
      </c>
      <c r="I12" s="551">
        <f ca="1">IF(I$6=0,0,IF(INDEX('MF Overview'!$C$36:$C$54,MATCH(I$5,'MF Overview'!$B$36:$B$54,0),1)=$D12,1,0))</f>
        <v>0</v>
      </c>
      <c r="J12" s="551">
        <f ca="1">IF(J$6=0,0,IF(INDEX('MF Overview'!$C$36:$C$54,MATCH(J$5,'MF Overview'!$B$36:$B$54,0),1)=$D12,1,0))</f>
        <v>0</v>
      </c>
      <c r="K12" s="551">
        <f ca="1">IF(K$6=0,0,IF(INDEX('MF Overview'!$C$36:$C$54,MATCH(K$5,'MF Overview'!$B$36:$B$54,0),1)=$D12,1,0))</f>
        <v>1</v>
      </c>
      <c r="L12" s="551">
        <f ca="1">IF(L$6=0,0,IF(INDEX('MF Overview'!$C$36:$C$54,MATCH(L$5,'MF Overview'!$B$36:$B$54,0),1)=$D12,1,0))</f>
        <v>1</v>
      </c>
      <c r="M12" s="551">
        <f ca="1">IF(M$6=0,0,IF(INDEX('MF Overview'!$C$36:$C$54,MATCH(M$5,'MF Overview'!$B$36:$B$54,0),1)=$D12,1,0))</f>
        <v>1</v>
      </c>
      <c r="N12" s="551">
        <f ca="1">IF(N$6=0,0,IF(INDEX('MF Overview'!$C$36:$C$54,MATCH(N$5,'MF Overview'!$B$36:$B$54,0),1)=$D12,1,0))</f>
        <v>1</v>
      </c>
      <c r="O12" s="551">
        <f ca="1">IF(O$6=0,0,IF(INDEX('MF Overview'!$C$36:$C$54,MATCH(O$5,'MF Overview'!$B$36:$B$54,0),1)=$D12,1,0))</f>
        <v>1</v>
      </c>
      <c r="P12" s="551">
        <f ca="1">IF(P$6=0,0,IF(INDEX('MF Overview'!$C$36:$C$54,MATCH(P$5,'MF Overview'!$B$36:$B$54,0),1)=$D12,1,0))</f>
        <v>0</v>
      </c>
      <c r="Q12" s="551">
        <f ca="1">IF(Q$6=0,0,IF(INDEX('MF Overview'!$C$36:$C$54,MATCH(Q$5,'MF Overview'!$B$36:$B$54,0),1)=$D12,1,0))</f>
        <v>0</v>
      </c>
      <c r="R12" s="551">
        <f ca="1">IF(R$6=0,0,IF(INDEX('MF Overview'!$C$36:$C$54,MATCH(R$5,'MF Overview'!$B$36:$B$54,0),1)=$D12,1,0))</f>
        <v>0</v>
      </c>
      <c r="S12" s="551">
        <f ca="1">IF(S$6=0,0,IF(INDEX('MF Overview'!$C$36:$C$54,MATCH(S$5,'MF Overview'!$B$36:$B$54,0),1)=$D12,1,0))</f>
        <v>0</v>
      </c>
      <c r="T12" s="551">
        <f ca="1">IF(T$6=0,0,IF(INDEX('MF Overview'!$C$36:$C$54,MATCH(T$5,'MF Overview'!$B$36:$B$54,0),1)=$D12,1,0))</f>
        <v>1</v>
      </c>
      <c r="U12" s="551">
        <f ca="1">IF(U$6=0,0,IF(INDEX('MF Overview'!$C$36:$C$54,MATCH(U$5,'MF Overview'!$B$36:$B$54,0),1)=$D12,1,0))</f>
        <v>1</v>
      </c>
      <c r="V12" s="551">
        <f>IF(V$6=0,0,IF(INDEX('MF Overview'!$C$36:$C$54,MATCH(V$5,'MF Overview'!$B$36:$B$54,0),1)=$D12,1,0))</f>
        <v>0</v>
      </c>
      <c r="W12" s="551">
        <f>IF(W$6=0,0,IF(INDEX('MF Overview'!$C$36:$C$54,MATCH(W$5,'MF Overview'!$B$36:$B$54,0),1)=$D12,1,0))</f>
        <v>0</v>
      </c>
      <c r="X12" s="550">
        <f>IF(X$6=0,0,IF(INDEX('MF Overview'!$C$36:$C$54,MATCH(X$5,'MF Overview'!$B$36:$B$54,0),1)=$D12,1,0))</f>
        <v>0</v>
      </c>
      <c r="Y12" s="432"/>
      <c r="Z12" s="532"/>
      <c r="AA12" s="394"/>
      <c r="AB12" s="208"/>
      <c r="AC12" s="208"/>
      <c r="AJ12" s="1">
        <v>1</v>
      </c>
      <c r="AK12" s="1">
        <v>30</v>
      </c>
      <c r="AL12" s="17">
        <v>0</v>
      </c>
    </row>
    <row r="13" spans="2:38" outlineLevel="1">
      <c r="B13" s="21"/>
      <c r="D13" s="5">
        <v>2.5</v>
      </c>
      <c r="E13" s="1" t="s">
        <v>960</v>
      </c>
      <c r="F13" s="551">
        <f ca="1">IF(F$6=0,0,IF(INDEX('MF Overview'!$C$36:$C$54,MATCH(F$5,'MF Overview'!$B$36:$B$54,0),1)=$D13,1,0))</f>
        <v>0</v>
      </c>
      <c r="G13" s="551">
        <f ca="1">IF(G$6=0,0,IF(INDEX('MF Overview'!$C$36:$C$54,MATCH(G$5,'MF Overview'!$B$36:$B$54,0),1)=$D13,1,0))</f>
        <v>0</v>
      </c>
      <c r="H13" s="551">
        <f ca="1">IF(H$6=0,0,IF(INDEX('MF Overview'!$C$36:$C$54,MATCH(H$5,'MF Overview'!$B$36:$B$54,0),1)=$D13,1,0))</f>
        <v>0</v>
      </c>
      <c r="I13" s="551">
        <f ca="1">IF(I$6=0,0,IF(INDEX('MF Overview'!$C$36:$C$54,MATCH(I$5,'MF Overview'!$B$36:$B$54,0),1)=$D13,1,0))</f>
        <v>0</v>
      </c>
      <c r="J13" s="551">
        <f ca="1">IF(J$6=0,0,IF(INDEX('MF Overview'!$C$36:$C$54,MATCH(J$5,'MF Overview'!$B$36:$B$54,0),1)=$D13,1,0))</f>
        <v>0</v>
      </c>
      <c r="K13" s="551">
        <f ca="1">IF(K$6=0,0,IF(INDEX('MF Overview'!$C$36:$C$54,MATCH(K$5,'MF Overview'!$B$36:$B$54,0),1)=$D13,1,0))</f>
        <v>0</v>
      </c>
      <c r="L13" s="551">
        <f ca="1">IF(L$6=0,0,IF(INDEX('MF Overview'!$C$36:$C$54,MATCH(L$5,'MF Overview'!$B$36:$B$54,0),1)=$D13,1,0))</f>
        <v>0</v>
      </c>
      <c r="M13" s="551">
        <f ca="1">IF(M$6=0,0,IF(INDEX('MF Overview'!$C$36:$C$54,MATCH(M$5,'MF Overview'!$B$36:$B$54,0),1)=$D13,1,0))</f>
        <v>0</v>
      </c>
      <c r="N13" s="551">
        <f ca="1">IF(N$6=0,0,IF(INDEX('MF Overview'!$C$36:$C$54,MATCH(N$5,'MF Overview'!$B$36:$B$54,0),1)=$D13,1,0))</f>
        <v>0</v>
      </c>
      <c r="O13" s="551">
        <f ca="1">IF(O$6=0,0,IF(INDEX('MF Overview'!$C$36:$C$54,MATCH(O$5,'MF Overview'!$B$36:$B$54,0),1)=$D13,1,0))</f>
        <v>0</v>
      </c>
      <c r="P13" s="551">
        <f ca="1">IF(P$6=0,0,IF(INDEX('MF Overview'!$C$36:$C$54,MATCH(P$5,'MF Overview'!$B$36:$B$54,0),1)=$D13,1,0))</f>
        <v>1</v>
      </c>
      <c r="Q13" s="551">
        <f ca="1">IF(Q$6=0,0,IF(INDEX('MF Overview'!$C$36:$C$54,MATCH(Q$5,'MF Overview'!$B$36:$B$54,0),1)=$D13,1,0))</f>
        <v>1</v>
      </c>
      <c r="R13" s="551">
        <f ca="1">IF(R$6=0,0,IF(INDEX('MF Overview'!$C$36:$C$54,MATCH(R$5,'MF Overview'!$B$36:$B$54,0),1)=$D13,1,0))</f>
        <v>0</v>
      </c>
      <c r="S13" s="551">
        <f ca="1">IF(S$6=0,0,IF(INDEX('MF Overview'!$C$36:$C$54,MATCH(S$5,'MF Overview'!$B$36:$B$54,0),1)=$D13,1,0))</f>
        <v>0</v>
      </c>
      <c r="T13" s="551">
        <f ca="1">IF(T$6=0,0,IF(INDEX('MF Overview'!$C$36:$C$54,MATCH(T$5,'MF Overview'!$B$36:$B$54,0),1)=$D13,1,0))</f>
        <v>0</v>
      </c>
      <c r="U13" s="551">
        <f ca="1">IF(U$6=0,0,IF(INDEX('MF Overview'!$C$36:$C$54,MATCH(U$5,'MF Overview'!$B$36:$B$54,0),1)=$D13,1,0))</f>
        <v>0</v>
      </c>
      <c r="V13" s="551">
        <f>IF(V$6=0,0,IF(INDEX('MF Overview'!$C$36:$C$54,MATCH(V$5,'MF Overview'!$B$36:$B$54,0),1)=$D13,1,0))</f>
        <v>0</v>
      </c>
      <c r="W13" s="551">
        <f>IF(W$6=0,0,IF(INDEX('MF Overview'!$C$36:$C$54,MATCH(W$5,'MF Overview'!$B$36:$B$54,0),1)=$D13,1,0))</f>
        <v>0</v>
      </c>
      <c r="X13" s="550">
        <f>IF(X$6=0,0,IF(INDEX('MF Overview'!$C$36:$C$54,MATCH(X$5,'MF Overview'!$B$36:$B$54,0),1)=$D13,1,0))</f>
        <v>0</v>
      </c>
      <c r="Y13" s="432"/>
      <c r="Z13" s="532"/>
      <c r="AA13" s="394"/>
      <c r="AB13" s="208"/>
      <c r="AC13" s="208"/>
      <c r="AJ13" s="1">
        <v>2</v>
      </c>
      <c r="AK13" s="1">
        <v>20</v>
      </c>
      <c r="AL13" s="17">
        <v>0.5</v>
      </c>
    </row>
    <row r="14" spans="2:38" outlineLevel="1">
      <c r="B14" s="21"/>
      <c r="D14" s="5">
        <v>3</v>
      </c>
      <c r="E14" s="1" t="s">
        <v>960</v>
      </c>
      <c r="F14" s="551">
        <f ca="1">IF(F$6=0,0,IF(INDEX('MF Overview'!$C$36:$C$54,MATCH(F$5,'MF Overview'!$B$36:$B$54,0),1)=$D14,1,0))</f>
        <v>0</v>
      </c>
      <c r="G14" s="551">
        <f ca="1">IF(G$6=0,0,IF(INDEX('MF Overview'!$C$36:$C$54,MATCH(G$5,'MF Overview'!$B$36:$B$54,0),1)=$D14,1,0))</f>
        <v>0</v>
      </c>
      <c r="H14" s="551">
        <f ca="1">IF(H$6=0,0,IF(INDEX('MF Overview'!$C$36:$C$54,MATCH(H$5,'MF Overview'!$B$36:$B$54,0),1)=$D14,1,0))</f>
        <v>0</v>
      </c>
      <c r="I14" s="551">
        <f ca="1">IF(I$6=0,0,IF(INDEX('MF Overview'!$C$36:$C$54,MATCH(I$5,'MF Overview'!$B$36:$B$54,0),1)=$D14,1,0))</f>
        <v>0</v>
      </c>
      <c r="J14" s="551">
        <f ca="1">IF(J$6=0,0,IF(INDEX('MF Overview'!$C$36:$C$54,MATCH(J$5,'MF Overview'!$B$36:$B$54,0),1)=$D14,1,0))</f>
        <v>0</v>
      </c>
      <c r="K14" s="551">
        <f ca="1">IF(K$6=0,0,IF(INDEX('MF Overview'!$C$36:$C$54,MATCH(K$5,'MF Overview'!$B$36:$B$54,0),1)=$D14,1,0))</f>
        <v>0</v>
      </c>
      <c r="L14" s="551">
        <f ca="1">IF(L$6=0,0,IF(INDEX('MF Overview'!$C$36:$C$54,MATCH(L$5,'MF Overview'!$B$36:$B$54,0),1)=$D14,1,0))</f>
        <v>0</v>
      </c>
      <c r="M14" s="551">
        <f ca="1">IF(M$6=0,0,IF(INDEX('MF Overview'!$C$36:$C$54,MATCH(M$5,'MF Overview'!$B$36:$B$54,0),1)=$D14,1,0))</f>
        <v>0</v>
      </c>
      <c r="N14" s="551">
        <f ca="1">IF(N$6=0,0,IF(INDEX('MF Overview'!$C$36:$C$54,MATCH(N$5,'MF Overview'!$B$36:$B$54,0),1)=$D14,1,0))</f>
        <v>0</v>
      </c>
      <c r="O14" s="551">
        <f ca="1">IF(O$6=0,0,IF(INDEX('MF Overview'!$C$36:$C$54,MATCH(O$5,'MF Overview'!$B$36:$B$54,0),1)=$D14,1,0))</f>
        <v>0</v>
      </c>
      <c r="P14" s="551">
        <f ca="1">IF(P$6=0,0,IF(INDEX('MF Overview'!$C$36:$C$54,MATCH(P$5,'MF Overview'!$B$36:$B$54,0),1)=$D14,1,0))</f>
        <v>0</v>
      </c>
      <c r="Q14" s="551">
        <f ca="1">IF(Q$6=0,0,IF(INDEX('MF Overview'!$C$36:$C$54,MATCH(Q$5,'MF Overview'!$B$36:$B$54,0),1)=$D14,1,0))</f>
        <v>0</v>
      </c>
      <c r="R14" s="551">
        <f ca="1">IF(R$6=0,0,IF(INDEX('MF Overview'!$C$36:$C$54,MATCH(R$5,'MF Overview'!$B$36:$B$54,0),1)=$D14,1,0))</f>
        <v>1</v>
      </c>
      <c r="S14" s="551">
        <f ca="1">IF(S$6=0,0,IF(INDEX('MF Overview'!$C$36:$C$54,MATCH(S$5,'MF Overview'!$B$36:$B$54,0),1)=$D14,1,0))</f>
        <v>1</v>
      </c>
      <c r="T14" s="551">
        <f ca="1">IF(T$6=0,0,IF(INDEX('MF Overview'!$C$36:$C$54,MATCH(T$5,'MF Overview'!$B$36:$B$54,0),1)=$D14,1,0))</f>
        <v>0</v>
      </c>
      <c r="U14" s="551">
        <f ca="1">IF(U$6=0,0,IF(INDEX('MF Overview'!$C$36:$C$54,MATCH(U$5,'MF Overview'!$B$36:$B$54,0),1)=$D14,1,0))</f>
        <v>0</v>
      </c>
      <c r="V14" s="551">
        <f>IF(V$6=0,0,IF(INDEX('MF Overview'!$C$36:$C$54,MATCH(V$5,'MF Overview'!$B$36:$B$54,0),1)=$D14,1,0))</f>
        <v>0</v>
      </c>
      <c r="W14" s="551">
        <f>IF(W$6=0,0,IF(INDEX('MF Overview'!$C$36:$C$54,MATCH(W$5,'MF Overview'!$B$36:$B$54,0),1)=$D14,1,0))</f>
        <v>0</v>
      </c>
      <c r="X14" s="550">
        <f>IF(X$6=0,0,IF(INDEX('MF Overview'!$C$36:$C$54,MATCH(X$5,'MF Overview'!$B$36:$B$54,0),1)=$D14,1,0))</f>
        <v>0</v>
      </c>
      <c r="Y14" s="432"/>
      <c r="Z14" s="532"/>
      <c r="AA14" s="394"/>
      <c r="AB14" s="208"/>
      <c r="AC14" s="208"/>
      <c r="AJ14" s="1">
        <v>3</v>
      </c>
      <c r="AK14" s="1">
        <v>26</v>
      </c>
      <c r="AL14" s="17">
        <v>0.75</v>
      </c>
    </row>
    <row r="15" spans="2:38" outlineLevel="1">
      <c r="B15" s="21"/>
      <c r="D15" s="5">
        <v>3.5</v>
      </c>
      <c r="E15" s="1" t="s">
        <v>960</v>
      </c>
      <c r="F15" s="551">
        <f ca="1">IF(F$6=0,0,IF(INDEX('MF Overview'!$C$36:$C$54,MATCH(F$5,'MF Overview'!$B$36:$B$54,0),1)=$D15,1,0))</f>
        <v>0</v>
      </c>
      <c r="G15" s="551">
        <f ca="1">IF(G$6=0,0,IF(INDEX('MF Overview'!$C$36:$C$54,MATCH(G$5,'MF Overview'!$B$36:$B$54,0),1)=$D15,1,0))</f>
        <v>0</v>
      </c>
      <c r="H15" s="551">
        <f ca="1">IF(H$6=0,0,IF(INDEX('MF Overview'!$C$36:$C$54,MATCH(H$5,'MF Overview'!$B$36:$B$54,0),1)=$D15,1,0))</f>
        <v>0</v>
      </c>
      <c r="I15" s="551">
        <f ca="1">IF(I$6=0,0,IF(INDEX('MF Overview'!$C$36:$C$54,MATCH(I$5,'MF Overview'!$B$36:$B$54,0),1)=$D15,1,0))</f>
        <v>0</v>
      </c>
      <c r="J15" s="551">
        <f ca="1">IF(J$6=0,0,IF(INDEX('MF Overview'!$C$36:$C$54,MATCH(J$5,'MF Overview'!$B$36:$B$54,0),1)=$D15,1,0))</f>
        <v>0</v>
      </c>
      <c r="K15" s="551">
        <f ca="1">IF(K$6=0,0,IF(INDEX('MF Overview'!$C$36:$C$54,MATCH(K$5,'MF Overview'!$B$36:$B$54,0),1)=$D15,1,0))</f>
        <v>0</v>
      </c>
      <c r="L15" s="551">
        <f ca="1">IF(L$6=0,0,IF(INDEX('MF Overview'!$C$36:$C$54,MATCH(L$5,'MF Overview'!$B$36:$B$54,0),1)=$D15,1,0))</f>
        <v>0</v>
      </c>
      <c r="M15" s="551">
        <f ca="1">IF(M$6=0,0,IF(INDEX('MF Overview'!$C$36:$C$54,MATCH(M$5,'MF Overview'!$B$36:$B$54,0),1)=$D15,1,0))</f>
        <v>0</v>
      </c>
      <c r="N15" s="551">
        <f ca="1">IF(N$6=0,0,IF(INDEX('MF Overview'!$C$36:$C$54,MATCH(N$5,'MF Overview'!$B$36:$B$54,0),1)=$D15,1,0))</f>
        <v>0</v>
      </c>
      <c r="O15" s="551">
        <f ca="1">IF(O$6=0,0,IF(INDEX('MF Overview'!$C$36:$C$54,MATCH(O$5,'MF Overview'!$B$36:$B$54,0),1)=$D15,1,0))</f>
        <v>0</v>
      </c>
      <c r="P15" s="551">
        <f ca="1">IF(P$6=0,0,IF(INDEX('MF Overview'!$C$36:$C$54,MATCH(P$5,'MF Overview'!$B$36:$B$54,0),1)=$D15,1,0))</f>
        <v>0</v>
      </c>
      <c r="Q15" s="551">
        <f ca="1">IF(Q$6=0,0,IF(INDEX('MF Overview'!$C$36:$C$54,MATCH(Q$5,'MF Overview'!$B$36:$B$54,0),1)=$D15,1,0))</f>
        <v>0</v>
      </c>
      <c r="R15" s="551">
        <f ca="1">IF(R$6=0,0,IF(INDEX('MF Overview'!$C$36:$C$54,MATCH(R$5,'MF Overview'!$B$36:$B$54,0),1)=$D15,1,0))</f>
        <v>0</v>
      </c>
      <c r="S15" s="551">
        <f ca="1">IF(S$6=0,0,IF(INDEX('MF Overview'!$C$36:$C$54,MATCH(S$5,'MF Overview'!$B$36:$B$54,0),1)=$D15,1,0))</f>
        <v>0</v>
      </c>
      <c r="T15" s="551">
        <f ca="1">IF(T$6=0,0,IF(INDEX('MF Overview'!$C$36:$C$54,MATCH(T$5,'MF Overview'!$B$36:$B$54,0),1)=$D15,1,0))</f>
        <v>0</v>
      </c>
      <c r="U15" s="551">
        <f ca="1">IF(U$6=0,0,IF(INDEX('MF Overview'!$C$36:$C$54,MATCH(U$5,'MF Overview'!$B$36:$B$54,0),1)=$D15,1,0))</f>
        <v>0</v>
      </c>
      <c r="V15" s="551">
        <f>IF(V$6=0,0,IF(INDEX('MF Overview'!$C$36:$C$54,MATCH(V$5,'MF Overview'!$B$36:$B$54,0),1)=$D15,1,0))</f>
        <v>0</v>
      </c>
      <c r="W15" s="551">
        <f>IF(W$6=0,0,IF(INDEX('MF Overview'!$C$36:$C$54,MATCH(W$5,'MF Overview'!$B$36:$B$54,0),1)=$D15,1,0))</f>
        <v>0</v>
      </c>
      <c r="X15" s="550">
        <f>IF(X$6=0,0,IF(INDEX('MF Overview'!$C$36:$C$54,MATCH(X$5,'MF Overview'!$B$36:$B$54,0),1)=$D15,1,0))</f>
        <v>0</v>
      </c>
      <c r="Y15" s="432"/>
      <c r="Z15" s="532"/>
      <c r="AA15" s="394"/>
      <c r="AB15" s="208"/>
      <c r="AC15" s="208"/>
      <c r="AJ15" s="1">
        <v>4</v>
      </c>
      <c r="AK15" s="1">
        <v>32</v>
      </c>
      <c r="AL15" s="17">
        <v>1.25</v>
      </c>
    </row>
    <row r="16" spans="2:38" outlineLevel="1">
      <c r="B16" s="21"/>
      <c r="D16" s="5">
        <v>4</v>
      </c>
      <c r="E16" s="1" t="s">
        <v>960</v>
      </c>
      <c r="F16" s="551">
        <f ca="1">IF(F$6=0,0,IF(INDEX('MF Overview'!$C$36:$C$54,MATCH(F$5,'MF Overview'!$B$36:$B$54,0),1)=$D16,1,0))</f>
        <v>0</v>
      </c>
      <c r="G16" s="551">
        <f ca="1">IF(G$6=0,0,IF(INDEX('MF Overview'!$C$36:$C$54,MATCH(G$5,'MF Overview'!$B$36:$B$54,0),1)=$D16,1,0))</f>
        <v>0</v>
      </c>
      <c r="H16" s="551">
        <f ca="1">IF(H$6=0,0,IF(INDEX('MF Overview'!$C$36:$C$54,MATCH(H$5,'MF Overview'!$B$36:$B$54,0),1)=$D16,1,0))</f>
        <v>0</v>
      </c>
      <c r="I16" s="551">
        <f ca="1">IF(I$6=0,0,IF(INDEX('MF Overview'!$C$36:$C$54,MATCH(I$5,'MF Overview'!$B$36:$B$54,0),1)=$D16,1,0))</f>
        <v>0</v>
      </c>
      <c r="J16" s="551">
        <f ca="1">IF(J$6=0,0,IF(INDEX('MF Overview'!$C$36:$C$54,MATCH(J$5,'MF Overview'!$B$36:$B$54,0),1)=$D16,1,0))</f>
        <v>0</v>
      </c>
      <c r="K16" s="551">
        <f ca="1">IF(K$6=0,0,IF(INDEX('MF Overview'!$C$36:$C$54,MATCH(K$5,'MF Overview'!$B$36:$B$54,0),1)=$D16,1,0))</f>
        <v>0</v>
      </c>
      <c r="L16" s="551">
        <f ca="1">IF(L$6=0,0,IF(INDEX('MF Overview'!$C$36:$C$54,MATCH(L$5,'MF Overview'!$B$36:$B$54,0),1)=$D16,1,0))</f>
        <v>0</v>
      </c>
      <c r="M16" s="551">
        <f ca="1">IF(M$6=0,0,IF(INDEX('MF Overview'!$C$36:$C$54,MATCH(M$5,'MF Overview'!$B$36:$B$54,0),1)=$D16,1,0))</f>
        <v>0</v>
      </c>
      <c r="N16" s="551">
        <f ca="1">IF(N$6=0,0,IF(INDEX('MF Overview'!$C$36:$C$54,MATCH(N$5,'MF Overview'!$B$36:$B$54,0),1)=$D16,1,0))</f>
        <v>0</v>
      </c>
      <c r="O16" s="551">
        <f ca="1">IF(O$6=0,0,IF(INDEX('MF Overview'!$C$36:$C$54,MATCH(O$5,'MF Overview'!$B$36:$B$54,0),1)=$D16,1,0))</f>
        <v>0</v>
      </c>
      <c r="P16" s="551">
        <f ca="1">IF(P$6=0,0,IF(INDEX('MF Overview'!$C$36:$C$54,MATCH(P$5,'MF Overview'!$B$36:$B$54,0),1)=$D16,1,0))</f>
        <v>0</v>
      </c>
      <c r="Q16" s="551">
        <f ca="1">IF(Q$6=0,0,IF(INDEX('MF Overview'!$C$36:$C$54,MATCH(Q$5,'MF Overview'!$B$36:$B$54,0),1)=$D16,1,0))</f>
        <v>0</v>
      </c>
      <c r="R16" s="551">
        <f ca="1">IF(R$6=0,0,IF(INDEX('MF Overview'!$C$36:$C$54,MATCH(R$5,'MF Overview'!$B$36:$B$54,0),1)=$D16,1,0))</f>
        <v>0</v>
      </c>
      <c r="S16" s="551">
        <f ca="1">IF(S$6=0,0,IF(INDEX('MF Overview'!$C$36:$C$54,MATCH(S$5,'MF Overview'!$B$36:$B$54,0),1)=$D16,1,0))</f>
        <v>0</v>
      </c>
      <c r="T16" s="551">
        <f ca="1">IF(T$6=0,0,IF(INDEX('MF Overview'!$C$36:$C$54,MATCH(T$5,'MF Overview'!$B$36:$B$54,0),1)=$D16,1,0))</f>
        <v>0</v>
      </c>
      <c r="U16" s="551">
        <f ca="1">IF(U$6=0,0,IF(INDEX('MF Overview'!$C$36:$C$54,MATCH(U$5,'MF Overview'!$B$36:$B$54,0),1)=$D16,1,0))</f>
        <v>0</v>
      </c>
      <c r="V16" s="551">
        <f>IF(V$6=0,0,IF(INDEX('MF Overview'!$C$36:$C$54,MATCH(V$5,'MF Overview'!$B$36:$B$54,0),1)=$D16,1,0))</f>
        <v>0</v>
      </c>
      <c r="W16" s="551">
        <f>IF(W$6=0,0,IF(INDEX('MF Overview'!$C$36:$C$54,MATCH(W$5,'MF Overview'!$B$36:$B$54,0),1)=$D16,1,0))</f>
        <v>0</v>
      </c>
      <c r="X16" s="550">
        <f>IF(X$6=0,0,IF(INDEX('MF Overview'!$C$36:$C$54,MATCH(X$5,'MF Overview'!$B$36:$B$54,0),1)=$D16,1,0))</f>
        <v>0</v>
      </c>
      <c r="Y16" s="432"/>
      <c r="Z16" s="532"/>
      <c r="AA16" s="394"/>
      <c r="AB16" s="208"/>
      <c r="AC16" s="208"/>
      <c r="AI16" s="64"/>
      <c r="AJ16" s="101">
        <v>5</v>
      </c>
      <c r="AK16" s="101">
        <v>38</v>
      </c>
      <c r="AL16" s="600">
        <v>2</v>
      </c>
    </row>
    <row r="17" spans="2:44" outlineLevel="1">
      <c r="B17" s="21"/>
      <c r="D17" s="5">
        <v>5</v>
      </c>
      <c r="E17" s="1" t="s">
        <v>960</v>
      </c>
      <c r="F17" s="551">
        <f ca="1">IF(F$6=0,0,IF(INDEX('MF Overview'!$C$36:$C$54,MATCH(F$5,'MF Overview'!$B$36:$B$54,0),1)=$D17,1,0))</f>
        <v>0</v>
      </c>
      <c r="G17" s="551">
        <f ca="1">IF(G$6=0,0,IF(INDEX('MF Overview'!$C$36:$C$54,MATCH(G$5,'MF Overview'!$B$36:$B$54,0),1)=$D17,1,0))</f>
        <v>0</v>
      </c>
      <c r="H17" s="551">
        <f ca="1">IF(H$6=0,0,IF(INDEX('MF Overview'!$C$36:$C$54,MATCH(H$5,'MF Overview'!$B$36:$B$54,0),1)=$D17,1,0))</f>
        <v>0</v>
      </c>
      <c r="I17" s="551">
        <f ca="1">IF(I$6=0,0,IF(INDEX('MF Overview'!$C$36:$C$54,MATCH(I$5,'MF Overview'!$B$36:$B$54,0),1)=$D17,1,0))</f>
        <v>0</v>
      </c>
      <c r="J17" s="551">
        <f ca="1">IF(J$6=0,0,IF(INDEX('MF Overview'!$C$36:$C$54,MATCH(J$5,'MF Overview'!$B$36:$B$54,0),1)=$D17,1,0))</f>
        <v>0</v>
      </c>
      <c r="K17" s="551">
        <f ca="1">IF(K$6=0,0,IF(INDEX('MF Overview'!$C$36:$C$54,MATCH(K$5,'MF Overview'!$B$36:$B$54,0),1)=$D17,1,0))</f>
        <v>0</v>
      </c>
      <c r="L17" s="551">
        <f ca="1">IF(L$6=0,0,IF(INDEX('MF Overview'!$C$36:$C$54,MATCH(L$5,'MF Overview'!$B$36:$B$54,0),1)=$D17,1,0))</f>
        <v>0</v>
      </c>
      <c r="M17" s="551">
        <f ca="1">IF(M$6=0,0,IF(INDEX('MF Overview'!$C$36:$C$54,MATCH(M$5,'MF Overview'!$B$36:$B$54,0),1)=$D17,1,0))</f>
        <v>0</v>
      </c>
      <c r="N17" s="551">
        <f ca="1">IF(N$6=0,0,IF(INDEX('MF Overview'!$C$36:$C$54,MATCH(N$5,'MF Overview'!$B$36:$B$54,0),1)=$D17,1,0))</f>
        <v>0</v>
      </c>
      <c r="O17" s="551">
        <f ca="1">IF(O$6=0,0,IF(INDEX('MF Overview'!$C$36:$C$54,MATCH(O$5,'MF Overview'!$B$36:$B$54,0),1)=$D17,1,0))</f>
        <v>0</v>
      </c>
      <c r="P17" s="551">
        <f ca="1">IF(P$6=0,0,IF(INDEX('MF Overview'!$C$36:$C$54,MATCH(P$5,'MF Overview'!$B$36:$B$54,0),1)=$D17,1,0))</f>
        <v>0</v>
      </c>
      <c r="Q17" s="551">
        <f ca="1">IF(Q$6=0,0,IF(INDEX('MF Overview'!$C$36:$C$54,MATCH(Q$5,'MF Overview'!$B$36:$B$54,0),1)=$D17,1,0))</f>
        <v>0</v>
      </c>
      <c r="R17" s="551">
        <f ca="1">IF(R$6=0,0,IF(INDEX('MF Overview'!$C$36:$C$54,MATCH(R$5,'MF Overview'!$B$36:$B$54,0),1)=$D17,1,0))</f>
        <v>0</v>
      </c>
      <c r="S17" s="551">
        <f ca="1">IF(S$6=0,0,IF(INDEX('MF Overview'!$C$36:$C$54,MATCH(S$5,'MF Overview'!$B$36:$B$54,0),1)=$D17,1,0))</f>
        <v>0</v>
      </c>
      <c r="T17" s="551">
        <f ca="1">IF(T$6=0,0,IF(INDEX('MF Overview'!$C$36:$C$54,MATCH(T$5,'MF Overview'!$B$36:$B$54,0),1)=$D17,1,0))</f>
        <v>0</v>
      </c>
      <c r="U17" s="551">
        <f ca="1">IF(U$6=0,0,IF(INDEX('MF Overview'!$C$36:$C$54,MATCH(U$5,'MF Overview'!$B$36:$B$54,0),1)=$D17,1,0))</f>
        <v>0</v>
      </c>
      <c r="V17" s="551">
        <f>IF(V$6=0,0,IF(INDEX('MF Overview'!$C$36:$C$54,MATCH(V$5,'MF Overview'!$B$36:$B$54,0),1)=$D17,1,0))</f>
        <v>0</v>
      </c>
      <c r="W17" s="551">
        <f>IF(W$6=0,0,IF(INDEX('MF Overview'!$C$36:$C$54,MATCH(W$5,'MF Overview'!$B$36:$B$54,0),1)=$D17,1,0))</f>
        <v>0</v>
      </c>
      <c r="X17" s="550">
        <f>IF(X$6=0,0,IF(INDEX('MF Overview'!$C$36:$C$54,MATCH(X$5,'MF Overview'!$B$36:$B$54,0),1)=$D17,1,0))</f>
        <v>0</v>
      </c>
      <c r="Y17" s="432"/>
      <c r="Z17" s="532"/>
      <c r="AA17" s="394"/>
      <c r="AB17" s="208"/>
      <c r="AC17" s="208"/>
    </row>
    <row r="18" spans="2:44" outlineLevel="1">
      <c r="B18" s="21"/>
      <c r="D18" s="943" t="s">
        <v>1133</v>
      </c>
      <c r="E18" s="941"/>
      <c r="F18" s="542"/>
      <c r="G18" s="542"/>
      <c r="H18" s="542"/>
      <c r="I18" s="542"/>
      <c r="J18" s="542"/>
      <c r="K18" s="542"/>
      <c r="L18" s="542"/>
      <c r="M18" s="542"/>
      <c r="N18" s="542"/>
      <c r="O18" s="542"/>
      <c r="P18" s="542"/>
      <c r="Q18" s="542"/>
      <c r="R18" s="542"/>
      <c r="S18" s="542"/>
      <c r="T18" s="542"/>
      <c r="U18" s="542"/>
      <c r="V18" s="542"/>
      <c r="W18" s="542"/>
      <c r="X18" s="542"/>
      <c r="Y18" s="432"/>
      <c r="Z18" s="532"/>
      <c r="AA18" s="394"/>
      <c r="AB18" s="208"/>
      <c r="AC18" s="208"/>
    </row>
    <row r="19" spans="2:44" outlineLevel="1">
      <c r="B19" s="21"/>
      <c r="D19" s="5">
        <v>1.5</v>
      </c>
      <c r="E19" s="1" t="s">
        <v>960</v>
      </c>
      <c r="F19" s="551">
        <f ca="1">IF(F$6=0,0,IF(INDEX('MF Overview'!$D$36:$D$54,MATCH(F$5,'MF Overview'!$B$36:$B$54,0),1)=$D19,1,0))</f>
        <v>0</v>
      </c>
      <c r="G19" s="551">
        <f ca="1">IF(G$6=0,0,IF(INDEX('MF Overview'!$D$36:$D$54,MATCH(G$5,'MF Overview'!$B$36:$B$54,0),1)=$D19,1,0))</f>
        <v>0</v>
      </c>
      <c r="H19" s="551">
        <f ca="1">IF(H$6=0,0,IF(INDEX('MF Overview'!$D$36:$D$54,MATCH(H$5,'MF Overview'!$B$36:$B$54,0),1)=$D19,1,0))</f>
        <v>0</v>
      </c>
      <c r="I19" s="551">
        <f ca="1">IF(I$6=0,0,IF(INDEX('MF Overview'!$D$36:$D$54,MATCH(I$5,'MF Overview'!$B$36:$B$54,0),1)=$D19,1,0))</f>
        <v>0</v>
      </c>
      <c r="J19" s="551">
        <f ca="1">IF(J$6=0,0,IF(INDEX('MF Overview'!$D$36:$D$54,MATCH(J$5,'MF Overview'!$B$36:$B$54,0),1)=$D19,1,0))</f>
        <v>0</v>
      </c>
      <c r="K19" s="551">
        <f ca="1">IF(K$6=0,0,IF(INDEX('MF Overview'!$D$36:$D$54,MATCH(K$5,'MF Overview'!$B$36:$B$54,0),1)=$D19,1,0))</f>
        <v>0</v>
      </c>
      <c r="L19" s="551">
        <f ca="1">IF(L$6=0,0,IF(INDEX('MF Overview'!$D$36:$D$54,MATCH(L$5,'MF Overview'!$B$36:$B$54,0),1)=$D19,1,0))</f>
        <v>0</v>
      </c>
      <c r="M19" s="551">
        <f ca="1">IF(M$6=0,0,IF(INDEX('MF Overview'!$D$36:$D$54,MATCH(M$5,'MF Overview'!$B$36:$B$54,0),1)=$D19,1,0))</f>
        <v>0</v>
      </c>
      <c r="N19" s="551">
        <f ca="1">IF(N$6=0,0,IF(INDEX('MF Overview'!$D$36:$D$54,MATCH(N$5,'MF Overview'!$B$36:$B$54,0),1)=$D19,1,0))</f>
        <v>0</v>
      </c>
      <c r="O19" s="551">
        <f ca="1">IF(O$6=0,0,IF(INDEX('MF Overview'!$D$36:$D$54,MATCH(O$5,'MF Overview'!$B$36:$B$54,0),1)=$D19,1,0))</f>
        <v>0</v>
      </c>
      <c r="P19" s="551">
        <f ca="1">IF(P$6=0,0,IF(INDEX('MF Overview'!$D$36:$D$54,MATCH(P$5,'MF Overview'!$B$36:$B$54,0),1)=$D19,1,0))</f>
        <v>0</v>
      </c>
      <c r="Q19" s="551">
        <f ca="1">IF(Q$6=0,0,IF(INDEX('MF Overview'!$D$36:$D$54,MATCH(Q$5,'MF Overview'!$B$36:$B$54,0),1)=$D19,1,0))</f>
        <v>0</v>
      </c>
      <c r="R19" s="551">
        <f ca="1">IF(R$6=0,0,IF(INDEX('MF Overview'!$D$36:$D$54,MATCH(R$5,'MF Overview'!$B$36:$B$54,0),1)=$D19,1,0))</f>
        <v>0</v>
      </c>
      <c r="S19" s="551">
        <f ca="1">IF(S$6=0,0,IF(INDEX('MF Overview'!$D$36:$D$54,MATCH(S$5,'MF Overview'!$B$36:$B$54,0),1)=$D19,1,0))</f>
        <v>0</v>
      </c>
      <c r="T19" s="551">
        <f ca="1">IF(T$6=0,0,IF(INDEX('MF Overview'!$D$36:$D$54,MATCH(T$5,'MF Overview'!$B$36:$B$54,0),1)=$D19,1,0))</f>
        <v>0</v>
      </c>
      <c r="U19" s="551">
        <f ca="1">IF(U$6=0,0,IF(INDEX('MF Overview'!$D$36:$D$54,MATCH(U$5,'MF Overview'!$B$36:$B$54,0),1)=$D19,1,0))</f>
        <v>0</v>
      </c>
      <c r="V19" s="551">
        <f>IF(V$6=0,0,IF(INDEX('MF Overview'!$D$36:$D$54,MATCH(V$5,'MF Overview'!$B$36:$B$54,0),1)=$D19,1,0))</f>
        <v>0</v>
      </c>
      <c r="W19" s="551">
        <f>IF(W$6=0,0,IF(INDEX('MF Overview'!$D$36:$D$54,MATCH(W$5,'MF Overview'!$B$36:$B$54,0),1)=$D19,1,0))</f>
        <v>0</v>
      </c>
      <c r="X19" s="550">
        <f>IF(X$6=0,0,IF(INDEX('MF Overview'!$D$36:$D$54,MATCH(X$5,'MF Overview'!$B$36:$B$54,0),1)=$D19,1,0))</f>
        <v>0</v>
      </c>
      <c r="Y19" s="432"/>
      <c r="Z19" s="532"/>
      <c r="AA19" s="394"/>
      <c r="AB19" s="208"/>
      <c r="AC19" s="208"/>
      <c r="AI19" t="s">
        <v>1134</v>
      </c>
      <c r="AJ19" s="1" t="s">
        <v>686</v>
      </c>
      <c r="AK19" s="1">
        <v>8</v>
      </c>
    </row>
    <row r="20" spans="2:44" outlineLevel="1">
      <c r="B20" s="21"/>
      <c r="D20" s="5">
        <v>2</v>
      </c>
      <c r="E20" s="1" t="s">
        <v>960</v>
      </c>
      <c r="F20" s="551">
        <f ca="1">IF(F$6=0,0,IF(INDEX('MF Overview'!$D$36:$D$54,MATCH(F$5,'MF Overview'!$B$36:$B$54,0),1)=$D20,1,0))</f>
        <v>0</v>
      </c>
      <c r="G20" s="551">
        <f ca="1">IF(G$6=0,0,IF(INDEX('MF Overview'!$D$36:$D$54,MATCH(G$5,'MF Overview'!$B$36:$B$54,0),1)=$D20,1,0))</f>
        <v>0</v>
      </c>
      <c r="H20" s="551">
        <f ca="1">IF(H$6=0,0,IF(INDEX('MF Overview'!$D$36:$D$54,MATCH(H$5,'MF Overview'!$B$36:$B$54,0),1)=$D20,1,0))</f>
        <v>0</v>
      </c>
      <c r="I20" s="551">
        <f ca="1">IF(I$6=0,0,IF(INDEX('MF Overview'!$D$36:$D$54,MATCH(I$5,'MF Overview'!$B$36:$B$54,0),1)=$D20,1,0))</f>
        <v>0</v>
      </c>
      <c r="J20" s="551">
        <f ca="1">IF(J$6=0,0,IF(INDEX('MF Overview'!$D$36:$D$54,MATCH(J$5,'MF Overview'!$B$36:$B$54,0),1)=$D20,1,0))</f>
        <v>0</v>
      </c>
      <c r="K20" s="551">
        <f ca="1">IF(K$6=0,0,IF(INDEX('MF Overview'!$D$36:$D$54,MATCH(K$5,'MF Overview'!$B$36:$B$54,0),1)=$D20,1,0))</f>
        <v>0</v>
      </c>
      <c r="L20" s="551">
        <f ca="1">IF(L$6=0,0,IF(INDEX('MF Overview'!$D$36:$D$54,MATCH(L$5,'MF Overview'!$B$36:$B$54,0),1)=$D20,1,0))</f>
        <v>0</v>
      </c>
      <c r="M20" s="551">
        <f ca="1">IF(M$6=0,0,IF(INDEX('MF Overview'!$D$36:$D$54,MATCH(M$5,'MF Overview'!$B$36:$B$54,0),1)=$D20,1,0))</f>
        <v>0</v>
      </c>
      <c r="N20" s="551">
        <f ca="1">IF(N$6=0,0,IF(INDEX('MF Overview'!$D$36:$D$54,MATCH(N$5,'MF Overview'!$B$36:$B$54,0),1)=$D20,1,0))</f>
        <v>0</v>
      </c>
      <c r="O20" s="551">
        <f ca="1">IF(O$6=0,0,IF(INDEX('MF Overview'!$D$36:$D$54,MATCH(O$5,'MF Overview'!$B$36:$B$54,0),1)=$D20,1,0))</f>
        <v>0</v>
      </c>
      <c r="P20" s="551">
        <f ca="1">IF(P$6=0,0,IF(INDEX('MF Overview'!$D$36:$D$54,MATCH(P$5,'MF Overview'!$B$36:$B$54,0),1)=$D20,1,0))</f>
        <v>0</v>
      </c>
      <c r="Q20" s="551">
        <f ca="1">IF(Q$6=0,0,IF(INDEX('MF Overview'!$D$36:$D$54,MATCH(Q$5,'MF Overview'!$B$36:$B$54,0),1)=$D20,1,0))</f>
        <v>0</v>
      </c>
      <c r="R20" s="551">
        <f ca="1">IF(R$6=0,0,IF(INDEX('MF Overview'!$D$36:$D$54,MATCH(R$5,'MF Overview'!$B$36:$B$54,0),1)=$D20,1,0))</f>
        <v>0</v>
      </c>
      <c r="S20" s="551">
        <f ca="1">IF(S$6=0,0,IF(INDEX('MF Overview'!$D$36:$D$54,MATCH(S$5,'MF Overview'!$B$36:$B$54,0),1)=$D20,1,0))</f>
        <v>0</v>
      </c>
      <c r="T20" s="551">
        <f ca="1">IF(T$6=0,0,IF(INDEX('MF Overview'!$D$36:$D$54,MATCH(T$5,'MF Overview'!$B$36:$B$54,0),1)=$D20,1,0))</f>
        <v>0</v>
      </c>
      <c r="U20" s="551">
        <f ca="1">IF(U$6=0,0,IF(INDEX('MF Overview'!$D$36:$D$54,MATCH(U$5,'MF Overview'!$B$36:$B$54,0),1)=$D20,1,0))</f>
        <v>0</v>
      </c>
      <c r="V20" s="551">
        <f>IF(V$6=0,0,IF(INDEX('MF Overview'!$D$36:$D$54,MATCH(V$5,'MF Overview'!$B$36:$B$54,0),1)=$D20,1,0))</f>
        <v>0</v>
      </c>
      <c r="W20" s="551">
        <f>IF(W$6=0,0,IF(INDEX('MF Overview'!$D$36:$D$54,MATCH(W$5,'MF Overview'!$B$36:$B$54,0),1)=$D20,1,0))</f>
        <v>0</v>
      </c>
      <c r="X20" s="550">
        <f>IF(X$6=0,0,IF(INDEX('MF Overview'!$D$36:$D$54,MATCH(X$5,'MF Overview'!$B$36:$B$54,0),1)=$D20,1,0))</f>
        <v>0</v>
      </c>
      <c r="Y20" s="432"/>
      <c r="Z20" s="532"/>
      <c r="AA20" s="394"/>
      <c r="AB20" s="208"/>
      <c r="AC20" s="208"/>
      <c r="AI20" t="s">
        <v>1135</v>
      </c>
      <c r="AJ20" s="1" t="s">
        <v>686</v>
      </c>
      <c r="AK20" s="1">
        <v>7</v>
      </c>
    </row>
    <row r="21" spans="2:44" outlineLevel="1">
      <c r="B21" s="21"/>
      <c r="D21" s="5">
        <v>2.5</v>
      </c>
      <c r="E21" s="1" t="s">
        <v>960</v>
      </c>
      <c r="F21" s="551">
        <f ca="1">IF(F$6=0,0,IF(INDEX('MF Overview'!$D$36:$D$54,MATCH(F$5,'MF Overview'!$B$36:$B$54,0),1)=$D21,1,0))</f>
        <v>0</v>
      </c>
      <c r="G21" s="551">
        <f ca="1">IF(G$6=0,0,IF(INDEX('MF Overview'!$D$36:$D$54,MATCH(G$5,'MF Overview'!$B$36:$B$54,0),1)=$D21,1,0))</f>
        <v>0</v>
      </c>
      <c r="H21" s="551">
        <f ca="1">IF(H$6=0,0,IF(INDEX('MF Overview'!$D$36:$D$54,MATCH(H$5,'MF Overview'!$B$36:$B$54,0),1)=$D21,1,0))</f>
        <v>0</v>
      </c>
      <c r="I21" s="551">
        <f ca="1">IF(I$6=0,0,IF(INDEX('MF Overview'!$D$36:$D$54,MATCH(I$5,'MF Overview'!$B$36:$B$54,0),1)=$D21,1,0))</f>
        <v>0</v>
      </c>
      <c r="J21" s="551">
        <f ca="1">IF(J$6=0,0,IF(INDEX('MF Overview'!$D$36:$D$54,MATCH(J$5,'MF Overview'!$B$36:$B$54,0),1)=$D21,1,0))</f>
        <v>0</v>
      </c>
      <c r="K21" s="551">
        <f ca="1">IF(K$6=0,0,IF(INDEX('MF Overview'!$D$36:$D$54,MATCH(K$5,'MF Overview'!$B$36:$B$54,0),1)=$D21,1,0))</f>
        <v>0</v>
      </c>
      <c r="L21" s="551">
        <f ca="1">IF(L$6=0,0,IF(INDEX('MF Overview'!$D$36:$D$54,MATCH(L$5,'MF Overview'!$B$36:$B$54,0),1)=$D21,1,0))</f>
        <v>0</v>
      </c>
      <c r="M21" s="551">
        <f ca="1">IF(M$6=0,0,IF(INDEX('MF Overview'!$D$36:$D$54,MATCH(M$5,'MF Overview'!$B$36:$B$54,0),1)=$D21,1,0))</f>
        <v>0</v>
      </c>
      <c r="N21" s="551">
        <f ca="1">IF(N$6=0,0,IF(INDEX('MF Overview'!$D$36:$D$54,MATCH(N$5,'MF Overview'!$B$36:$B$54,0),1)=$D21,1,0))</f>
        <v>0</v>
      </c>
      <c r="O21" s="551">
        <f ca="1">IF(O$6=0,0,IF(INDEX('MF Overview'!$D$36:$D$54,MATCH(O$5,'MF Overview'!$B$36:$B$54,0),1)=$D21,1,0))</f>
        <v>0</v>
      </c>
      <c r="P21" s="551">
        <f ca="1">IF(P$6=0,0,IF(INDEX('MF Overview'!$D$36:$D$54,MATCH(P$5,'MF Overview'!$B$36:$B$54,0),1)=$D21,1,0))</f>
        <v>0</v>
      </c>
      <c r="Q21" s="551">
        <f ca="1">IF(Q$6=0,0,IF(INDEX('MF Overview'!$D$36:$D$54,MATCH(Q$5,'MF Overview'!$B$36:$B$54,0),1)=$D21,1,0))</f>
        <v>0</v>
      </c>
      <c r="R21" s="551">
        <f ca="1">IF(R$6=0,0,IF(INDEX('MF Overview'!$D$36:$D$54,MATCH(R$5,'MF Overview'!$B$36:$B$54,0),1)=$D21,1,0))</f>
        <v>0</v>
      </c>
      <c r="S21" s="551">
        <f ca="1">IF(S$6=0,0,IF(INDEX('MF Overview'!$D$36:$D$54,MATCH(S$5,'MF Overview'!$B$36:$B$54,0),1)=$D21,1,0))</f>
        <v>0</v>
      </c>
      <c r="T21" s="551">
        <f ca="1">IF(T$6=0,0,IF(INDEX('MF Overview'!$D$36:$D$54,MATCH(T$5,'MF Overview'!$B$36:$B$54,0),1)=$D21,1,0))</f>
        <v>1</v>
      </c>
      <c r="U21" s="551">
        <f ca="1">IF(U$6=0,0,IF(INDEX('MF Overview'!$D$36:$D$54,MATCH(U$5,'MF Overview'!$B$36:$B$54,0),1)=$D21,1,0))</f>
        <v>1</v>
      </c>
      <c r="V21" s="551">
        <f>IF(V$6=0,0,IF(INDEX('MF Overview'!$D$36:$D$54,MATCH(V$5,'MF Overview'!$B$36:$B$54,0),1)=$D21,1,0))</f>
        <v>0</v>
      </c>
      <c r="W21" s="551">
        <f>IF(W$6=0,0,IF(INDEX('MF Overview'!$D$36:$D$54,MATCH(W$5,'MF Overview'!$B$36:$B$54,0),1)=$D21,1,0))</f>
        <v>0</v>
      </c>
      <c r="X21" s="550">
        <f>IF(X$6=0,0,IF(INDEX('MF Overview'!$D$36:$D$54,MATCH(X$5,'MF Overview'!$B$36:$B$54,0),1)=$D21,1,0))</f>
        <v>0</v>
      </c>
      <c r="Y21" s="432"/>
      <c r="Z21" s="532"/>
      <c r="AA21" s="394"/>
      <c r="AB21" s="208"/>
      <c r="AC21" s="208"/>
      <c r="AI21" t="s">
        <v>1136</v>
      </c>
      <c r="AJ21" s="1" t="s">
        <v>686</v>
      </c>
      <c r="AK21" s="1">
        <v>5</v>
      </c>
    </row>
    <row r="22" spans="2:44" outlineLevel="1">
      <c r="B22" s="21"/>
      <c r="D22" s="5">
        <v>3</v>
      </c>
      <c r="E22" s="1" t="s">
        <v>960</v>
      </c>
      <c r="F22" s="551">
        <f ca="1">IF(F$6=0,0,IF(INDEX('MF Overview'!$D$36:$D$54,MATCH(F$5,'MF Overview'!$B$36:$B$54,0),1)=$D22,1,0))</f>
        <v>0</v>
      </c>
      <c r="G22" s="551">
        <f ca="1">IF(G$6=0,0,IF(INDEX('MF Overview'!$D$36:$D$54,MATCH(G$5,'MF Overview'!$B$36:$B$54,0),1)=$D22,1,0))</f>
        <v>0</v>
      </c>
      <c r="H22" s="551">
        <f ca="1">IF(H$6=0,0,IF(INDEX('MF Overview'!$D$36:$D$54,MATCH(H$5,'MF Overview'!$B$36:$B$54,0),1)=$D22,1,0))</f>
        <v>0</v>
      </c>
      <c r="I22" s="551">
        <f ca="1">IF(I$6=0,0,IF(INDEX('MF Overview'!$D$36:$D$54,MATCH(I$5,'MF Overview'!$B$36:$B$54,0),1)=$D22,1,0))</f>
        <v>0</v>
      </c>
      <c r="J22" s="551">
        <f ca="1">IF(J$6=0,0,IF(INDEX('MF Overview'!$D$36:$D$54,MATCH(J$5,'MF Overview'!$B$36:$B$54,0),1)=$D22,1,0))</f>
        <v>0</v>
      </c>
      <c r="K22" s="551">
        <f ca="1">IF(K$6=0,0,IF(INDEX('MF Overview'!$D$36:$D$54,MATCH(K$5,'MF Overview'!$B$36:$B$54,0),1)=$D22,1,0))</f>
        <v>0</v>
      </c>
      <c r="L22" s="551">
        <f ca="1">IF(L$6=0,0,IF(INDEX('MF Overview'!$D$36:$D$54,MATCH(L$5,'MF Overview'!$B$36:$B$54,0),1)=$D22,1,0))</f>
        <v>0</v>
      </c>
      <c r="M22" s="551">
        <f ca="1">IF(M$6=0,0,IF(INDEX('MF Overview'!$D$36:$D$54,MATCH(M$5,'MF Overview'!$B$36:$B$54,0),1)=$D22,1,0))</f>
        <v>0</v>
      </c>
      <c r="N22" s="551">
        <f ca="1">IF(N$6=0,0,IF(INDEX('MF Overview'!$D$36:$D$54,MATCH(N$5,'MF Overview'!$B$36:$B$54,0),1)=$D22,1,0))</f>
        <v>0</v>
      </c>
      <c r="O22" s="551">
        <f ca="1">IF(O$6=0,0,IF(INDEX('MF Overview'!$D$36:$D$54,MATCH(O$5,'MF Overview'!$B$36:$B$54,0),1)=$D22,1,0))</f>
        <v>0</v>
      </c>
      <c r="P22" s="551">
        <f ca="1">IF(P$6=0,0,IF(INDEX('MF Overview'!$D$36:$D$54,MATCH(P$5,'MF Overview'!$B$36:$B$54,0),1)=$D22,1,0))</f>
        <v>0</v>
      </c>
      <c r="Q22" s="551">
        <f ca="1">IF(Q$6=0,0,IF(INDEX('MF Overview'!$D$36:$D$54,MATCH(Q$5,'MF Overview'!$B$36:$B$54,0),1)=$D22,1,0))</f>
        <v>0</v>
      </c>
      <c r="R22" s="551">
        <f ca="1">IF(R$6=0,0,IF(INDEX('MF Overview'!$D$36:$D$54,MATCH(R$5,'MF Overview'!$B$36:$B$54,0),1)=$D22,1,0))</f>
        <v>0</v>
      </c>
      <c r="S22" s="551">
        <f ca="1">IF(S$6=0,0,IF(INDEX('MF Overview'!$D$36:$D$54,MATCH(S$5,'MF Overview'!$B$36:$B$54,0),1)=$D22,1,0))</f>
        <v>0</v>
      </c>
      <c r="T22" s="551">
        <f ca="1">IF(T$6=0,0,IF(INDEX('MF Overview'!$D$36:$D$54,MATCH(T$5,'MF Overview'!$B$36:$B$54,0),1)=$D22,1,0))</f>
        <v>0</v>
      </c>
      <c r="U22" s="551">
        <f ca="1">IF(U$6=0,0,IF(INDEX('MF Overview'!$D$36:$D$54,MATCH(U$5,'MF Overview'!$B$36:$B$54,0),1)=$D22,1,0))</f>
        <v>0</v>
      </c>
      <c r="V22" s="551">
        <f>IF(V$6=0,0,IF(INDEX('MF Overview'!$D$36:$D$54,MATCH(V$5,'MF Overview'!$B$36:$B$54,0),1)=$D22,1,0))</f>
        <v>0</v>
      </c>
      <c r="W22" s="551">
        <f>IF(W$6=0,0,IF(INDEX('MF Overview'!$D$36:$D$54,MATCH(W$5,'MF Overview'!$B$36:$B$54,0),1)=$D22,1,0))</f>
        <v>0</v>
      </c>
      <c r="X22" s="550">
        <f>IF(X$6=0,0,IF(INDEX('MF Overview'!$D$36:$D$54,MATCH(X$5,'MF Overview'!$B$36:$B$54,0),1)=$D22,1,0))</f>
        <v>0</v>
      </c>
      <c r="Y22" s="432"/>
      <c r="Z22" s="532"/>
      <c r="AA22" s="394"/>
      <c r="AB22" s="208"/>
      <c r="AC22" s="208"/>
      <c r="AI22" t="s">
        <v>1137</v>
      </c>
      <c r="AJ22" s="1" t="s">
        <v>686</v>
      </c>
      <c r="AK22" s="1">
        <v>25</v>
      </c>
    </row>
    <row r="23" spans="2:44" outlineLevel="1">
      <c r="B23" s="21"/>
      <c r="D23" s="5">
        <v>3.5</v>
      </c>
      <c r="E23" s="1" t="s">
        <v>960</v>
      </c>
      <c r="F23" s="551">
        <f ca="1">IF(F$6=0,0,IF(INDEX('MF Overview'!$D$36:$D$54,MATCH(F$5,'MF Overview'!$B$36:$B$54,0),1)=$D23,1,0))</f>
        <v>0</v>
      </c>
      <c r="G23" s="551">
        <f ca="1">IF(G$6=0,0,IF(INDEX('MF Overview'!$D$36:$D$54,MATCH(G$5,'MF Overview'!$B$36:$B$54,0),1)=$D23,1,0))</f>
        <v>0</v>
      </c>
      <c r="H23" s="551">
        <f ca="1">IF(H$6=0,0,IF(INDEX('MF Overview'!$D$36:$D$54,MATCH(H$5,'MF Overview'!$B$36:$B$54,0),1)=$D23,1,0))</f>
        <v>0</v>
      </c>
      <c r="I23" s="551">
        <f ca="1">IF(I$6=0,0,IF(INDEX('MF Overview'!$D$36:$D$54,MATCH(I$5,'MF Overview'!$B$36:$B$54,0),1)=$D23,1,0))</f>
        <v>0</v>
      </c>
      <c r="J23" s="551">
        <f ca="1">IF(J$6=0,0,IF(INDEX('MF Overview'!$D$36:$D$54,MATCH(J$5,'MF Overview'!$B$36:$B$54,0),1)=$D23,1,0))</f>
        <v>0</v>
      </c>
      <c r="K23" s="551">
        <f ca="1">IF(K$6=0,0,IF(INDEX('MF Overview'!$D$36:$D$54,MATCH(K$5,'MF Overview'!$B$36:$B$54,0),1)=$D23,1,0))</f>
        <v>0</v>
      </c>
      <c r="L23" s="551">
        <f ca="1">IF(L$6=0,0,IF(INDEX('MF Overview'!$D$36:$D$54,MATCH(L$5,'MF Overview'!$B$36:$B$54,0),1)=$D23,1,0))</f>
        <v>0</v>
      </c>
      <c r="M23" s="551">
        <f ca="1">IF(M$6=0,0,IF(INDEX('MF Overview'!$D$36:$D$54,MATCH(M$5,'MF Overview'!$B$36:$B$54,0),1)=$D23,1,0))</f>
        <v>0</v>
      </c>
      <c r="N23" s="551">
        <f ca="1">IF(N$6=0,0,IF(INDEX('MF Overview'!$D$36:$D$54,MATCH(N$5,'MF Overview'!$B$36:$B$54,0),1)=$D23,1,0))</f>
        <v>0</v>
      </c>
      <c r="O23" s="551">
        <f ca="1">IF(O$6=0,0,IF(INDEX('MF Overview'!$D$36:$D$54,MATCH(O$5,'MF Overview'!$B$36:$B$54,0),1)=$D23,1,0))</f>
        <v>0</v>
      </c>
      <c r="P23" s="551">
        <f ca="1">IF(P$6=0,0,IF(INDEX('MF Overview'!$D$36:$D$54,MATCH(P$5,'MF Overview'!$B$36:$B$54,0),1)=$D23,1,0))</f>
        <v>0</v>
      </c>
      <c r="Q23" s="551">
        <f ca="1">IF(Q$6=0,0,IF(INDEX('MF Overview'!$D$36:$D$54,MATCH(Q$5,'MF Overview'!$B$36:$B$54,0),1)=$D23,1,0))</f>
        <v>0</v>
      </c>
      <c r="R23" s="551">
        <f ca="1">IF(R$6=0,0,IF(INDEX('MF Overview'!$D$36:$D$54,MATCH(R$5,'MF Overview'!$B$36:$B$54,0),1)=$D23,1,0))</f>
        <v>0</v>
      </c>
      <c r="S23" s="551">
        <f ca="1">IF(S$6=0,0,IF(INDEX('MF Overview'!$D$36:$D$54,MATCH(S$5,'MF Overview'!$B$36:$B$54,0),1)=$D23,1,0))</f>
        <v>0</v>
      </c>
      <c r="T23" s="551">
        <f ca="1">IF(T$6=0,0,IF(INDEX('MF Overview'!$D$36:$D$54,MATCH(T$5,'MF Overview'!$B$36:$B$54,0),1)=$D23,1,0))</f>
        <v>0</v>
      </c>
      <c r="U23" s="551">
        <f ca="1">IF(U$6=0,0,IF(INDEX('MF Overview'!$D$36:$D$54,MATCH(U$5,'MF Overview'!$B$36:$B$54,0),1)=$D23,1,0))</f>
        <v>0</v>
      </c>
      <c r="V23" s="551">
        <f>IF(V$6=0,0,IF(INDEX('MF Overview'!$D$36:$D$54,MATCH(V$5,'MF Overview'!$B$36:$B$54,0),1)=$D23,1,0))</f>
        <v>0</v>
      </c>
      <c r="W23" s="551">
        <f>IF(W$6=0,0,IF(INDEX('MF Overview'!$D$36:$D$54,MATCH(W$5,'MF Overview'!$B$36:$B$54,0),1)=$D23,1,0))</f>
        <v>0</v>
      </c>
      <c r="X23" s="550">
        <f>IF(X$6=0,0,IF(INDEX('MF Overview'!$D$36:$D$54,MATCH(X$5,'MF Overview'!$B$36:$B$54,0),1)=$D23,1,0))</f>
        <v>0</v>
      </c>
      <c r="Y23" s="432"/>
      <c r="Z23" s="532"/>
      <c r="AA23" s="394"/>
      <c r="AB23" s="208"/>
      <c r="AC23" s="208"/>
      <c r="AI23" t="s">
        <v>1138</v>
      </c>
      <c r="AJ23" s="1" t="s">
        <v>968</v>
      </c>
      <c r="AK23" s="1">
        <v>0.5</v>
      </c>
    </row>
    <row r="24" spans="2:44" outlineLevel="1">
      <c r="B24" s="21"/>
      <c r="D24" s="5">
        <v>4</v>
      </c>
      <c r="E24" s="1" t="s">
        <v>960</v>
      </c>
      <c r="F24" s="551">
        <f ca="1">IF(F$6=0,0,IF(INDEX('MF Overview'!$D$36:$D$54,MATCH(F$5,'MF Overview'!$B$36:$B$54,0),1)=$D24,1,0))</f>
        <v>0</v>
      </c>
      <c r="G24" s="551">
        <f ca="1">IF(G$6=0,0,IF(INDEX('MF Overview'!$D$36:$D$54,MATCH(G$5,'MF Overview'!$B$36:$B$54,0),1)=$D24,1,0))</f>
        <v>0</v>
      </c>
      <c r="H24" s="551">
        <f ca="1">IF(H$6=0,0,IF(INDEX('MF Overview'!$D$36:$D$54,MATCH(H$5,'MF Overview'!$B$36:$B$54,0),1)=$D24,1,0))</f>
        <v>0</v>
      </c>
      <c r="I24" s="551">
        <f ca="1">IF(I$6=0,0,IF(INDEX('MF Overview'!$D$36:$D$54,MATCH(I$5,'MF Overview'!$B$36:$B$54,0),1)=$D24,1,0))</f>
        <v>0</v>
      </c>
      <c r="J24" s="551">
        <f ca="1">IF(J$6=0,0,IF(INDEX('MF Overview'!$D$36:$D$54,MATCH(J$5,'MF Overview'!$B$36:$B$54,0),1)=$D24,1,0))</f>
        <v>0</v>
      </c>
      <c r="K24" s="551">
        <f ca="1">IF(K$6=0,0,IF(INDEX('MF Overview'!$D$36:$D$54,MATCH(K$5,'MF Overview'!$B$36:$B$54,0),1)=$D24,1,0))</f>
        <v>0</v>
      </c>
      <c r="L24" s="551">
        <f ca="1">IF(L$6=0,0,IF(INDEX('MF Overview'!$D$36:$D$54,MATCH(L$5,'MF Overview'!$B$36:$B$54,0),1)=$D24,1,0))</f>
        <v>0</v>
      </c>
      <c r="M24" s="551">
        <f ca="1">IF(M$6=0,0,IF(INDEX('MF Overview'!$D$36:$D$54,MATCH(M$5,'MF Overview'!$B$36:$B$54,0),1)=$D24,1,0))</f>
        <v>0</v>
      </c>
      <c r="N24" s="551">
        <f ca="1">IF(N$6=0,0,IF(INDEX('MF Overview'!$D$36:$D$54,MATCH(N$5,'MF Overview'!$B$36:$B$54,0),1)=$D24,1,0))</f>
        <v>0</v>
      </c>
      <c r="O24" s="551">
        <f ca="1">IF(O$6=0,0,IF(INDEX('MF Overview'!$D$36:$D$54,MATCH(O$5,'MF Overview'!$B$36:$B$54,0),1)=$D24,1,0))</f>
        <v>0</v>
      </c>
      <c r="P24" s="551">
        <f ca="1">IF(P$6=0,0,IF(INDEX('MF Overview'!$D$36:$D$54,MATCH(P$5,'MF Overview'!$B$36:$B$54,0),1)=$D24,1,0))</f>
        <v>0</v>
      </c>
      <c r="Q24" s="551">
        <f ca="1">IF(Q$6=0,0,IF(INDEX('MF Overview'!$D$36:$D$54,MATCH(Q$5,'MF Overview'!$B$36:$B$54,0),1)=$D24,1,0))</f>
        <v>0</v>
      </c>
      <c r="R24" s="551">
        <f ca="1">IF(R$6=0,0,IF(INDEX('MF Overview'!$D$36:$D$54,MATCH(R$5,'MF Overview'!$B$36:$B$54,0),1)=$D24,1,0))</f>
        <v>0</v>
      </c>
      <c r="S24" s="551">
        <f ca="1">IF(S$6=0,0,IF(INDEX('MF Overview'!$D$36:$D$54,MATCH(S$5,'MF Overview'!$B$36:$B$54,0),1)=$D24,1,0))</f>
        <v>0</v>
      </c>
      <c r="T24" s="551">
        <f ca="1">IF(T$6=0,0,IF(INDEX('MF Overview'!$D$36:$D$54,MATCH(T$5,'MF Overview'!$B$36:$B$54,0),1)=$D24,1,0))</f>
        <v>0</v>
      </c>
      <c r="U24" s="551">
        <f ca="1">IF(U$6=0,0,IF(INDEX('MF Overview'!$D$36:$D$54,MATCH(U$5,'MF Overview'!$B$36:$B$54,0),1)=$D24,1,0))</f>
        <v>0</v>
      </c>
      <c r="V24" s="551">
        <f>IF(V$6=0,0,IF(INDEX('MF Overview'!$D$36:$D$54,MATCH(V$5,'MF Overview'!$B$36:$B$54,0),1)=$D24,1,0))</f>
        <v>0</v>
      </c>
      <c r="W24" s="551">
        <f>IF(W$6=0,0,IF(INDEX('MF Overview'!$D$36:$D$54,MATCH(W$5,'MF Overview'!$B$36:$B$54,0),1)=$D24,1,0))</f>
        <v>0</v>
      </c>
      <c r="X24" s="550">
        <f>IF(X$6=0,0,IF(INDEX('MF Overview'!$D$36:$D$54,MATCH(X$5,'MF Overview'!$B$36:$B$54,0),1)=$D24,1,0))</f>
        <v>0</v>
      </c>
      <c r="Y24" s="432"/>
      <c r="Z24" s="532"/>
      <c r="AA24" s="394"/>
      <c r="AB24" s="208"/>
      <c r="AC24" s="208"/>
      <c r="AI24" t="s">
        <v>1139</v>
      </c>
      <c r="AJ24" s="1" t="s">
        <v>1140</v>
      </c>
      <c r="AK24" s="1">
        <v>10</v>
      </c>
    </row>
    <row r="25" spans="2:44" outlineLevel="1">
      <c r="B25" s="21"/>
      <c r="D25" s="5">
        <v>5</v>
      </c>
      <c r="E25" s="1" t="s">
        <v>960</v>
      </c>
      <c r="F25" s="551">
        <f ca="1">IF(F$6=0,0,IF(INDEX('MF Overview'!$D$36:$D$54,MATCH(F$5,'MF Overview'!$B$36:$B$54,0),1)=$D25,1,0))</f>
        <v>0</v>
      </c>
      <c r="G25" s="551">
        <f ca="1">IF(G$6=0,0,IF(INDEX('MF Overview'!$D$36:$D$54,MATCH(G$5,'MF Overview'!$B$36:$B$54,0),1)=$D25,1,0))</f>
        <v>0</v>
      </c>
      <c r="H25" s="551">
        <f ca="1">IF(H$6=0,0,IF(INDEX('MF Overview'!$D$36:$D$54,MATCH(H$5,'MF Overview'!$B$36:$B$54,0),1)=$D25,1,0))</f>
        <v>0</v>
      </c>
      <c r="I25" s="551">
        <f ca="1">IF(I$6=0,0,IF(INDEX('MF Overview'!$D$36:$D$54,MATCH(I$5,'MF Overview'!$B$36:$B$54,0),1)=$D25,1,0))</f>
        <v>0</v>
      </c>
      <c r="J25" s="551">
        <f ca="1">IF(J$6=0,0,IF(INDEX('MF Overview'!$D$36:$D$54,MATCH(J$5,'MF Overview'!$B$36:$B$54,0),1)=$D25,1,0))</f>
        <v>0</v>
      </c>
      <c r="K25" s="551">
        <f ca="1">IF(K$6=0,0,IF(INDEX('MF Overview'!$D$36:$D$54,MATCH(K$5,'MF Overview'!$B$36:$B$54,0),1)=$D25,1,0))</f>
        <v>0</v>
      </c>
      <c r="L25" s="551">
        <f ca="1">IF(L$6=0,0,IF(INDEX('MF Overview'!$D$36:$D$54,MATCH(L$5,'MF Overview'!$B$36:$B$54,0),1)=$D25,1,0))</f>
        <v>0</v>
      </c>
      <c r="M25" s="551">
        <f ca="1">IF(M$6=0,0,IF(INDEX('MF Overview'!$D$36:$D$54,MATCH(M$5,'MF Overview'!$B$36:$B$54,0),1)=$D25,1,0))</f>
        <v>0</v>
      </c>
      <c r="N25" s="551">
        <f ca="1">IF(N$6=0,0,IF(INDEX('MF Overview'!$D$36:$D$54,MATCH(N$5,'MF Overview'!$B$36:$B$54,0),1)=$D25,1,0))</f>
        <v>0</v>
      </c>
      <c r="O25" s="551">
        <f ca="1">IF(O$6=0,0,IF(INDEX('MF Overview'!$D$36:$D$54,MATCH(O$5,'MF Overview'!$B$36:$B$54,0),1)=$D25,1,0))</f>
        <v>0</v>
      </c>
      <c r="P25" s="551">
        <f ca="1">IF(P$6=0,0,IF(INDEX('MF Overview'!$D$36:$D$54,MATCH(P$5,'MF Overview'!$B$36:$B$54,0),1)=$D25,1,0))</f>
        <v>0</v>
      </c>
      <c r="Q25" s="551">
        <f ca="1">IF(Q$6=0,0,IF(INDEX('MF Overview'!$D$36:$D$54,MATCH(Q$5,'MF Overview'!$B$36:$B$54,0),1)=$D25,1,0))</f>
        <v>0</v>
      </c>
      <c r="R25" s="551">
        <f ca="1">IF(R$6=0,0,IF(INDEX('MF Overview'!$D$36:$D$54,MATCH(R$5,'MF Overview'!$B$36:$B$54,0),1)=$D25,1,0))</f>
        <v>0</v>
      </c>
      <c r="S25" s="551">
        <f ca="1">IF(S$6=0,0,IF(INDEX('MF Overview'!$D$36:$D$54,MATCH(S$5,'MF Overview'!$B$36:$B$54,0),1)=$D25,1,0))</f>
        <v>0</v>
      </c>
      <c r="T25" s="551">
        <f ca="1">IF(T$6=0,0,IF(INDEX('MF Overview'!$D$36:$D$54,MATCH(T$5,'MF Overview'!$B$36:$B$54,0),1)=$D25,1,0))</f>
        <v>0</v>
      </c>
      <c r="U25" s="551">
        <f ca="1">IF(U$6=0,0,IF(INDEX('MF Overview'!$D$36:$D$54,MATCH(U$5,'MF Overview'!$B$36:$B$54,0),1)=$D25,1,0))</f>
        <v>0</v>
      </c>
      <c r="V25" s="551">
        <f>IF(V$6=0,0,IF(INDEX('MF Overview'!$D$36:$D$54,MATCH(V$5,'MF Overview'!$B$36:$B$54,0),1)=$D25,1,0))</f>
        <v>0</v>
      </c>
      <c r="W25" s="551">
        <f>IF(W$6=0,0,IF(INDEX('MF Overview'!$D$36:$D$54,MATCH(W$5,'MF Overview'!$B$36:$B$54,0),1)=$D25,1,0))</f>
        <v>0</v>
      </c>
      <c r="X25" s="550">
        <f>IF(X$6=0,0,IF(INDEX('MF Overview'!$D$36:$D$54,MATCH(X$5,'MF Overview'!$B$36:$B$54,0),1)=$D25,1,0))</f>
        <v>0</v>
      </c>
      <c r="Y25" s="432"/>
      <c r="Z25" s="532"/>
      <c r="AA25" s="394"/>
      <c r="AB25" s="208"/>
      <c r="AC25" s="208"/>
      <c r="AI25" t="s">
        <v>1141</v>
      </c>
      <c r="AJ25" s="1" t="s">
        <v>1140</v>
      </c>
      <c r="AK25" s="1">
        <v>20</v>
      </c>
    </row>
    <row r="26" spans="2:44" outlineLevel="1">
      <c r="B26" s="21"/>
      <c r="D26" s="943" t="s">
        <v>1142</v>
      </c>
      <c r="E26" s="941"/>
      <c r="F26" s="542"/>
      <c r="G26" s="542"/>
      <c r="H26" s="542"/>
      <c r="I26" s="542"/>
      <c r="J26" s="542"/>
      <c r="K26" s="542"/>
      <c r="L26" s="542"/>
      <c r="M26" s="542"/>
      <c r="N26" s="542"/>
      <c r="O26" s="542"/>
      <c r="P26" s="542"/>
      <c r="Q26" s="542"/>
      <c r="R26" s="542"/>
      <c r="S26" s="542"/>
      <c r="T26" s="542"/>
      <c r="U26" s="542"/>
      <c r="V26" s="542"/>
      <c r="W26" s="542"/>
      <c r="X26" s="542"/>
      <c r="Y26" s="432"/>
      <c r="Z26" s="532"/>
      <c r="AA26" s="394"/>
      <c r="AB26" s="208"/>
      <c r="AC26" s="208"/>
      <c r="AI26" t="s">
        <v>1143</v>
      </c>
      <c r="AJ26" s="1" t="s">
        <v>1144</v>
      </c>
      <c r="AK26" s="1">
        <v>40</v>
      </c>
    </row>
    <row r="27" spans="2:44" outlineLevel="1">
      <c r="B27" s="21"/>
      <c r="D27" s="5">
        <v>1.5</v>
      </c>
      <c r="E27" s="1" t="s">
        <v>960</v>
      </c>
      <c r="F27" s="551">
        <f ca="1">IF(F$6=0,0,IF(INDEX('MF Overview'!$E$36:$E$54,MATCH(F$5,'MF Overview'!$B$36:$B$54,0),1)=$D27,1,0))</f>
        <v>1</v>
      </c>
      <c r="G27" s="551">
        <f ca="1">IF(G$6=0,0,IF(INDEX('MF Overview'!$E$36:$E$54,MATCH(G$5,'MF Overview'!$B$36:$B$54,0),1)=$D27,1,0))</f>
        <v>1</v>
      </c>
      <c r="H27" s="551">
        <f ca="1">IF(H$6=0,0,IF(INDEX('MF Overview'!$E$36:$E$54,MATCH(H$5,'MF Overview'!$B$36:$B$54,0),1)=$D27,1,0))</f>
        <v>1</v>
      </c>
      <c r="I27" s="551">
        <f ca="1">IF(I$6=0,0,IF(INDEX('MF Overview'!$E$36:$E$54,MATCH(I$5,'MF Overview'!$B$36:$B$54,0),1)=$D27,1,0))</f>
        <v>1</v>
      </c>
      <c r="J27" s="551">
        <f ca="1">IF(J$6=0,0,IF(INDEX('MF Overview'!$E$36:$E$54,MATCH(J$5,'MF Overview'!$B$36:$B$54,0),1)=$D27,1,0))</f>
        <v>1</v>
      </c>
      <c r="K27" s="551">
        <f ca="1">IF(K$6=0,0,IF(INDEX('MF Overview'!$E$36:$E$54,MATCH(K$5,'MF Overview'!$B$36:$B$54,0),1)=$D27,1,0))</f>
        <v>1</v>
      </c>
      <c r="L27" s="551">
        <f ca="1">IF(L$6=0,0,IF(INDEX('MF Overview'!$E$36:$E$54,MATCH(L$5,'MF Overview'!$B$36:$B$54,0),1)=$D27,1,0))</f>
        <v>1</v>
      </c>
      <c r="M27" s="551">
        <f ca="1">IF(M$6=0,0,IF(INDEX('MF Overview'!$E$36:$E$54,MATCH(M$5,'MF Overview'!$B$36:$B$54,0),1)=$D27,1,0))</f>
        <v>0</v>
      </c>
      <c r="N27" s="551">
        <f ca="1">IF(N$6=0,0,IF(INDEX('MF Overview'!$E$36:$E$54,MATCH(N$5,'MF Overview'!$B$36:$B$54,0),1)=$D27,1,0))</f>
        <v>1</v>
      </c>
      <c r="O27" s="551">
        <f ca="1">IF(O$6=0,0,IF(INDEX('MF Overview'!$E$36:$E$54,MATCH(O$5,'MF Overview'!$B$36:$B$54,0),1)=$D27,1,0))</f>
        <v>1</v>
      </c>
      <c r="P27" s="551">
        <f ca="1">IF(P$6=0,0,IF(INDEX('MF Overview'!$E$36:$E$54,MATCH(P$5,'MF Overview'!$B$36:$B$54,0),1)=$D27,1,0))</f>
        <v>0</v>
      </c>
      <c r="Q27" s="551">
        <f ca="1">IF(Q$6=0,0,IF(INDEX('MF Overview'!$E$36:$E$54,MATCH(Q$5,'MF Overview'!$B$36:$B$54,0),1)=$D27,1,0))</f>
        <v>0</v>
      </c>
      <c r="R27" s="551">
        <f ca="1">IF(R$6=0,0,IF(INDEX('MF Overview'!$E$36:$E$54,MATCH(R$5,'MF Overview'!$B$36:$B$54,0),1)=$D27,1,0))</f>
        <v>0</v>
      </c>
      <c r="S27" s="551">
        <f ca="1">IF(S$6=0,0,IF(INDEX('MF Overview'!$E$36:$E$54,MATCH(S$5,'MF Overview'!$B$36:$B$54,0),1)=$D27,1,0))</f>
        <v>0</v>
      </c>
      <c r="T27" s="551">
        <f ca="1">IF(T$6=0,0,IF(INDEX('MF Overview'!$E$36:$E$54,MATCH(T$5,'MF Overview'!$B$36:$B$54,0),1)=$D27,1,0))</f>
        <v>0</v>
      </c>
      <c r="U27" s="551">
        <f ca="1">IF(U$6=0,0,IF(INDEX('MF Overview'!$E$36:$E$54,MATCH(U$5,'MF Overview'!$B$36:$B$54,0),1)=$D27,1,0))</f>
        <v>0</v>
      </c>
      <c r="V27" s="551">
        <f>IF(V$6=0,0,IF(INDEX('MF Overview'!$E$36:$E$54,MATCH(V$5,'MF Overview'!$B$36:$B$54,0),1)=$D27,1,0))</f>
        <v>0</v>
      </c>
      <c r="W27" s="551">
        <f>IF(W$6=0,0,IF(INDEX('MF Overview'!$E$36:$E$54,MATCH(W$5,'MF Overview'!$B$36:$B$54,0),1)=$D27,1,0))</f>
        <v>0</v>
      </c>
      <c r="X27" s="550">
        <f>IF(X$6=0,0,IF(INDEX('MF Overview'!$E$36:$E$54,MATCH(X$5,'MF Overview'!$B$36:$B$54,0),1)=$D27,1,0))</f>
        <v>0</v>
      </c>
      <c r="Y27" s="432"/>
      <c r="Z27" s="532"/>
      <c r="AA27" s="394"/>
      <c r="AB27" s="208"/>
      <c r="AC27" s="208"/>
      <c r="AI27" t="s">
        <v>1145</v>
      </c>
      <c r="AJ27" s="1" t="s">
        <v>1146</v>
      </c>
      <c r="AK27" s="1">
        <v>1</v>
      </c>
    </row>
    <row r="28" spans="2:44" outlineLevel="1">
      <c r="B28" s="21"/>
      <c r="D28" s="5">
        <v>2</v>
      </c>
      <c r="E28" s="1" t="s">
        <v>960</v>
      </c>
      <c r="F28" s="551">
        <f ca="1">IF(F$6=0,0,IF(INDEX('MF Overview'!$E$36:$E$54,MATCH(F$5,'MF Overview'!$B$36:$B$54,0),1)=$D28,1,0))</f>
        <v>0</v>
      </c>
      <c r="G28" s="551">
        <f ca="1">IF(G$6=0,0,IF(INDEX('MF Overview'!$E$36:$E$54,MATCH(G$5,'MF Overview'!$B$36:$B$54,0),1)=$D28,1,0))</f>
        <v>0</v>
      </c>
      <c r="H28" s="551">
        <f ca="1">IF(H$6=0,0,IF(INDEX('MF Overview'!$E$36:$E$54,MATCH(H$5,'MF Overview'!$B$36:$B$54,0),1)=$D28,1,0))</f>
        <v>0</v>
      </c>
      <c r="I28" s="551">
        <f ca="1">IF(I$6=0,0,IF(INDEX('MF Overview'!$E$36:$E$54,MATCH(I$5,'MF Overview'!$B$36:$B$54,0),1)=$D28,1,0))</f>
        <v>0</v>
      </c>
      <c r="J28" s="551">
        <f ca="1">IF(J$6=0,0,IF(INDEX('MF Overview'!$E$36:$E$54,MATCH(J$5,'MF Overview'!$B$36:$B$54,0),1)=$D28,1,0))</f>
        <v>0</v>
      </c>
      <c r="K28" s="551">
        <f ca="1">IF(K$6=0,0,IF(INDEX('MF Overview'!$E$36:$E$54,MATCH(K$5,'MF Overview'!$B$36:$B$54,0),1)=$D28,1,0))</f>
        <v>0</v>
      </c>
      <c r="L28" s="551">
        <f ca="1">IF(L$6=0,0,IF(INDEX('MF Overview'!$E$36:$E$54,MATCH(L$5,'MF Overview'!$B$36:$B$54,0),1)=$D28,1,0))</f>
        <v>0</v>
      </c>
      <c r="M28" s="551">
        <f ca="1">IF(M$6=0,0,IF(INDEX('MF Overview'!$E$36:$E$54,MATCH(M$5,'MF Overview'!$B$36:$B$54,0),1)=$D28,1,0))</f>
        <v>1</v>
      </c>
      <c r="N28" s="551">
        <f ca="1">IF(N$6=0,0,IF(INDEX('MF Overview'!$E$36:$E$54,MATCH(N$5,'MF Overview'!$B$36:$B$54,0),1)=$D28,1,0))</f>
        <v>0</v>
      </c>
      <c r="O28" s="551">
        <f ca="1">IF(O$6=0,0,IF(INDEX('MF Overview'!$E$36:$E$54,MATCH(O$5,'MF Overview'!$B$36:$B$54,0),1)=$D28,1,0))</f>
        <v>0</v>
      </c>
      <c r="P28" s="551">
        <f ca="1">IF(P$6=0,0,IF(INDEX('MF Overview'!$E$36:$E$54,MATCH(P$5,'MF Overview'!$B$36:$B$54,0),1)=$D28,1,0))</f>
        <v>1</v>
      </c>
      <c r="Q28" s="551">
        <f ca="1">IF(Q$6=0,0,IF(INDEX('MF Overview'!$E$36:$E$54,MATCH(Q$5,'MF Overview'!$B$36:$B$54,0),1)=$D28,1,0))</f>
        <v>1</v>
      </c>
      <c r="R28" s="551">
        <f ca="1">IF(R$6=0,0,IF(INDEX('MF Overview'!$E$36:$E$54,MATCH(R$5,'MF Overview'!$B$36:$B$54,0),1)=$D28,1,0))</f>
        <v>0</v>
      </c>
      <c r="S28" s="551">
        <f ca="1">IF(S$6=0,0,IF(INDEX('MF Overview'!$E$36:$E$54,MATCH(S$5,'MF Overview'!$B$36:$B$54,0),1)=$D28,1,0))</f>
        <v>0</v>
      </c>
      <c r="T28" s="551">
        <f ca="1">IF(T$6=0,0,IF(INDEX('MF Overview'!$E$36:$E$54,MATCH(T$5,'MF Overview'!$B$36:$B$54,0),1)=$D28,1,0))</f>
        <v>1</v>
      </c>
      <c r="U28" s="551">
        <f ca="1">IF(U$6=0,0,IF(INDEX('MF Overview'!$E$36:$E$54,MATCH(U$5,'MF Overview'!$B$36:$B$54,0),1)=$D28,1,0))</f>
        <v>1</v>
      </c>
      <c r="V28" s="551">
        <f>IF(V$6=0,0,IF(INDEX('MF Overview'!$E$36:$E$54,MATCH(V$5,'MF Overview'!$B$36:$B$54,0),1)=$D28,1,0))</f>
        <v>0</v>
      </c>
      <c r="W28" s="551">
        <f>IF(W$6=0,0,IF(INDEX('MF Overview'!$E$36:$E$54,MATCH(W$5,'MF Overview'!$B$36:$B$54,0),1)=$D28,1,0))</f>
        <v>0</v>
      </c>
      <c r="X28" s="550">
        <f>IF(X$6=0,0,IF(INDEX('MF Overview'!$E$36:$E$54,MATCH(X$5,'MF Overview'!$B$36:$B$54,0),1)=$D28,1,0))</f>
        <v>0</v>
      </c>
      <c r="Y28" s="432"/>
      <c r="Z28" s="532"/>
      <c r="AA28" s="394"/>
      <c r="AB28" s="208"/>
      <c r="AC28" s="208"/>
      <c r="AI28" t="s">
        <v>1147</v>
      </c>
      <c r="AJ28" s="1" t="s">
        <v>1146</v>
      </c>
      <c r="AK28" s="1">
        <v>0.7</v>
      </c>
    </row>
    <row r="29" spans="2:44" outlineLevel="1">
      <c r="B29" s="21"/>
      <c r="D29" s="5">
        <v>2.5</v>
      </c>
      <c r="E29" s="1" t="s">
        <v>960</v>
      </c>
      <c r="F29" s="551">
        <f ca="1">IF(F$6=0,0,IF(INDEX('MF Overview'!$E$36:$E$54,MATCH(F$5,'MF Overview'!$B$36:$B$54,0),1)=$D29,1,0))</f>
        <v>0</v>
      </c>
      <c r="G29" s="551">
        <f ca="1">IF(G$6=0,0,IF(INDEX('MF Overview'!$E$36:$E$54,MATCH(G$5,'MF Overview'!$B$36:$B$54,0),1)=$D29,1,0))</f>
        <v>0</v>
      </c>
      <c r="H29" s="551">
        <f ca="1">IF(H$6=0,0,IF(INDEX('MF Overview'!$E$36:$E$54,MATCH(H$5,'MF Overview'!$B$36:$B$54,0),1)=$D29,1,0))</f>
        <v>0</v>
      </c>
      <c r="I29" s="551">
        <f ca="1">IF(I$6=0,0,IF(INDEX('MF Overview'!$E$36:$E$54,MATCH(I$5,'MF Overview'!$B$36:$B$54,0),1)=$D29,1,0))</f>
        <v>0</v>
      </c>
      <c r="J29" s="551">
        <f ca="1">IF(J$6=0,0,IF(INDEX('MF Overview'!$E$36:$E$54,MATCH(J$5,'MF Overview'!$B$36:$B$54,0),1)=$D29,1,0))</f>
        <v>0</v>
      </c>
      <c r="K29" s="551">
        <f ca="1">IF(K$6=0,0,IF(INDEX('MF Overview'!$E$36:$E$54,MATCH(K$5,'MF Overview'!$B$36:$B$54,0),1)=$D29,1,0))</f>
        <v>0</v>
      </c>
      <c r="L29" s="551">
        <f ca="1">IF(L$6=0,0,IF(INDEX('MF Overview'!$E$36:$E$54,MATCH(L$5,'MF Overview'!$B$36:$B$54,0),1)=$D29,1,0))</f>
        <v>0</v>
      </c>
      <c r="M29" s="551">
        <f ca="1">IF(M$6=0,0,IF(INDEX('MF Overview'!$E$36:$E$54,MATCH(M$5,'MF Overview'!$B$36:$B$54,0),1)=$D29,1,0))</f>
        <v>0</v>
      </c>
      <c r="N29" s="551">
        <f ca="1">IF(N$6=0,0,IF(INDEX('MF Overview'!$E$36:$E$54,MATCH(N$5,'MF Overview'!$B$36:$B$54,0),1)=$D29,1,0))</f>
        <v>0</v>
      </c>
      <c r="O29" s="551">
        <f ca="1">IF(O$6=0,0,IF(INDEX('MF Overview'!$E$36:$E$54,MATCH(O$5,'MF Overview'!$B$36:$B$54,0),1)=$D29,1,0))</f>
        <v>0</v>
      </c>
      <c r="P29" s="551">
        <f ca="1">IF(P$6=0,0,IF(INDEX('MF Overview'!$E$36:$E$54,MATCH(P$5,'MF Overview'!$B$36:$B$54,0),1)=$D29,1,0))</f>
        <v>0</v>
      </c>
      <c r="Q29" s="551">
        <f ca="1">IF(Q$6=0,0,IF(INDEX('MF Overview'!$E$36:$E$54,MATCH(Q$5,'MF Overview'!$B$36:$B$54,0),1)=$D29,1,0))</f>
        <v>0</v>
      </c>
      <c r="R29" s="551">
        <f ca="1">IF(R$6=0,0,IF(INDEX('MF Overview'!$E$36:$E$54,MATCH(R$5,'MF Overview'!$B$36:$B$54,0),1)=$D29,1,0))</f>
        <v>1</v>
      </c>
      <c r="S29" s="551">
        <f ca="1">IF(S$6=0,0,IF(INDEX('MF Overview'!$E$36:$E$54,MATCH(S$5,'MF Overview'!$B$36:$B$54,0),1)=$D29,1,0))</f>
        <v>1</v>
      </c>
      <c r="T29" s="551">
        <f ca="1">IF(T$6=0,0,IF(INDEX('MF Overview'!$E$36:$E$54,MATCH(T$5,'MF Overview'!$B$36:$B$54,0),1)=$D29,1,0))</f>
        <v>0</v>
      </c>
      <c r="U29" s="551">
        <f ca="1">IF(U$6=0,0,IF(INDEX('MF Overview'!$E$36:$E$54,MATCH(U$5,'MF Overview'!$B$36:$B$54,0),1)=$D29,1,0))</f>
        <v>0</v>
      </c>
      <c r="V29" s="551">
        <f>IF(V$6=0,0,IF(INDEX('MF Overview'!$E$36:$E$54,MATCH(V$5,'MF Overview'!$B$36:$B$54,0),1)=$D29,1,0))</f>
        <v>0</v>
      </c>
      <c r="W29" s="551">
        <f>IF(W$6=0,0,IF(INDEX('MF Overview'!$E$36:$E$54,MATCH(W$5,'MF Overview'!$B$36:$B$54,0),1)=$D29,1,0))</f>
        <v>0</v>
      </c>
      <c r="X29" s="550">
        <f>IF(X$6=0,0,IF(INDEX('MF Overview'!$E$36:$E$54,MATCH(X$5,'MF Overview'!$B$36:$B$54,0),1)=$D29,1,0))</f>
        <v>0</v>
      </c>
      <c r="Y29" s="432"/>
      <c r="Z29" s="532"/>
      <c r="AA29" s="394"/>
      <c r="AB29" s="208"/>
      <c r="AC29" s="208"/>
      <c r="AI29" t="s">
        <v>1148</v>
      </c>
      <c r="AJ29" s="1" t="s">
        <v>1146</v>
      </c>
      <c r="AK29" s="1">
        <v>60</v>
      </c>
      <c r="AN29" t="s">
        <v>1149</v>
      </c>
      <c r="AO29" t="s">
        <v>1150</v>
      </c>
      <c r="AR29">
        <v>23</v>
      </c>
    </row>
    <row r="30" spans="2:44" outlineLevel="1">
      <c r="B30" s="21"/>
      <c r="D30" s="5">
        <v>3</v>
      </c>
      <c r="E30" s="1" t="s">
        <v>960</v>
      </c>
      <c r="F30" s="551">
        <f ca="1">IF(F$6=0,0,IF(INDEX('MF Overview'!$E$36:$E$54,MATCH(F$5,'MF Overview'!$B$36:$B$54,0),1)=$D30,1,0))</f>
        <v>0</v>
      </c>
      <c r="G30" s="551">
        <f ca="1">IF(G$6=0,0,IF(INDEX('MF Overview'!$E$36:$E$54,MATCH(G$5,'MF Overview'!$B$36:$B$54,0),1)=$D30,1,0))</f>
        <v>0</v>
      </c>
      <c r="H30" s="551">
        <f ca="1">IF(H$6=0,0,IF(INDEX('MF Overview'!$E$36:$E$54,MATCH(H$5,'MF Overview'!$B$36:$B$54,0),1)=$D30,1,0))</f>
        <v>0</v>
      </c>
      <c r="I30" s="551">
        <f ca="1">IF(I$6=0,0,IF(INDEX('MF Overview'!$E$36:$E$54,MATCH(I$5,'MF Overview'!$B$36:$B$54,0),1)=$D30,1,0))</f>
        <v>0</v>
      </c>
      <c r="J30" s="551">
        <f ca="1">IF(J$6=0,0,IF(INDEX('MF Overview'!$E$36:$E$54,MATCH(J$5,'MF Overview'!$B$36:$B$54,0),1)=$D30,1,0))</f>
        <v>0</v>
      </c>
      <c r="K30" s="551">
        <f ca="1">IF(K$6=0,0,IF(INDEX('MF Overview'!$E$36:$E$54,MATCH(K$5,'MF Overview'!$B$36:$B$54,0),1)=$D30,1,0))</f>
        <v>0</v>
      </c>
      <c r="L30" s="551">
        <f ca="1">IF(L$6=0,0,IF(INDEX('MF Overview'!$E$36:$E$54,MATCH(L$5,'MF Overview'!$B$36:$B$54,0),1)=$D30,1,0))</f>
        <v>0</v>
      </c>
      <c r="M30" s="551">
        <f ca="1">IF(M$6=0,0,IF(INDEX('MF Overview'!$E$36:$E$54,MATCH(M$5,'MF Overview'!$B$36:$B$54,0),1)=$D30,1,0))</f>
        <v>0</v>
      </c>
      <c r="N30" s="551">
        <f ca="1">IF(N$6=0,0,IF(INDEX('MF Overview'!$E$36:$E$54,MATCH(N$5,'MF Overview'!$B$36:$B$54,0),1)=$D30,1,0))</f>
        <v>0</v>
      </c>
      <c r="O30" s="551">
        <f ca="1">IF(O$6=0,0,IF(INDEX('MF Overview'!$E$36:$E$54,MATCH(O$5,'MF Overview'!$B$36:$B$54,0),1)=$D30,1,0))</f>
        <v>0</v>
      </c>
      <c r="P30" s="551">
        <f ca="1">IF(P$6=0,0,IF(INDEX('MF Overview'!$E$36:$E$54,MATCH(P$5,'MF Overview'!$B$36:$B$54,0),1)=$D30,1,0))</f>
        <v>0</v>
      </c>
      <c r="Q30" s="551">
        <f ca="1">IF(Q$6=0,0,IF(INDEX('MF Overview'!$E$36:$E$54,MATCH(Q$5,'MF Overview'!$B$36:$B$54,0),1)=$D30,1,0))</f>
        <v>0</v>
      </c>
      <c r="R30" s="551">
        <f ca="1">IF(R$6=0,0,IF(INDEX('MF Overview'!$E$36:$E$54,MATCH(R$5,'MF Overview'!$B$36:$B$54,0),1)=$D30,1,0))</f>
        <v>0</v>
      </c>
      <c r="S30" s="551">
        <f ca="1">IF(S$6=0,0,IF(INDEX('MF Overview'!$E$36:$E$54,MATCH(S$5,'MF Overview'!$B$36:$B$54,0),1)=$D30,1,0))</f>
        <v>0</v>
      </c>
      <c r="T30" s="551">
        <f ca="1">IF(T$6=0,0,IF(INDEX('MF Overview'!$E$36:$E$54,MATCH(T$5,'MF Overview'!$B$36:$B$54,0),1)=$D30,1,0))</f>
        <v>0</v>
      </c>
      <c r="U30" s="551">
        <f ca="1">IF(U$6=0,0,IF(INDEX('MF Overview'!$E$36:$E$54,MATCH(U$5,'MF Overview'!$B$36:$B$54,0),1)=$D30,1,0))</f>
        <v>0</v>
      </c>
      <c r="V30" s="551">
        <f>IF(V$6=0,0,IF(INDEX('MF Overview'!$E$36:$E$54,MATCH(V$5,'MF Overview'!$B$36:$B$54,0),1)=$D30,1,0))</f>
        <v>0</v>
      </c>
      <c r="W30" s="551">
        <f>IF(W$6=0,0,IF(INDEX('MF Overview'!$E$36:$E$54,MATCH(W$5,'MF Overview'!$B$36:$B$54,0),1)=$D30,1,0))</f>
        <v>0</v>
      </c>
      <c r="X30" s="550">
        <f>IF(X$6=0,0,IF(INDEX('MF Overview'!$E$36:$E$54,MATCH(X$5,'MF Overview'!$B$36:$B$54,0),1)=$D30,1,0))</f>
        <v>0</v>
      </c>
      <c r="Y30" s="432"/>
      <c r="Z30" s="532"/>
      <c r="AA30" s="394"/>
      <c r="AB30" s="208"/>
      <c r="AC30" s="208"/>
      <c r="AI30" t="s">
        <v>1151</v>
      </c>
      <c r="AJ30" s="1" t="s">
        <v>1146</v>
      </c>
      <c r="AK30" s="1">
        <v>0.5</v>
      </c>
      <c r="AO30" t="s">
        <v>1152</v>
      </c>
      <c r="AR30">
        <v>10.5</v>
      </c>
    </row>
    <row r="31" spans="2:44" outlineLevel="1">
      <c r="B31" s="21"/>
      <c r="D31" s="5">
        <v>3.5</v>
      </c>
      <c r="E31" s="1" t="s">
        <v>960</v>
      </c>
      <c r="F31" s="551">
        <f ca="1">IF(F$6=0,0,IF(INDEX('MF Overview'!$E$36:$E$54,MATCH(F$5,'MF Overview'!$B$36:$B$54,0),1)=$D31,1,0))</f>
        <v>0</v>
      </c>
      <c r="G31" s="551">
        <f ca="1">IF(G$6=0,0,IF(INDEX('MF Overview'!$E$36:$E$54,MATCH(G$5,'MF Overview'!$B$36:$B$54,0),1)=$D31,1,0))</f>
        <v>0</v>
      </c>
      <c r="H31" s="551">
        <f ca="1">IF(H$6=0,0,IF(INDEX('MF Overview'!$E$36:$E$54,MATCH(H$5,'MF Overview'!$B$36:$B$54,0),1)=$D31,1,0))</f>
        <v>0</v>
      </c>
      <c r="I31" s="551">
        <f ca="1">IF(I$6=0,0,IF(INDEX('MF Overview'!$E$36:$E$54,MATCH(I$5,'MF Overview'!$B$36:$B$54,0),1)=$D31,1,0))</f>
        <v>0</v>
      </c>
      <c r="J31" s="551">
        <f ca="1">IF(J$6=0,0,IF(INDEX('MF Overview'!$E$36:$E$54,MATCH(J$5,'MF Overview'!$B$36:$B$54,0),1)=$D31,1,0))</f>
        <v>0</v>
      </c>
      <c r="K31" s="551">
        <f ca="1">IF(K$6=0,0,IF(INDEX('MF Overview'!$E$36:$E$54,MATCH(K$5,'MF Overview'!$B$36:$B$54,0),1)=$D31,1,0))</f>
        <v>0</v>
      </c>
      <c r="L31" s="551">
        <f ca="1">IF(L$6=0,0,IF(INDEX('MF Overview'!$E$36:$E$54,MATCH(L$5,'MF Overview'!$B$36:$B$54,0),1)=$D31,1,0))</f>
        <v>0</v>
      </c>
      <c r="M31" s="551">
        <f ca="1">IF(M$6=0,0,IF(INDEX('MF Overview'!$E$36:$E$54,MATCH(M$5,'MF Overview'!$B$36:$B$54,0),1)=$D31,1,0))</f>
        <v>0</v>
      </c>
      <c r="N31" s="551">
        <f ca="1">IF(N$6=0,0,IF(INDEX('MF Overview'!$E$36:$E$54,MATCH(N$5,'MF Overview'!$B$36:$B$54,0),1)=$D31,1,0))</f>
        <v>0</v>
      </c>
      <c r="O31" s="551">
        <f ca="1">IF(O$6=0,0,IF(INDEX('MF Overview'!$E$36:$E$54,MATCH(O$5,'MF Overview'!$B$36:$B$54,0),1)=$D31,1,0))</f>
        <v>0</v>
      </c>
      <c r="P31" s="551">
        <f ca="1">IF(P$6=0,0,IF(INDEX('MF Overview'!$E$36:$E$54,MATCH(P$5,'MF Overview'!$B$36:$B$54,0),1)=$D31,1,0))</f>
        <v>0</v>
      </c>
      <c r="Q31" s="551">
        <f ca="1">IF(Q$6=0,0,IF(INDEX('MF Overview'!$E$36:$E$54,MATCH(Q$5,'MF Overview'!$B$36:$B$54,0),1)=$D31,1,0))</f>
        <v>0</v>
      </c>
      <c r="R31" s="551">
        <f ca="1">IF(R$6=0,0,IF(INDEX('MF Overview'!$E$36:$E$54,MATCH(R$5,'MF Overview'!$B$36:$B$54,0),1)=$D31,1,0))</f>
        <v>0</v>
      </c>
      <c r="S31" s="551">
        <f ca="1">IF(S$6=0,0,IF(INDEX('MF Overview'!$E$36:$E$54,MATCH(S$5,'MF Overview'!$B$36:$B$54,0),1)=$D31,1,0))</f>
        <v>0</v>
      </c>
      <c r="T31" s="551">
        <f ca="1">IF(T$6=0,0,IF(INDEX('MF Overview'!$E$36:$E$54,MATCH(T$5,'MF Overview'!$B$36:$B$54,0),1)=$D31,1,0))</f>
        <v>0</v>
      </c>
      <c r="U31" s="551">
        <f ca="1">IF(U$6=0,0,IF(INDEX('MF Overview'!$E$36:$E$54,MATCH(U$5,'MF Overview'!$B$36:$B$54,0),1)=$D31,1,0))</f>
        <v>0</v>
      </c>
      <c r="V31" s="551">
        <f>IF(V$6=0,0,IF(INDEX('MF Overview'!$E$36:$E$54,MATCH(V$5,'MF Overview'!$B$36:$B$54,0),1)=$D31,1,0))</f>
        <v>0</v>
      </c>
      <c r="W31" s="551">
        <f>IF(W$6=0,0,IF(INDEX('MF Overview'!$E$36:$E$54,MATCH(W$5,'MF Overview'!$B$36:$B$54,0),1)=$D31,1,0))</f>
        <v>0</v>
      </c>
      <c r="X31" s="550">
        <f>IF(X$6=0,0,IF(INDEX('MF Overview'!$E$36:$E$54,MATCH(X$5,'MF Overview'!$B$36:$B$54,0),1)=$D31,1,0))</f>
        <v>0</v>
      </c>
      <c r="Y31" s="432"/>
      <c r="Z31" s="532"/>
      <c r="AA31" s="394"/>
      <c r="AB31" s="208"/>
      <c r="AC31" s="208"/>
      <c r="AI31" t="s">
        <v>1153</v>
      </c>
      <c r="AJ31" s="1" t="s">
        <v>1146</v>
      </c>
      <c r="AK31" s="1">
        <v>3.3999999999999998E-3</v>
      </c>
      <c r="AO31" t="s">
        <v>1154</v>
      </c>
      <c r="AR31">
        <v>0.5</v>
      </c>
    </row>
    <row r="32" spans="2:44" outlineLevel="1">
      <c r="B32" s="21"/>
      <c r="D32" s="5">
        <v>4</v>
      </c>
      <c r="E32" s="1" t="s">
        <v>960</v>
      </c>
      <c r="F32" s="551">
        <f ca="1">IF(F$6=0,0,IF(INDEX('MF Overview'!$E$36:$E$54,MATCH(F$5,'MF Overview'!$B$36:$B$54,0),1)=$D32,1,0))</f>
        <v>0</v>
      </c>
      <c r="G32" s="551">
        <f ca="1">IF(G$6=0,0,IF(INDEX('MF Overview'!$E$36:$E$54,MATCH(G$5,'MF Overview'!$B$36:$B$54,0),1)=$D32,1,0))</f>
        <v>0</v>
      </c>
      <c r="H32" s="551">
        <f ca="1">IF(H$6=0,0,IF(INDEX('MF Overview'!$E$36:$E$54,MATCH(H$5,'MF Overview'!$B$36:$B$54,0),1)=$D32,1,0))</f>
        <v>0</v>
      </c>
      <c r="I32" s="551">
        <f ca="1">IF(I$6=0,0,IF(INDEX('MF Overview'!$E$36:$E$54,MATCH(I$5,'MF Overview'!$B$36:$B$54,0),1)=$D32,1,0))</f>
        <v>0</v>
      </c>
      <c r="J32" s="551">
        <f ca="1">IF(J$6=0,0,IF(INDEX('MF Overview'!$E$36:$E$54,MATCH(J$5,'MF Overview'!$B$36:$B$54,0),1)=$D32,1,0))</f>
        <v>0</v>
      </c>
      <c r="K32" s="551">
        <f ca="1">IF(K$6=0,0,IF(INDEX('MF Overview'!$E$36:$E$54,MATCH(K$5,'MF Overview'!$B$36:$B$54,0),1)=$D32,1,0))</f>
        <v>0</v>
      </c>
      <c r="L32" s="551">
        <f ca="1">IF(L$6=0,0,IF(INDEX('MF Overview'!$E$36:$E$54,MATCH(L$5,'MF Overview'!$B$36:$B$54,0),1)=$D32,1,0))</f>
        <v>0</v>
      </c>
      <c r="M32" s="551">
        <f ca="1">IF(M$6=0,0,IF(INDEX('MF Overview'!$E$36:$E$54,MATCH(M$5,'MF Overview'!$B$36:$B$54,0),1)=$D32,1,0))</f>
        <v>0</v>
      </c>
      <c r="N32" s="551">
        <f ca="1">IF(N$6=0,0,IF(INDEX('MF Overview'!$E$36:$E$54,MATCH(N$5,'MF Overview'!$B$36:$B$54,0),1)=$D32,1,0))</f>
        <v>0</v>
      </c>
      <c r="O32" s="551">
        <f ca="1">IF(O$6=0,0,IF(INDEX('MF Overview'!$E$36:$E$54,MATCH(O$5,'MF Overview'!$B$36:$B$54,0),1)=$D32,1,0))</f>
        <v>0</v>
      </c>
      <c r="P32" s="551">
        <f ca="1">IF(P$6=0,0,IF(INDEX('MF Overview'!$E$36:$E$54,MATCH(P$5,'MF Overview'!$B$36:$B$54,0),1)=$D32,1,0))</f>
        <v>0</v>
      </c>
      <c r="Q32" s="551">
        <f ca="1">IF(Q$6=0,0,IF(INDEX('MF Overview'!$E$36:$E$54,MATCH(Q$5,'MF Overview'!$B$36:$B$54,0),1)=$D32,1,0))</f>
        <v>0</v>
      </c>
      <c r="R32" s="551">
        <f ca="1">IF(R$6=0,0,IF(INDEX('MF Overview'!$E$36:$E$54,MATCH(R$5,'MF Overview'!$B$36:$B$54,0),1)=$D32,1,0))</f>
        <v>0</v>
      </c>
      <c r="S32" s="551">
        <f ca="1">IF(S$6=0,0,IF(INDEX('MF Overview'!$E$36:$E$54,MATCH(S$5,'MF Overview'!$B$36:$B$54,0),1)=$D32,1,0))</f>
        <v>0</v>
      </c>
      <c r="T32" s="551">
        <f ca="1">IF(T$6=0,0,IF(INDEX('MF Overview'!$E$36:$E$54,MATCH(T$5,'MF Overview'!$B$36:$B$54,0),1)=$D32,1,0))</f>
        <v>0</v>
      </c>
      <c r="U32" s="551">
        <f ca="1">IF(U$6=0,0,IF(INDEX('MF Overview'!$E$36:$E$54,MATCH(U$5,'MF Overview'!$B$36:$B$54,0),1)=$D32,1,0))</f>
        <v>0</v>
      </c>
      <c r="V32" s="551">
        <f>IF(V$6=0,0,IF(INDEX('MF Overview'!$E$36:$E$54,MATCH(V$5,'MF Overview'!$B$36:$B$54,0),1)=$D32,1,0))</f>
        <v>0</v>
      </c>
      <c r="W32" s="551">
        <f>IF(W$6=0,0,IF(INDEX('MF Overview'!$E$36:$E$54,MATCH(W$5,'MF Overview'!$B$36:$B$54,0),1)=$D32,1,0))</f>
        <v>0</v>
      </c>
      <c r="X32" s="550">
        <f>IF(X$6=0,0,IF(INDEX('MF Overview'!$E$36:$E$54,MATCH(X$5,'MF Overview'!$B$36:$B$54,0),1)=$D32,1,0))</f>
        <v>0</v>
      </c>
      <c r="Y32" s="432"/>
      <c r="Z32" s="532"/>
      <c r="AA32" s="394"/>
      <c r="AB32" s="208"/>
      <c r="AC32" s="208"/>
      <c r="AI32" t="s">
        <v>1155</v>
      </c>
      <c r="AJ32" s="1" t="s">
        <v>1146</v>
      </c>
      <c r="AK32" s="599">
        <f>0.00558035714285714*2</f>
        <v>1.1160714285714281E-2</v>
      </c>
      <c r="AO32" t="s">
        <v>1156</v>
      </c>
      <c r="AR32">
        <v>0.75</v>
      </c>
    </row>
    <row r="33" spans="2:44" outlineLevel="1">
      <c r="B33" s="21"/>
      <c r="D33" s="5">
        <v>5</v>
      </c>
      <c r="E33" s="1" t="s">
        <v>960</v>
      </c>
      <c r="F33" s="551">
        <f ca="1">IF(F$6=0,0,IF(INDEX('MF Overview'!$E$36:$E$54,MATCH(F$5,'MF Overview'!$B$36:$B$54,0),1)=$D33,1,0))</f>
        <v>0</v>
      </c>
      <c r="G33" s="551">
        <f ca="1">IF(G$6=0,0,IF(INDEX('MF Overview'!$E$36:$E$54,MATCH(G$5,'MF Overview'!$B$36:$B$54,0),1)=$D33,1,0))</f>
        <v>0</v>
      </c>
      <c r="H33" s="551">
        <f ca="1">IF(H$6=0,0,IF(INDEX('MF Overview'!$E$36:$E$54,MATCH(H$5,'MF Overview'!$B$36:$B$54,0),1)=$D33,1,0))</f>
        <v>0</v>
      </c>
      <c r="I33" s="551">
        <f ca="1">IF(I$6=0,0,IF(INDEX('MF Overview'!$E$36:$E$54,MATCH(I$5,'MF Overview'!$B$36:$B$54,0),1)=$D33,1,0))</f>
        <v>0</v>
      </c>
      <c r="J33" s="551">
        <f ca="1">IF(J$6=0,0,IF(INDEX('MF Overview'!$E$36:$E$54,MATCH(J$5,'MF Overview'!$B$36:$B$54,0),1)=$D33,1,0))</f>
        <v>0</v>
      </c>
      <c r="K33" s="551">
        <f ca="1">IF(K$6=0,0,IF(INDEX('MF Overview'!$E$36:$E$54,MATCH(K$5,'MF Overview'!$B$36:$B$54,0),1)=$D33,1,0))</f>
        <v>0</v>
      </c>
      <c r="L33" s="551">
        <f ca="1">IF(L$6=0,0,IF(INDEX('MF Overview'!$E$36:$E$54,MATCH(L$5,'MF Overview'!$B$36:$B$54,0),1)=$D33,1,0))</f>
        <v>0</v>
      </c>
      <c r="M33" s="551">
        <f ca="1">IF(M$6=0,0,IF(INDEX('MF Overview'!$E$36:$E$54,MATCH(M$5,'MF Overview'!$B$36:$B$54,0),1)=$D33,1,0))</f>
        <v>0</v>
      </c>
      <c r="N33" s="551">
        <f ca="1">IF(N$6=0,0,IF(INDEX('MF Overview'!$E$36:$E$54,MATCH(N$5,'MF Overview'!$B$36:$B$54,0),1)=$D33,1,0))</f>
        <v>0</v>
      </c>
      <c r="O33" s="551">
        <f ca="1">IF(O$6=0,0,IF(INDEX('MF Overview'!$E$36:$E$54,MATCH(O$5,'MF Overview'!$B$36:$B$54,0),1)=$D33,1,0))</f>
        <v>0</v>
      </c>
      <c r="P33" s="551">
        <f ca="1">IF(P$6=0,0,IF(INDEX('MF Overview'!$E$36:$E$54,MATCH(P$5,'MF Overview'!$B$36:$B$54,0),1)=$D33,1,0))</f>
        <v>0</v>
      </c>
      <c r="Q33" s="551">
        <f ca="1">IF(Q$6=0,0,IF(INDEX('MF Overview'!$E$36:$E$54,MATCH(Q$5,'MF Overview'!$B$36:$B$54,0),1)=$D33,1,0))</f>
        <v>0</v>
      </c>
      <c r="R33" s="551">
        <f ca="1">IF(R$6=0,0,IF(INDEX('MF Overview'!$E$36:$E$54,MATCH(R$5,'MF Overview'!$B$36:$B$54,0),1)=$D33,1,0))</f>
        <v>0</v>
      </c>
      <c r="S33" s="551">
        <f ca="1">IF(S$6=0,0,IF(INDEX('MF Overview'!$E$36:$E$54,MATCH(S$5,'MF Overview'!$B$36:$B$54,0),1)=$D33,1,0))</f>
        <v>0</v>
      </c>
      <c r="T33" s="551">
        <f ca="1">IF(T$6=0,0,IF(INDEX('MF Overview'!$E$36:$E$54,MATCH(T$5,'MF Overview'!$B$36:$B$54,0),1)=$D33,1,0))</f>
        <v>0</v>
      </c>
      <c r="U33" s="551">
        <f ca="1">IF(U$6=0,0,IF(INDEX('MF Overview'!$E$36:$E$54,MATCH(U$5,'MF Overview'!$B$36:$B$54,0),1)=$D33,1,0))</f>
        <v>0</v>
      </c>
      <c r="V33" s="551">
        <f>IF(V$6=0,0,IF(INDEX('MF Overview'!$E$36:$E$54,MATCH(V$5,'MF Overview'!$B$36:$B$54,0),1)=$D33,1,0))</f>
        <v>0</v>
      </c>
      <c r="W33" s="551">
        <f>IF(W$6=0,0,IF(INDEX('MF Overview'!$E$36:$E$54,MATCH(W$5,'MF Overview'!$B$36:$B$54,0),1)=$D33,1,0))</f>
        <v>0</v>
      </c>
      <c r="X33" s="550">
        <f>IF(X$6=0,0,IF(INDEX('MF Overview'!$E$36:$E$54,MATCH(X$5,'MF Overview'!$B$36:$B$54,0),1)=$D33,1,0))</f>
        <v>0</v>
      </c>
      <c r="Y33" s="432"/>
      <c r="Z33" s="532"/>
      <c r="AA33" s="394"/>
      <c r="AB33" s="208"/>
      <c r="AC33" s="208"/>
      <c r="AI33" t="s">
        <v>1157</v>
      </c>
      <c r="AJ33" s="1" t="s">
        <v>1146</v>
      </c>
      <c r="AK33" s="1">
        <f>1/5</f>
        <v>0.2</v>
      </c>
      <c r="AO33" t="s">
        <v>1158</v>
      </c>
      <c r="AR33">
        <v>1</v>
      </c>
    </row>
    <row r="34" spans="2:44" outlineLevel="1">
      <c r="B34" s="21"/>
      <c r="D34" s="943" t="s">
        <v>1159</v>
      </c>
      <c r="E34" s="941"/>
      <c r="F34" s="542"/>
      <c r="G34" s="542"/>
      <c r="H34" s="542"/>
      <c r="I34" s="542"/>
      <c r="J34" s="542"/>
      <c r="K34" s="542"/>
      <c r="L34" s="542"/>
      <c r="M34" s="542"/>
      <c r="N34" s="542"/>
      <c r="O34" s="542"/>
      <c r="P34" s="542"/>
      <c r="Q34" s="542"/>
      <c r="R34" s="542"/>
      <c r="S34" s="542"/>
      <c r="T34" s="542"/>
      <c r="U34" s="542"/>
      <c r="V34" s="542"/>
      <c r="W34" s="542"/>
      <c r="X34" s="542"/>
      <c r="Y34" s="432"/>
      <c r="Z34" s="532"/>
      <c r="AA34" s="394"/>
      <c r="AB34" s="208"/>
      <c r="AC34" s="208"/>
      <c r="AI34" t="s">
        <v>1160</v>
      </c>
      <c r="AJ34" s="1" t="s">
        <v>686</v>
      </c>
      <c r="AK34" s="1">
        <v>25</v>
      </c>
    </row>
    <row r="35" spans="2:44" outlineLevel="1">
      <c r="B35" s="21"/>
      <c r="D35" s="5">
        <v>1.5</v>
      </c>
      <c r="E35" s="1" t="s">
        <v>960</v>
      </c>
      <c r="F35" s="551">
        <f ca="1">IF(F$6=0,0,IF(INDEX('MF Overview'!$F$36:$F$54,MATCH(F$5,'MF Overview'!$B$36:$B$54,0),1)=$D35,1,0))</f>
        <v>0</v>
      </c>
      <c r="G35" s="551">
        <f ca="1">IF(G$6=0,0,IF(INDEX('MF Overview'!$F$36:$F$54,MATCH(G$5,'MF Overview'!$B$36:$B$54,0),1)=$D35,1,0))</f>
        <v>0</v>
      </c>
      <c r="H35" s="551">
        <f ca="1">IF(H$6=0,0,IF(INDEX('MF Overview'!$F$36:$F$54,MATCH(H$5,'MF Overview'!$B$36:$B$54,0),1)=$D35,1,0))</f>
        <v>0</v>
      </c>
      <c r="I35" s="551">
        <f ca="1">IF(I$6=0,0,IF(INDEX('MF Overview'!$F$36:$F$54,MATCH(I$5,'MF Overview'!$B$36:$B$54,0),1)=$D35,1,0))</f>
        <v>0</v>
      </c>
      <c r="J35" s="551">
        <f ca="1">IF(J$6=0,0,IF(INDEX('MF Overview'!$F$36:$F$54,MATCH(J$5,'MF Overview'!$B$36:$B$54,0),1)=$D35,1,0))</f>
        <v>0</v>
      </c>
      <c r="K35" s="551">
        <f ca="1">IF(K$6=0,0,IF(INDEX('MF Overview'!$F$36:$F$54,MATCH(K$5,'MF Overview'!$B$36:$B$54,0),1)=$D35,1,0))</f>
        <v>0</v>
      </c>
      <c r="L35" s="551">
        <f ca="1">IF(L$6=0,0,IF(INDEX('MF Overview'!$F$36:$F$54,MATCH(L$5,'MF Overview'!$B$36:$B$54,0),1)=$D35,1,0))</f>
        <v>0</v>
      </c>
      <c r="M35" s="551">
        <f ca="1">IF(M$6=0,0,IF(INDEX('MF Overview'!$F$36:$F$54,MATCH(M$5,'MF Overview'!$B$36:$B$54,0),1)=$D35,1,0))</f>
        <v>0</v>
      </c>
      <c r="N35" s="551">
        <f ca="1">IF(N$6=0,0,IF(INDEX('MF Overview'!$F$36:$F$54,MATCH(N$5,'MF Overview'!$B$36:$B$54,0),1)=$D35,1,0))</f>
        <v>0</v>
      </c>
      <c r="O35" s="551">
        <f ca="1">IF(O$6=0,0,IF(INDEX('MF Overview'!$F$36:$F$54,MATCH(O$5,'MF Overview'!$B$36:$B$54,0),1)=$D35,1,0))</f>
        <v>0</v>
      </c>
      <c r="P35" s="551">
        <f ca="1">IF(P$6=0,0,IF(INDEX('MF Overview'!$F$36:$F$54,MATCH(P$5,'MF Overview'!$B$36:$B$54,0),1)=$D35,1,0))</f>
        <v>0</v>
      </c>
      <c r="Q35" s="551">
        <f ca="1">IF(Q$6=0,0,IF(INDEX('MF Overview'!$F$36:$F$54,MATCH(Q$5,'MF Overview'!$B$36:$B$54,0),1)=$D35,1,0))</f>
        <v>0</v>
      </c>
      <c r="R35" s="551">
        <f ca="1">IF(R$6=0,0,IF(INDEX('MF Overview'!$F$36:$F$54,MATCH(R$5,'MF Overview'!$B$36:$B$54,0),1)=$D35,1,0))</f>
        <v>0</v>
      </c>
      <c r="S35" s="551">
        <f ca="1">IF(S$6=0,0,IF(INDEX('MF Overview'!$F$36:$F$54,MATCH(S$5,'MF Overview'!$B$36:$B$54,0),1)=$D35,1,0))</f>
        <v>0</v>
      </c>
      <c r="T35" s="551">
        <f ca="1">IF(T$6=0,0,IF(INDEX('MF Overview'!$F$36:$F$54,MATCH(T$5,'MF Overview'!$B$36:$B$54,0),1)=$D35,1,0))</f>
        <v>0</v>
      </c>
      <c r="U35" s="551">
        <f ca="1">IF(U$6=0,0,IF(INDEX('MF Overview'!$F$36:$F$54,MATCH(U$5,'MF Overview'!$B$36:$B$54,0),1)=$D35,1,0))</f>
        <v>0</v>
      </c>
      <c r="V35" s="551">
        <f>IF(V$6=0,0,IF(INDEX('MF Overview'!$F$36:$F$54,MATCH(V$5,'MF Overview'!$B$36:$B$54,0),1)=$D35,1,0))</f>
        <v>0</v>
      </c>
      <c r="W35" s="551">
        <f>IF(W$6=0,0,IF(INDEX('MF Overview'!$F$36:$F$54,MATCH(W$5,'MF Overview'!$B$36:$B$54,0),1)=$D35,1,0))</f>
        <v>0</v>
      </c>
      <c r="X35" s="550">
        <f>IF(X$6=0,0,IF(INDEX('MF Overview'!$F$36:$F$54,MATCH(X$5,'MF Overview'!$B$36:$B$54,0),1)=$D35,1,0))</f>
        <v>0</v>
      </c>
      <c r="Y35" s="432"/>
      <c r="Z35" s="532"/>
      <c r="AA35" s="394"/>
      <c r="AB35" s="208"/>
      <c r="AC35" s="208"/>
      <c r="AI35" t="s">
        <v>1161</v>
      </c>
      <c r="AJ35" s="1" t="s">
        <v>1146</v>
      </c>
      <c r="AK35" s="1">
        <v>10</v>
      </c>
      <c r="AO35" t="s">
        <v>1162</v>
      </c>
      <c r="AR35" s="74">
        <v>2</v>
      </c>
    </row>
    <row r="36" spans="2:44" outlineLevel="1">
      <c r="B36" s="21"/>
      <c r="D36" s="5">
        <v>2</v>
      </c>
      <c r="E36" s="1" t="s">
        <v>960</v>
      </c>
      <c r="F36" s="551">
        <f ca="1">IF(F$6=0,0,IF(INDEX('MF Overview'!$F$36:$F$54,MATCH(F$5,'MF Overview'!$B$36:$B$54,0),1)=$D36,1,0))</f>
        <v>0</v>
      </c>
      <c r="G36" s="551">
        <f ca="1">IF(G$6=0,0,IF(INDEX('MF Overview'!$F$36:$F$54,MATCH(G$5,'MF Overview'!$B$36:$B$54,0),1)=$D36,1,0))</f>
        <v>0</v>
      </c>
      <c r="H36" s="551">
        <f ca="1">IF(H$6=0,0,IF(INDEX('MF Overview'!$F$36:$F$54,MATCH(H$5,'MF Overview'!$B$36:$B$54,0),1)=$D36,1,0))</f>
        <v>0</v>
      </c>
      <c r="I36" s="551">
        <f ca="1">IF(I$6=0,0,IF(INDEX('MF Overview'!$F$36:$F$54,MATCH(I$5,'MF Overview'!$B$36:$B$54,0),1)=$D36,1,0))</f>
        <v>0</v>
      </c>
      <c r="J36" s="551">
        <f ca="1">IF(J$6=0,0,IF(INDEX('MF Overview'!$F$36:$F$54,MATCH(J$5,'MF Overview'!$B$36:$B$54,0),1)=$D36,1,0))</f>
        <v>0</v>
      </c>
      <c r="K36" s="551">
        <f ca="1">IF(K$6=0,0,IF(INDEX('MF Overview'!$F$36:$F$54,MATCH(K$5,'MF Overview'!$B$36:$B$54,0),1)=$D36,1,0))</f>
        <v>0</v>
      </c>
      <c r="L36" s="551">
        <f ca="1">IF(L$6=0,0,IF(INDEX('MF Overview'!$F$36:$F$54,MATCH(L$5,'MF Overview'!$B$36:$B$54,0),1)=$D36,1,0))</f>
        <v>0</v>
      </c>
      <c r="M36" s="551">
        <f ca="1">IF(M$6=0,0,IF(INDEX('MF Overview'!$F$36:$F$54,MATCH(M$5,'MF Overview'!$B$36:$B$54,0),1)=$D36,1,0))</f>
        <v>0</v>
      </c>
      <c r="N36" s="551">
        <f ca="1">IF(N$6=0,0,IF(INDEX('MF Overview'!$F$36:$F$54,MATCH(N$5,'MF Overview'!$B$36:$B$54,0),1)=$D36,1,0))</f>
        <v>0</v>
      </c>
      <c r="O36" s="551">
        <f ca="1">IF(O$6=0,0,IF(INDEX('MF Overview'!$F$36:$F$54,MATCH(O$5,'MF Overview'!$B$36:$B$54,0),1)=$D36,1,0))</f>
        <v>0</v>
      </c>
      <c r="P36" s="551">
        <f ca="1">IF(P$6=0,0,IF(INDEX('MF Overview'!$F$36:$F$54,MATCH(P$5,'MF Overview'!$B$36:$B$54,0),1)=$D36,1,0))</f>
        <v>0</v>
      </c>
      <c r="Q36" s="551">
        <f ca="1">IF(Q$6=0,0,IF(INDEX('MF Overview'!$F$36:$F$54,MATCH(Q$5,'MF Overview'!$B$36:$B$54,0),1)=$D36,1,0))</f>
        <v>0</v>
      </c>
      <c r="R36" s="551">
        <f ca="1">IF(R$6=0,0,IF(INDEX('MF Overview'!$F$36:$F$54,MATCH(R$5,'MF Overview'!$B$36:$B$54,0),1)=$D36,1,0))</f>
        <v>0</v>
      </c>
      <c r="S36" s="551">
        <f ca="1">IF(S$6=0,0,IF(INDEX('MF Overview'!$F$36:$F$54,MATCH(S$5,'MF Overview'!$B$36:$B$54,0),1)=$D36,1,0))</f>
        <v>0</v>
      </c>
      <c r="T36" s="551">
        <f ca="1">IF(T$6=0,0,IF(INDEX('MF Overview'!$F$36:$F$54,MATCH(T$5,'MF Overview'!$B$36:$B$54,0),1)=$D36,1,0))</f>
        <v>1</v>
      </c>
      <c r="U36" s="551">
        <f ca="1">IF(U$6=0,0,IF(INDEX('MF Overview'!$F$36:$F$54,MATCH(U$5,'MF Overview'!$B$36:$B$54,0),1)=$D36,1,0))</f>
        <v>1</v>
      </c>
      <c r="V36" s="551">
        <f>IF(V$6=0,0,IF(INDEX('MF Overview'!$F$36:$F$54,MATCH(V$5,'MF Overview'!$B$36:$B$54,0),1)=$D36,1,0))</f>
        <v>0</v>
      </c>
      <c r="W36" s="551">
        <f>IF(W$6=0,0,IF(INDEX('MF Overview'!$F$36:$F$54,MATCH(W$5,'MF Overview'!$B$36:$B$54,0),1)=$D36,1,0))</f>
        <v>0</v>
      </c>
      <c r="X36" s="550">
        <f>IF(X$6=0,0,IF(INDEX('MF Overview'!$F$36:$F$54,MATCH(X$5,'MF Overview'!$B$36:$B$54,0),1)=$D36,1,0))</f>
        <v>0</v>
      </c>
      <c r="Y36" s="432"/>
      <c r="Z36" s="532"/>
      <c r="AA36" s="394"/>
      <c r="AB36" s="208"/>
      <c r="AC36" s="208"/>
    </row>
    <row r="37" spans="2:44" outlineLevel="1">
      <c r="B37" s="21"/>
      <c r="D37" s="5">
        <v>2.5</v>
      </c>
      <c r="E37" s="1" t="s">
        <v>960</v>
      </c>
      <c r="F37" s="551">
        <f ca="1">IF(F$6=0,0,IF(INDEX('MF Overview'!$F$36:$F$54,MATCH(F$5,'MF Overview'!$B$36:$B$54,0),1)=$D37,1,0))</f>
        <v>0</v>
      </c>
      <c r="G37" s="551">
        <f ca="1">IF(G$6=0,0,IF(INDEX('MF Overview'!$F$36:$F$54,MATCH(G$5,'MF Overview'!$B$36:$B$54,0),1)=$D37,1,0))</f>
        <v>0</v>
      </c>
      <c r="H37" s="551">
        <f ca="1">IF(H$6=0,0,IF(INDEX('MF Overview'!$F$36:$F$54,MATCH(H$5,'MF Overview'!$B$36:$B$54,0),1)=$D37,1,0))</f>
        <v>0</v>
      </c>
      <c r="I37" s="551">
        <f ca="1">IF(I$6=0,0,IF(INDEX('MF Overview'!$F$36:$F$54,MATCH(I$5,'MF Overview'!$B$36:$B$54,0),1)=$D37,1,0))</f>
        <v>0</v>
      </c>
      <c r="J37" s="551">
        <f ca="1">IF(J$6=0,0,IF(INDEX('MF Overview'!$F$36:$F$54,MATCH(J$5,'MF Overview'!$B$36:$B$54,0),1)=$D37,1,0))</f>
        <v>0</v>
      </c>
      <c r="K37" s="551">
        <f ca="1">IF(K$6=0,0,IF(INDEX('MF Overview'!$F$36:$F$54,MATCH(K$5,'MF Overview'!$B$36:$B$54,0),1)=$D37,1,0))</f>
        <v>0</v>
      </c>
      <c r="L37" s="551">
        <f ca="1">IF(L$6=0,0,IF(INDEX('MF Overview'!$F$36:$F$54,MATCH(L$5,'MF Overview'!$B$36:$B$54,0),1)=$D37,1,0))</f>
        <v>0</v>
      </c>
      <c r="M37" s="551">
        <f ca="1">IF(M$6=0,0,IF(INDEX('MF Overview'!$F$36:$F$54,MATCH(M$5,'MF Overview'!$B$36:$B$54,0),1)=$D37,1,0))</f>
        <v>0</v>
      </c>
      <c r="N37" s="551">
        <f ca="1">IF(N$6=0,0,IF(INDEX('MF Overview'!$F$36:$F$54,MATCH(N$5,'MF Overview'!$B$36:$B$54,0),1)=$D37,1,0))</f>
        <v>0</v>
      </c>
      <c r="O37" s="551">
        <f ca="1">IF(O$6=0,0,IF(INDEX('MF Overview'!$F$36:$F$54,MATCH(O$5,'MF Overview'!$B$36:$B$54,0),1)=$D37,1,0))</f>
        <v>0</v>
      </c>
      <c r="P37" s="551">
        <f ca="1">IF(P$6=0,0,IF(INDEX('MF Overview'!$F$36:$F$54,MATCH(P$5,'MF Overview'!$B$36:$B$54,0),1)=$D37,1,0))</f>
        <v>0</v>
      </c>
      <c r="Q37" s="551">
        <f ca="1">IF(Q$6=0,0,IF(INDEX('MF Overview'!$F$36:$F$54,MATCH(Q$5,'MF Overview'!$B$36:$B$54,0),1)=$D37,1,0))</f>
        <v>0</v>
      </c>
      <c r="R37" s="551">
        <f ca="1">IF(R$6=0,0,IF(INDEX('MF Overview'!$F$36:$F$54,MATCH(R$5,'MF Overview'!$B$36:$B$54,0),1)=$D37,1,0))</f>
        <v>0</v>
      </c>
      <c r="S37" s="551">
        <f ca="1">IF(S$6=0,0,IF(INDEX('MF Overview'!$F$36:$F$54,MATCH(S$5,'MF Overview'!$B$36:$B$54,0),1)=$D37,1,0))</f>
        <v>0</v>
      </c>
      <c r="T37" s="551">
        <f ca="1">IF(T$6=0,0,IF(INDEX('MF Overview'!$F$36:$F$54,MATCH(T$5,'MF Overview'!$B$36:$B$54,0),1)=$D37,1,0))</f>
        <v>0</v>
      </c>
      <c r="U37" s="551">
        <f ca="1">IF(U$6=0,0,IF(INDEX('MF Overview'!$F$36:$F$54,MATCH(U$5,'MF Overview'!$B$36:$B$54,0),1)=$D37,1,0))</f>
        <v>0</v>
      </c>
      <c r="V37" s="551">
        <f>IF(V$6=0,0,IF(INDEX('MF Overview'!$F$36:$F$54,MATCH(V$5,'MF Overview'!$B$36:$B$54,0),1)=$D37,1,0))</f>
        <v>0</v>
      </c>
      <c r="W37" s="551">
        <f>IF(W$6=0,0,IF(INDEX('MF Overview'!$F$36:$F$54,MATCH(W$5,'MF Overview'!$B$36:$B$54,0),1)=$D37,1,0))</f>
        <v>0</v>
      </c>
      <c r="X37" s="550">
        <f>IF(X$6=0,0,IF(INDEX('MF Overview'!$F$36:$F$54,MATCH(X$5,'MF Overview'!$B$36:$B$54,0),1)=$D37,1,0))</f>
        <v>0</v>
      </c>
      <c r="Y37" s="432"/>
      <c r="Z37" s="532"/>
      <c r="AA37" s="394"/>
      <c r="AB37" s="208"/>
      <c r="AC37" s="208"/>
    </row>
    <row r="38" spans="2:44" outlineLevel="1">
      <c r="B38" s="21"/>
      <c r="D38" s="5">
        <v>3</v>
      </c>
      <c r="E38" s="1" t="s">
        <v>960</v>
      </c>
      <c r="F38" s="551">
        <f ca="1">IF(F$6=0,0,IF(INDEX('MF Overview'!$F$36:$F$54,MATCH(F$5,'MF Overview'!$B$36:$B$54,0),1)=$D38,1,0))</f>
        <v>0</v>
      </c>
      <c r="G38" s="551">
        <f ca="1">IF(G$6=0,0,IF(INDEX('MF Overview'!$F$36:$F$54,MATCH(G$5,'MF Overview'!$B$36:$B$54,0),1)=$D38,1,0))</f>
        <v>0</v>
      </c>
      <c r="H38" s="551">
        <f ca="1">IF(H$6=0,0,IF(INDEX('MF Overview'!$F$36:$F$54,MATCH(H$5,'MF Overview'!$B$36:$B$54,0),1)=$D38,1,0))</f>
        <v>0</v>
      </c>
      <c r="I38" s="551">
        <f ca="1">IF(I$6=0,0,IF(INDEX('MF Overview'!$F$36:$F$54,MATCH(I$5,'MF Overview'!$B$36:$B$54,0),1)=$D38,1,0))</f>
        <v>0</v>
      </c>
      <c r="J38" s="551">
        <f ca="1">IF(J$6=0,0,IF(INDEX('MF Overview'!$F$36:$F$54,MATCH(J$5,'MF Overview'!$B$36:$B$54,0),1)=$D38,1,0))</f>
        <v>0</v>
      </c>
      <c r="K38" s="551">
        <f ca="1">IF(K$6=0,0,IF(INDEX('MF Overview'!$F$36:$F$54,MATCH(K$5,'MF Overview'!$B$36:$B$54,0),1)=$D38,1,0))</f>
        <v>0</v>
      </c>
      <c r="L38" s="551">
        <f ca="1">IF(L$6=0,0,IF(INDEX('MF Overview'!$F$36:$F$54,MATCH(L$5,'MF Overview'!$B$36:$B$54,0),1)=$D38,1,0))</f>
        <v>0</v>
      </c>
      <c r="M38" s="551">
        <f ca="1">IF(M$6=0,0,IF(INDEX('MF Overview'!$F$36:$F$54,MATCH(M$5,'MF Overview'!$B$36:$B$54,0),1)=$D38,1,0))</f>
        <v>0</v>
      </c>
      <c r="N38" s="551">
        <f ca="1">IF(N$6=0,0,IF(INDEX('MF Overview'!$F$36:$F$54,MATCH(N$5,'MF Overview'!$B$36:$B$54,0),1)=$D38,1,0))</f>
        <v>0</v>
      </c>
      <c r="O38" s="551">
        <f ca="1">IF(O$6=0,0,IF(INDEX('MF Overview'!$F$36:$F$54,MATCH(O$5,'MF Overview'!$B$36:$B$54,0),1)=$D38,1,0))</f>
        <v>0</v>
      </c>
      <c r="P38" s="551">
        <f ca="1">IF(P$6=0,0,IF(INDEX('MF Overview'!$F$36:$F$54,MATCH(P$5,'MF Overview'!$B$36:$B$54,0),1)=$D38,1,0))</f>
        <v>0</v>
      </c>
      <c r="Q38" s="551">
        <f ca="1">IF(Q$6=0,0,IF(INDEX('MF Overview'!$F$36:$F$54,MATCH(Q$5,'MF Overview'!$B$36:$B$54,0),1)=$D38,1,0))</f>
        <v>0</v>
      </c>
      <c r="R38" s="551">
        <f ca="1">IF(R$6=0,0,IF(INDEX('MF Overview'!$F$36:$F$54,MATCH(R$5,'MF Overview'!$B$36:$B$54,0),1)=$D38,1,0))</f>
        <v>0</v>
      </c>
      <c r="S38" s="551">
        <f ca="1">IF(S$6=0,0,IF(INDEX('MF Overview'!$F$36:$F$54,MATCH(S$5,'MF Overview'!$B$36:$B$54,0),1)=$D38,1,0))</f>
        <v>0</v>
      </c>
      <c r="T38" s="551">
        <f ca="1">IF(T$6=0,0,IF(INDEX('MF Overview'!$F$36:$F$54,MATCH(T$5,'MF Overview'!$B$36:$B$54,0),1)=$D38,1,0))</f>
        <v>0</v>
      </c>
      <c r="U38" s="551">
        <f ca="1">IF(U$6=0,0,IF(INDEX('MF Overview'!$F$36:$F$54,MATCH(U$5,'MF Overview'!$B$36:$B$54,0),1)=$D38,1,0))</f>
        <v>0</v>
      </c>
      <c r="V38" s="551">
        <f>IF(V$6=0,0,IF(INDEX('MF Overview'!$F$36:$F$54,MATCH(V$5,'MF Overview'!$B$36:$B$54,0),1)=$D38,1,0))</f>
        <v>0</v>
      </c>
      <c r="W38" s="551">
        <f>IF(W$6=0,0,IF(INDEX('MF Overview'!$F$36:$F$54,MATCH(W$5,'MF Overview'!$B$36:$B$54,0),1)=$D38,1,0))</f>
        <v>0</v>
      </c>
      <c r="X38" s="550">
        <f>IF(X$6=0,0,IF(INDEX('MF Overview'!$F$36:$F$54,MATCH(X$5,'MF Overview'!$B$36:$B$54,0),1)=$D38,1,0))</f>
        <v>0</v>
      </c>
      <c r="Y38" s="432"/>
      <c r="Z38" s="532"/>
      <c r="AA38" s="394"/>
      <c r="AB38" s="208"/>
      <c r="AC38" s="208"/>
      <c r="AI38" s="592" t="s">
        <v>1163</v>
      </c>
      <c r="AJ38" s="205" t="s">
        <v>1164</v>
      </c>
    </row>
    <row r="39" spans="2:44" outlineLevel="1">
      <c r="B39" s="21"/>
      <c r="D39" s="5">
        <v>3.5</v>
      </c>
      <c r="E39" s="1" t="s">
        <v>960</v>
      </c>
      <c r="F39" s="551">
        <f ca="1">IF(F$6=0,0,IF(INDEX('MF Overview'!$F$36:$F$54,MATCH(F$5,'MF Overview'!$B$36:$B$54,0),1)=$D39,1,0))</f>
        <v>0</v>
      </c>
      <c r="G39" s="551">
        <f ca="1">IF(G$6=0,0,IF(INDEX('MF Overview'!$F$36:$F$54,MATCH(G$5,'MF Overview'!$B$36:$B$54,0),1)=$D39,1,0))</f>
        <v>0</v>
      </c>
      <c r="H39" s="551">
        <f ca="1">IF(H$6=0,0,IF(INDEX('MF Overview'!$F$36:$F$54,MATCH(H$5,'MF Overview'!$B$36:$B$54,0),1)=$D39,1,0))</f>
        <v>0</v>
      </c>
      <c r="I39" s="551">
        <f ca="1">IF(I$6=0,0,IF(INDEX('MF Overview'!$F$36:$F$54,MATCH(I$5,'MF Overview'!$B$36:$B$54,0),1)=$D39,1,0))</f>
        <v>0</v>
      </c>
      <c r="J39" s="551">
        <f ca="1">IF(J$6=0,0,IF(INDEX('MF Overview'!$F$36:$F$54,MATCH(J$5,'MF Overview'!$B$36:$B$54,0),1)=$D39,1,0))</f>
        <v>0</v>
      </c>
      <c r="K39" s="551">
        <f ca="1">IF(K$6=0,0,IF(INDEX('MF Overview'!$F$36:$F$54,MATCH(K$5,'MF Overview'!$B$36:$B$54,0),1)=$D39,1,0))</f>
        <v>0</v>
      </c>
      <c r="L39" s="551">
        <f ca="1">IF(L$6=0,0,IF(INDEX('MF Overview'!$F$36:$F$54,MATCH(L$5,'MF Overview'!$B$36:$B$54,0),1)=$D39,1,0))</f>
        <v>0</v>
      </c>
      <c r="M39" s="551">
        <f ca="1">IF(M$6=0,0,IF(INDEX('MF Overview'!$F$36:$F$54,MATCH(M$5,'MF Overview'!$B$36:$B$54,0),1)=$D39,1,0))</f>
        <v>0</v>
      </c>
      <c r="N39" s="551">
        <f ca="1">IF(N$6=0,0,IF(INDEX('MF Overview'!$F$36:$F$54,MATCH(N$5,'MF Overview'!$B$36:$B$54,0),1)=$D39,1,0))</f>
        <v>0</v>
      </c>
      <c r="O39" s="551">
        <f ca="1">IF(O$6=0,0,IF(INDEX('MF Overview'!$F$36:$F$54,MATCH(O$5,'MF Overview'!$B$36:$B$54,0),1)=$D39,1,0))</f>
        <v>0</v>
      </c>
      <c r="P39" s="551">
        <f ca="1">IF(P$6=0,0,IF(INDEX('MF Overview'!$F$36:$F$54,MATCH(P$5,'MF Overview'!$B$36:$B$54,0),1)=$D39,1,0))</f>
        <v>0</v>
      </c>
      <c r="Q39" s="551">
        <f ca="1">IF(Q$6=0,0,IF(INDEX('MF Overview'!$F$36:$F$54,MATCH(Q$5,'MF Overview'!$B$36:$B$54,0),1)=$D39,1,0))</f>
        <v>0</v>
      </c>
      <c r="R39" s="551">
        <f ca="1">IF(R$6=0,0,IF(INDEX('MF Overview'!$F$36:$F$54,MATCH(R$5,'MF Overview'!$B$36:$B$54,0),1)=$D39,1,0))</f>
        <v>0</v>
      </c>
      <c r="S39" s="551">
        <f ca="1">IF(S$6=0,0,IF(INDEX('MF Overview'!$F$36:$F$54,MATCH(S$5,'MF Overview'!$B$36:$B$54,0),1)=$D39,1,0))</f>
        <v>0</v>
      </c>
      <c r="T39" s="551">
        <f ca="1">IF(T$6=0,0,IF(INDEX('MF Overview'!$F$36:$F$54,MATCH(T$5,'MF Overview'!$B$36:$B$54,0),1)=$D39,1,0))</f>
        <v>0</v>
      </c>
      <c r="U39" s="551">
        <f ca="1">IF(U$6=0,0,IF(INDEX('MF Overview'!$F$36:$F$54,MATCH(U$5,'MF Overview'!$B$36:$B$54,0),1)=$D39,1,0))</f>
        <v>0</v>
      </c>
      <c r="V39" s="551">
        <f>IF(V$6=0,0,IF(INDEX('MF Overview'!$F$36:$F$54,MATCH(V$5,'MF Overview'!$B$36:$B$54,0),1)=$D39,1,0))</f>
        <v>0</v>
      </c>
      <c r="W39" s="551">
        <f>IF(W$6=0,0,IF(INDEX('MF Overview'!$F$36:$F$54,MATCH(W$5,'MF Overview'!$B$36:$B$54,0),1)=$D39,1,0))</f>
        <v>0</v>
      </c>
      <c r="X39" s="550">
        <f>IF(X$6=0,0,IF(INDEX('MF Overview'!$F$36:$F$54,MATCH(X$5,'MF Overview'!$B$36:$B$54,0),1)=$D39,1,0))</f>
        <v>0</v>
      </c>
      <c r="Y39" s="432"/>
      <c r="Z39" s="532"/>
      <c r="AA39" s="394"/>
      <c r="AB39" s="208"/>
      <c r="AC39" s="208"/>
      <c r="AI39" t="s">
        <v>1165</v>
      </c>
      <c r="AJ39" s="74">
        <v>2</v>
      </c>
      <c r="AR39">
        <f>37.8*20</f>
        <v>756</v>
      </c>
    </row>
    <row r="40" spans="2:44" outlineLevel="1">
      <c r="B40" s="21"/>
      <c r="D40" s="5">
        <v>4</v>
      </c>
      <c r="E40" s="1" t="s">
        <v>960</v>
      </c>
      <c r="F40" s="551">
        <f ca="1">IF(F$6=0,0,IF(INDEX('MF Overview'!$F$36:$F$54,MATCH(F$5,'MF Overview'!$B$36:$B$54,0),1)=$D40,1,0))</f>
        <v>0</v>
      </c>
      <c r="G40" s="551">
        <f ca="1">IF(G$6=0,0,IF(INDEX('MF Overview'!$F$36:$F$54,MATCH(G$5,'MF Overview'!$B$36:$B$54,0),1)=$D40,1,0))</f>
        <v>0</v>
      </c>
      <c r="H40" s="551">
        <f ca="1">IF(H$6=0,0,IF(INDEX('MF Overview'!$F$36:$F$54,MATCH(H$5,'MF Overview'!$B$36:$B$54,0),1)=$D40,1,0))</f>
        <v>0</v>
      </c>
      <c r="I40" s="551">
        <f ca="1">IF(I$6=0,0,IF(INDEX('MF Overview'!$F$36:$F$54,MATCH(I$5,'MF Overview'!$B$36:$B$54,0),1)=$D40,1,0))</f>
        <v>0</v>
      </c>
      <c r="J40" s="551">
        <f ca="1">IF(J$6=0,0,IF(INDEX('MF Overview'!$F$36:$F$54,MATCH(J$5,'MF Overview'!$B$36:$B$54,0),1)=$D40,1,0))</f>
        <v>0</v>
      </c>
      <c r="K40" s="551">
        <f ca="1">IF(K$6=0,0,IF(INDEX('MF Overview'!$F$36:$F$54,MATCH(K$5,'MF Overview'!$B$36:$B$54,0),1)=$D40,1,0))</f>
        <v>0</v>
      </c>
      <c r="L40" s="551">
        <f ca="1">IF(L$6=0,0,IF(INDEX('MF Overview'!$F$36:$F$54,MATCH(L$5,'MF Overview'!$B$36:$B$54,0),1)=$D40,1,0))</f>
        <v>0</v>
      </c>
      <c r="M40" s="551">
        <f ca="1">IF(M$6=0,0,IF(INDEX('MF Overview'!$F$36:$F$54,MATCH(M$5,'MF Overview'!$B$36:$B$54,0),1)=$D40,1,0))</f>
        <v>0</v>
      </c>
      <c r="N40" s="551">
        <f ca="1">IF(N$6=0,0,IF(INDEX('MF Overview'!$F$36:$F$54,MATCH(N$5,'MF Overview'!$B$36:$B$54,0),1)=$D40,1,0))</f>
        <v>0</v>
      </c>
      <c r="O40" s="551">
        <f ca="1">IF(O$6=0,0,IF(INDEX('MF Overview'!$F$36:$F$54,MATCH(O$5,'MF Overview'!$B$36:$B$54,0),1)=$D40,1,0))</f>
        <v>0</v>
      </c>
      <c r="P40" s="551">
        <f ca="1">IF(P$6=0,0,IF(INDEX('MF Overview'!$F$36:$F$54,MATCH(P$5,'MF Overview'!$B$36:$B$54,0),1)=$D40,1,0))</f>
        <v>0</v>
      </c>
      <c r="Q40" s="551">
        <f ca="1">IF(Q$6=0,0,IF(INDEX('MF Overview'!$F$36:$F$54,MATCH(Q$5,'MF Overview'!$B$36:$B$54,0),1)=$D40,1,0))</f>
        <v>0</v>
      </c>
      <c r="R40" s="551">
        <f ca="1">IF(R$6=0,0,IF(INDEX('MF Overview'!$F$36:$F$54,MATCH(R$5,'MF Overview'!$B$36:$B$54,0),1)=$D40,1,0))</f>
        <v>0</v>
      </c>
      <c r="S40" s="551">
        <f ca="1">IF(S$6=0,0,IF(INDEX('MF Overview'!$F$36:$F$54,MATCH(S$5,'MF Overview'!$B$36:$B$54,0),1)=$D40,1,0))</f>
        <v>0</v>
      </c>
      <c r="T40" s="551">
        <f ca="1">IF(T$6=0,0,IF(INDEX('MF Overview'!$F$36:$F$54,MATCH(T$5,'MF Overview'!$B$36:$B$54,0),1)=$D40,1,0))</f>
        <v>0</v>
      </c>
      <c r="U40" s="551">
        <f ca="1">IF(U$6=0,0,IF(INDEX('MF Overview'!$F$36:$F$54,MATCH(U$5,'MF Overview'!$B$36:$B$54,0),1)=$D40,1,0))</f>
        <v>0</v>
      </c>
      <c r="V40" s="551">
        <f>IF(V$6=0,0,IF(INDEX('MF Overview'!$F$36:$F$54,MATCH(V$5,'MF Overview'!$B$36:$B$54,0),1)=$D40,1,0))</f>
        <v>0</v>
      </c>
      <c r="W40" s="551">
        <f>IF(W$6=0,0,IF(INDEX('MF Overview'!$F$36:$F$54,MATCH(W$5,'MF Overview'!$B$36:$B$54,0),1)=$D40,1,0))</f>
        <v>0</v>
      </c>
      <c r="X40" s="550">
        <f>IF(X$6=0,0,IF(INDEX('MF Overview'!$F$36:$F$54,MATCH(X$5,'MF Overview'!$B$36:$B$54,0),1)=$D40,1,0))</f>
        <v>0</v>
      </c>
      <c r="Y40" s="432"/>
      <c r="Z40" s="532"/>
      <c r="AA40" s="394"/>
      <c r="AB40" s="208"/>
      <c r="AC40" s="208"/>
      <c r="AI40" t="s">
        <v>1166</v>
      </c>
      <c r="AJ40" s="74">
        <v>0.5</v>
      </c>
      <c r="AR40">
        <f>AR39*338</f>
        <v>255528</v>
      </c>
    </row>
    <row r="41" spans="2:44" outlineLevel="1">
      <c r="B41" s="21"/>
      <c r="D41" s="5">
        <v>5</v>
      </c>
      <c r="E41" s="1" t="s">
        <v>960</v>
      </c>
      <c r="F41" s="551">
        <f ca="1">IF(F$6=0,0,IF(INDEX('MF Overview'!$F$36:$F$54,MATCH(F$5,'MF Overview'!$B$36:$B$54,0),1)=$D41,1,0))</f>
        <v>0</v>
      </c>
      <c r="G41" s="551">
        <f ca="1">IF(G$6=0,0,IF(INDEX('MF Overview'!$F$36:$F$54,MATCH(G$5,'MF Overview'!$B$36:$B$54,0),1)=$D41,1,0))</f>
        <v>0</v>
      </c>
      <c r="H41" s="551">
        <f ca="1">IF(H$6=0,0,IF(INDEX('MF Overview'!$F$36:$F$54,MATCH(H$5,'MF Overview'!$B$36:$B$54,0),1)=$D41,1,0))</f>
        <v>0</v>
      </c>
      <c r="I41" s="551">
        <f ca="1">IF(I$6=0,0,IF(INDEX('MF Overview'!$F$36:$F$54,MATCH(I$5,'MF Overview'!$B$36:$B$54,0),1)=$D41,1,0))</f>
        <v>0</v>
      </c>
      <c r="J41" s="551">
        <f ca="1">IF(J$6=0,0,IF(INDEX('MF Overview'!$F$36:$F$54,MATCH(J$5,'MF Overview'!$B$36:$B$54,0),1)=$D41,1,0))</f>
        <v>0</v>
      </c>
      <c r="K41" s="551">
        <f ca="1">IF(K$6=0,0,IF(INDEX('MF Overview'!$F$36:$F$54,MATCH(K$5,'MF Overview'!$B$36:$B$54,0),1)=$D41,1,0))</f>
        <v>0</v>
      </c>
      <c r="L41" s="551">
        <f ca="1">IF(L$6=0,0,IF(INDEX('MF Overview'!$F$36:$F$54,MATCH(L$5,'MF Overview'!$B$36:$B$54,0),1)=$D41,1,0))</f>
        <v>0</v>
      </c>
      <c r="M41" s="551">
        <f ca="1">IF(M$6=0,0,IF(INDEX('MF Overview'!$F$36:$F$54,MATCH(M$5,'MF Overview'!$B$36:$B$54,0),1)=$D41,1,0))</f>
        <v>0</v>
      </c>
      <c r="N41" s="551">
        <f ca="1">IF(N$6=0,0,IF(INDEX('MF Overview'!$F$36:$F$54,MATCH(N$5,'MF Overview'!$B$36:$B$54,0),1)=$D41,1,0))</f>
        <v>0</v>
      </c>
      <c r="O41" s="551">
        <f ca="1">IF(O$6=0,0,IF(INDEX('MF Overview'!$F$36:$F$54,MATCH(O$5,'MF Overview'!$B$36:$B$54,0),1)=$D41,1,0))</f>
        <v>0</v>
      </c>
      <c r="P41" s="551">
        <f ca="1">IF(P$6=0,0,IF(INDEX('MF Overview'!$F$36:$F$54,MATCH(P$5,'MF Overview'!$B$36:$B$54,0),1)=$D41,1,0))</f>
        <v>0</v>
      </c>
      <c r="Q41" s="551">
        <f ca="1">IF(Q$6=0,0,IF(INDEX('MF Overview'!$F$36:$F$54,MATCH(Q$5,'MF Overview'!$B$36:$B$54,0),1)=$D41,1,0))</f>
        <v>0</v>
      </c>
      <c r="R41" s="551">
        <f ca="1">IF(R$6=0,0,IF(INDEX('MF Overview'!$F$36:$F$54,MATCH(R$5,'MF Overview'!$B$36:$B$54,0),1)=$D41,1,0))</f>
        <v>0</v>
      </c>
      <c r="S41" s="551">
        <f ca="1">IF(S$6=0,0,IF(INDEX('MF Overview'!$F$36:$F$54,MATCH(S$5,'MF Overview'!$B$36:$B$54,0),1)=$D41,1,0))</f>
        <v>0</v>
      </c>
      <c r="T41" s="551">
        <f ca="1">IF(T$6=0,0,IF(INDEX('MF Overview'!$F$36:$F$54,MATCH(T$5,'MF Overview'!$B$36:$B$54,0),1)=$D41,1,0))</f>
        <v>0</v>
      </c>
      <c r="U41" s="551">
        <f ca="1">IF(U$6=0,0,IF(INDEX('MF Overview'!$F$36:$F$54,MATCH(U$5,'MF Overview'!$B$36:$B$54,0),1)=$D41,1,0))</f>
        <v>0</v>
      </c>
      <c r="V41" s="551">
        <f>IF(V$6=0,0,IF(INDEX('MF Overview'!$F$36:$F$54,MATCH(V$5,'MF Overview'!$B$36:$B$54,0),1)=$D41,1,0))</f>
        <v>0</v>
      </c>
      <c r="W41" s="551">
        <f>IF(W$6=0,0,IF(INDEX('MF Overview'!$F$36:$F$54,MATCH(W$5,'MF Overview'!$B$36:$B$54,0),1)=$D41,1,0))</f>
        <v>0</v>
      </c>
      <c r="X41" s="550">
        <f>IF(X$6=0,0,IF(INDEX('MF Overview'!$F$36:$F$54,MATCH(X$5,'MF Overview'!$B$36:$B$54,0),1)=$D41,1,0))</f>
        <v>0</v>
      </c>
      <c r="Y41" s="432"/>
      <c r="Z41" s="532"/>
      <c r="AA41" s="394"/>
      <c r="AB41" s="208"/>
      <c r="AC41" s="208"/>
      <c r="AI41" t="s">
        <v>1167</v>
      </c>
      <c r="AJ41" s="74">
        <v>1</v>
      </c>
    </row>
    <row r="42" spans="2:44" outlineLevel="1">
      <c r="B42" s="21"/>
      <c r="D42" s="944" t="s">
        <v>1168</v>
      </c>
      <c r="E42" s="940"/>
      <c r="F42" s="542"/>
      <c r="G42" s="542"/>
      <c r="H42" s="542"/>
      <c r="I42" s="542"/>
      <c r="J42" s="542"/>
      <c r="K42" s="542"/>
      <c r="L42" s="542"/>
      <c r="M42" s="542"/>
      <c r="N42" s="542"/>
      <c r="O42" s="542"/>
      <c r="P42" s="542"/>
      <c r="Q42" s="542"/>
      <c r="R42" s="542"/>
      <c r="S42" s="542"/>
      <c r="T42" s="542"/>
      <c r="U42" s="542"/>
      <c r="V42" s="542"/>
      <c r="W42" s="542"/>
      <c r="X42" s="542"/>
      <c r="Y42" s="437" t="s">
        <v>948</v>
      </c>
      <c r="Z42" s="92" t="s">
        <v>949</v>
      </c>
      <c r="AA42" s="541" t="s">
        <v>950</v>
      </c>
      <c r="AB42" s="208"/>
      <c r="AC42" s="208"/>
      <c r="AI42" t="s">
        <v>1169</v>
      </c>
      <c r="AJ42" s="74">
        <v>1.5</v>
      </c>
      <c r="AK42" s="1"/>
    </row>
    <row r="43" spans="2:44" outlineLevel="1">
      <c r="B43" s="21"/>
      <c r="D43" s="5">
        <v>1.5</v>
      </c>
      <c r="E43" s="1" t="s">
        <v>960</v>
      </c>
      <c r="F43" s="551">
        <f t="shared" ref="F43:X43" ca="1" si="0">F11+F19</f>
        <v>1</v>
      </c>
      <c r="G43" s="551">
        <f t="shared" ca="1" si="0"/>
        <v>1</v>
      </c>
      <c r="H43" s="551">
        <f t="shared" ca="1" si="0"/>
        <v>1</v>
      </c>
      <c r="I43" s="551">
        <f t="shared" ca="1" si="0"/>
        <v>1</v>
      </c>
      <c r="J43" s="551">
        <f t="shared" ca="1" si="0"/>
        <v>1</v>
      </c>
      <c r="K43" s="551">
        <f t="shared" ca="1" si="0"/>
        <v>0</v>
      </c>
      <c r="L43" s="551">
        <f t="shared" ca="1" si="0"/>
        <v>0</v>
      </c>
      <c r="M43" s="551">
        <f t="shared" ca="1" si="0"/>
        <v>0</v>
      </c>
      <c r="N43" s="551">
        <f t="shared" ca="1" si="0"/>
        <v>0</v>
      </c>
      <c r="O43" s="551">
        <f t="shared" ca="1" si="0"/>
        <v>0</v>
      </c>
      <c r="P43" s="551">
        <f t="shared" ca="1" si="0"/>
        <v>0</v>
      </c>
      <c r="Q43" s="551">
        <f t="shared" ca="1" si="0"/>
        <v>0</v>
      </c>
      <c r="R43" s="551">
        <f t="shared" ca="1" si="0"/>
        <v>0</v>
      </c>
      <c r="S43" s="551">
        <f t="shared" ca="1" si="0"/>
        <v>0</v>
      </c>
      <c r="T43" s="551">
        <f t="shared" ca="1" si="0"/>
        <v>0</v>
      </c>
      <c r="U43" s="551">
        <f t="shared" ca="1" si="0"/>
        <v>0</v>
      </c>
      <c r="V43" s="551">
        <f t="shared" si="0"/>
        <v>0</v>
      </c>
      <c r="W43" s="551">
        <f t="shared" si="0"/>
        <v>0</v>
      </c>
      <c r="X43" s="550">
        <f t="shared" si="0"/>
        <v>0</v>
      </c>
      <c r="Y43" s="469">
        <f t="shared" ref="Y43:Y49" ca="1" si="1">SUMPRODUCT($F43:$X43,$F$7:$X$7)</f>
        <v>25</v>
      </c>
      <c r="Z43" s="597">
        <f>'MF Pricing'!F6</f>
        <v>1401.5900000000001</v>
      </c>
      <c r="AA43" s="537">
        <f t="shared" ref="AA43:AA57" ca="1" si="2">Y43*Z43</f>
        <v>35039.75</v>
      </c>
      <c r="AB43" s="208"/>
      <c r="AC43" s="208"/>
      <c r="AI43" t="s">
        <v>1170</v>
      </c>
      <c r="AJ43" s="74">
        <v>1</v>
      </c>
      <c r="AK43" s="1"/>
    </row>
    <row r="44" spans="2:44" outlineLevel="1">
      <c r="B44" s="21"/>
      <c r="D44" s="5">
        <v>2</v>
      </c>
      <c r="E44" s="1" t="s">
        <v>960</v>
      </c>
      <c r="F44" s="551">
        <f t="shared" ref="F44:X44" ca="1" si="3">F12+F20</f>
        <v>0</v>
      </c>
      <c r="G44" s="551">
        <f t="shared" ca="1" si="3"/>
        <v>0</v>
      </c>
      <c r="H44" s="551">
        <f t="shared" ca="1" si="3"/>
        <v>0</v>
      </c>
      <c r="I44" s="551">
        <f t="shared" ca="1" si="3"/>
        <v>0</v>
      </c>
      <c r="J44" s="551">
        <f t="shared" ca="1" si="3"/>
        <v>0</v>
      </c>
      <c r="K44" s="551">
        <f t="shared" ca="1" si="3"/>
        <v>1</v>
      </c>
      <c r="L44" s="551">
        <f t="shared" ca="1" si="3"/>
        <v>1</v>
      </c>
      <c r="M44" s="551">
        <f t="shared" ca="1" si="3"/>
        <v>1</v>
      </c>
      <c r="N44" s="551">
        <f t="shared" ca="1" si="3"/>
        <v>1</v>
      </c>
      <c r="O44" s="551">
        <f t="shared" ca="1" si="3"/>
        <v>1</v>
      </c>
      <c r="P44" s="551">
        <f t="shared" ca="1" si="3"/>
        <v>0</v>
      </c>
      <c r="Q44" s="551">
        <f t="shared" ca="1" si="3"/>
        <v>0</v>
      </c>
      <c r="R44" s="551">
        <f t="shared" ca="1" si="3"/>
        <v>0</v>
      </c>
      <c r="S44" s="551">
        <f t="shared" ca="1" si="3"/>
        <v>0</v>
      </c>
      <c r="T44" s="551">
        <f t="shared" ca="1" si="3"/>
        <v>1</v>
      </c>
      <c r="U44" s="551">
        <f t="shared" ca="1" si="3"/>
        <v>1</v>
      </c>
      <c r="V44" s="551">
        <f t="shared" si="3"/>
        <v>0</v>
      </c>
      <c r="W44" s="551">
        <f t="shared" si="3"/>
        <v>0</v>
      </c>
      <c r="X44" s="550">
        <f t="shared" si="3"/>
        <v>0</v>
      </c>
      <c r="Y44" s="469">
        <f t="shared" ca="1" si="1"/>
        <v>41</v>
      </c>
      <c r="Z44" s="597">
        <f>'MF Pricing'!F7</f>
        <v>1469.26</v>
      </c>
      <c r="AA44" s="537">
        <f t="shared" ca="1" si="2"/>
        <v>60239.659999999996</v>
      </c>
      <c r="AB44" s="208"/>
      <c r="AC44" s="208"/>
      <c r="AI44" t="s">
        <v>1171</v>
      </c>
      <c r="AJ44" s="74">
        <v>0.5</v>
      </c>
      <c r="AK44" s="1"/>
    </row>
    <row r="45" spans="2:44" outlineLevel="1">
      <c r="B45" s="21"/>
      <c r="D45" s="5">
        <v>2.5</v>
      </c>
      <c r="E45" s="1" t="s">
        <v>960</v>
      </c>
      <c r="F45" s="551">
        <f t="shared" ref="F45:X45" ca="1" si="4">F13+F21</f>
        <v>0</v>
      </c>
      <c r="G45" s="551">
        <f t="shared" ca="1" si="4"/>
        <v>0</v>
      </c>
      <c r="H45" s="551">
        <f t="shared" ca="1" si="4"/>
        <v>0</v>
      </c>
      <c r="I45" s="551">
        <f t="shared" ca="1" si="4"/>
        <v>0</v>
      </c>
      <c r="J45" s="551">
        <f t="shared" ca="1" si="4"/>
        <v>0</v>
      </c>
      <c r="K45" s="551">
        <f t="shared" ca="1" si="4"/>
        <v>0</v>
      </c>
      <c r="L45" s="551">
        <f t="shared" ca="1" si="4"/>
        <v>0</v>
      </c>
      <c r="M45" s="551">
        <f t="shared" ca="1" si="4"/>
        <v>0</v>
      </c>
      <c r="N45" s="551">
        <f t="shared" ca="1" si="4"/>
        <v>0</v>
      </c>
      <c r="O45" s="551">
        <f t="shared" ca="1" si="4"/>
        <v>0</v>
      </c>
      <c r="P45" s="551">
        <f t="shared" ca="1" si="4"/>
        <v>1</v>
      </c>
      <c r="Q45" s="551">
        <f t="shared" ca="1" si="4"/>
        <v>1</v>
      </c>
      <c r="R45" s="551">
        <f t="shared" ca="1" si="4"/>
        <v>0</v>
      </c>
      <c r="S45" s="551">
        <f t="shared" ca="1" si="4"/>
        <v>0</v>
      </c>
      <c r="T45" s="551">
        <f t="shared" ca="1" si="4"/>
        <v>1</v>
      </c>
      <c r="U45" s="551">
        <f t="shared" ca="1" si="4"/>
        <v>1</v>
      </c>
      <c r="V45" s="551">
        <f t="shared" si="4"/>
        <v>0</v>
      </c>
      <c r="W45" s="551">
        <f t="shared" si="4"/>
        <v>0</v>
      </c>
      <c r="X45" s="550">
        <f t="shared" si="4"/>
        <v>0</v>
      </c>
      <c r="Y45" s="469">
        <f t="shared" ca="1" si="1"/>
        <v>21</v>
      </c>
      <c r="Z45" s="597">
        <f>'MF Pricing'!F8</f>
        <v>1559.93</v>
      </c>
      <c r="AA45" s="537">
        <f t="shared" ca="1" si="2"/>
        <v>32758.530000000002</v>
      </c>
      <c r="AB45" s="208"/>
      <c r="AC45" s="208"/>
      <c r="AI45" t="s">
        <v>1172</v>
      </c>
      <c r="AJ45" s="596">
        <v>1.5</v>
      </c>
      <c r="AK45" s="1"/>
    </row>
    <row r="46" spans="2:44" outlineLevel="1">
      <c r="B46" s="21"/>
      <c r="D46" s="5">
        <v>3</v>
      </c>
      <c r="E46" s="1" t="s">
        <v>960</v>
      </c>
      <c r="F46" s="551">
        <f t="shared" ref="F46:X46" ca="1" si="5">F14+F22</f>
        <v>0</v>
      </c>
      <c r="G46" s="551">
        <f t="shared" ca="1" si="5"/>
        <v>0</v>
      </c>
      <c r="H46" s="551">
        <f t="shared" ca="1" si="5"/>
        <v>0</v>
      </c>
      <c r="I46" s="551">
        <f t="shared" ca="1" si="5"/>
        <v>0</v>
      </c>
      <c r="J46" s="551">
        <f t="shared" ca="1" si="5"/>
        <v>0</v>
      </c>
      <c r="K46" s="551">
        <f t="shared" ca="1" si="5"/>
        <v>0</v>
      </c>
      <c r="L46" s="551">
        <f t="shared" ca="1" si="5"/>
        <v>0</v>
      </c>
      <c r="M46" s="551">
        <f t="shared" ca="1" si="5"/>
        <v>0</v>
      </c>
      <c r="N46" s="551">
        <f t="shared" ca="1" si="5"/>
        <v>0</v>
      </c>
      <c r="O46" s="551">
        <f t="shared" ca="1" si="5"/>
        <v>0</v>
      </c>
      <c r="P46" s="551">
        <f t="shared" ca="1" si="5"/>
        <v>0</v>
      </c>
      <c r="Q46" s="551">
        <f t="shared" ca="1" si="5"/>
        <v>0</v>
      </c>
      <c r="R46" s="551">
        <f t="shared" ca="1" si="5"/>
        <v>1</v>
      </c>
      <c r="S46" s="551">
        <f t="shared" ca="1" si="5"/>
        <v>1</v>
      </c>
      <c r="T46" s="551">
        <f t="shared" ca="1" si="5"/>
        <v>0</v>
      </c>
      <c r="U46" s="551">
        <f t="shared" ca="1" si="5"/>
        <v>0</v>
      </c>
      <c r="V46" s="551">
        <f t="shared" si="5"/>
        <v>0</v>
      </c>
      <c r="W46" s="551">
        <f t="shared" si="5"/>
        <v>0</v>
      </c>
      <c r="X46" s="550">
        <f t="shared" si="5"/>
        <v>0</v>
      </c>
      <c r="Y46" s="469">
        <f t="shared" ca="1" si="1"/>
        <v>8</v>
      </c>
      <c r="Z46" s="597">
        <f>'MF Pricing'!F9</f>
        <v>1860.4299999999998</v>
      </c>
      <c r="AA46" s="537">
        <f t="shared" ca="1" si="2"/>
        <v>14883.439999999999</v>
      </c>
      <c r="AB46" s="208"/>
      <c r="AC46" s="208"/>
      <c r="AI46" t="s">
        <v>1173</v>
      </c>
      <c r="AJ46" s="74">
        <v>1</v>
      </c>
      <c r="AK46" s="1"/>
    </row>
    <row r="47" spans="2:44" outlineLevel="1">
      <c r="B47" s="21"/>
      <c r="D47" s="5">
        <v>3.5</v>
      </c>
      <c r="E47" s="1" t="s">
        <v>960</v>
      </c>
      <c r="F47" s="551">
        <f t="shared" ref="F47:X47" ca="1" si="6">F15+F23</f>
        <v>0</v>
      </c>
      <c r="G47" s="551">
        <f t="shared" ca="1" si="6"/>
        <v>0</v>
      </c>
      <c r="H47" s="551">
        <f t="shared" ca="1" si="6"/>
        <v>0</v>
      </c>
      <c r="I47" s="551">
        <f t="shared" ca="1" si="6"/>
        <v>0</v>
      </c>
      <c r="J47" s="551">
        <f t="shared" ca="1" si="6"/>
        <v>0</v>
      </c>
      <c r="K47" s="551">
        <f t="shared" ca="1" si="6"/>
        <v>0</v>
      </c>
      <c r="L47" s="551">
        <f t="shared" ca="1" si="6"/>
        <v>0</v>
      </c>
      <c r="M47" s="551">
        <f t="shared" ca="1" si="6"/>
        <v>0</v>
      </c>
      <c r="N47" s="551">
        <f t="shared" ca="1" si="6"/>
        <v>0</v>
      </c>
      <c r="O47" s="551">
        <f t="shared" ca="1" si="6"/>
        <v>0</v>
      </c>
      <c r="P47" s="551">
        <f t="shared" ca="1" si="6"/>
        <v>0</v>
      </c>
      <c r="Q47" s="551">
        <f t="shared" ca="1" si="6"/>
        <v>0</v>
      </c>
      <c r="R47" s="551">
        <f t="shared" ca="1" si="6"/>
        <v>0</v>
      </c>
      <c r="S47" s="551">
        <f t="shared" ca="1" si="6"/>
        <v>0</v>
      </c>
      <c r="T47" s="551">
        <f t="shared" ca="1" si="6"/>
        <v>0</v>
      </c>
      <c r="U47" s="551">
        <f t="shared" ca="1" si="6"/>
        <v>0</v>
      </c>
      <c r="V47" s="551">
        <f t="shared" si="6"/>
        <v>0</v>
      </c>
      <c r="W47" s="551">
        <f t="shared" si="6"/>
        <v>0</v>
      </c>
      <c r="X47" s="550">
        <f t="shared" si="6"/>
        <v>0</v>
      </c>
      <c r="Y47" s="469">
        <f t="shared" ca="1" si="1"/>
        <v>0</v>
      </c>
      <c r="Z47" s="597">
        <f>'MF Pricing'!F10</f>
        <v>2276.4300000000003</v>
      </c>
      <c r="AA47" s="537">
        <f t="shared" ca="1" si="2"/>
        <v>0</v>
      </c>
      <c r="AB47" s="208"/>
      <c r="AC47" s="208"/>
      <c r="AI47" t="s">
        <v>1174</v>
      </c>
      <c r="AJ47" s="596">
        <v>1.5</v>
      </c>
      <c r="AK47" s="1"/>
    </row>
    <row r="48" spans="2:44" outlineLevel="1">
      <c r="B48" s="21"/>
      <c r="D48" s="5">
        <v>4</v>
      </c>
      <c r="E48" s="1" t="s">
        <v>960</v>
      </c>
      <c r="F48" s="551">
        <f t="shared" ref="F48:X48" ca="1" si="7">F16+F24</f>
        <v>0</v>
      </c>
      <c r="G48" s="551">
        <f t="shared" ca="1" si="7"/>
        <v>0</v>
      </c>
      <c r="H48" s="551">
        <f t="shared" ca="1" si="7"/>
        <v>0</v>
      </c>
      <c r="I48" s="551">
        <f t="shared" ca="1" si="7"/>
        <v>0</v>
      </c>
      <c r="J48" s="551">
        <f t="shared" ca="1" si="7"/>
        <v>0</v>
      </c>
      <c r="K48" s="551">
        <f t="shared" ca="1" si="7"/>
        <v>0</v>
      </c>
      <c r="L48" s="551">
        <f t="shared" ca="1" si="7"/>
        <v>0</v>
      </c>
      <c r="M48" s="551">
        <f t="shared" ca="1" si="7"/>
        <v>0</v>
      </c>
      <c r="N48" s="551">
        <f t="shared" ca="1" si="7"/>
        <v>0</v>
      </c>
      <c r="O48" s="551">
        <f t="shared" ca="1" si="7"/>
        <v>0</v>
      </c>
      <c r="P48" s="551">
        <f t="shared" ca="1" si="7"/>
        <v>0</v>
      </c>
      <c r="Q48" s="551">
        <f t="shared" ca="1" si="7"/>
        <v>0</v>
      </c>
      <c r="R48" s="551">
        <f t="shared" ca="1" si="7"/>
        <v>0</v>
      </c>
      <c r="S48" s="551">
        <f t="shared" ca="1" si="7"/>
        <v>0</v>
      </c>
      <c r="T48" s="551">
        <f t="shared" ca="1" si="7"/>
        <v>0</v>
      </c>
      <c r="U48" s="551">
        <f t="shared" ca="1" si="7"/>
        <v>0</v>
      </c>
      <c r="V48" s="551">
        <f t="shared" si="7"/>
        <v>0</v>
      </c>
      <c r="W48" s="551">
        <f t="shared" si="7"/>
        <v>0</v>
      </c>
      <c r="X48" s="550">
        <f t="shared" si="7"/>
        <v>0</v>
      </c>
      <c r="Y48" s="469">
        <f t="shared" ca="1" si="1"/>
        <v>0</v>
      </c>
      <c r="Z48" s="597">
        <f>'MF Pricing'!F11</f>
        <v>2448.0500000000002</v>
      </c>
      <c r="AA48" s="537">
        <f t="shared" ca="1" si="2"/>
        <v>0</v>
      </c>
      <c r="AB48" s="208"/>
      <c r="AC48" s="208"/>
      <c r="AI48" s="64" t="s">
        <v>1175</v>
      </c>
      <c r="AJ48" s="598">
        <v>1</v>
      </c>
      <c r="AK48" s="1"/>
    </row>
    <row r="49" spans="2:38" outlineLevel="1">
      <c r="B49" s="21"/>
      <c r="D49" s="5">
        <v>5</v>
      </c>
      <c r="E49" s="1" t="s">
        <v>960</v>
      </c>
      <c r="F49" s="551">
        <f t="shared" ref="F49:X49" ca="1" si="8">F17+F25</f>
        <v>0</v>
      </c>
      <c r="G49" s="551">
        <f t="shared" ca="1" si="8"/>
        <v>0</v>
      </c>
      <c r="H49" s="551">
        <f t="shared" ca="1" si="8"/>
        <v>0</v>
      </c>
      <c r="I49" s="551">
        <f t="shared" ca="1" si="8"/>
        <v>0</v>
      </c>
      <c r="J49" s="551">
        <f t="shared" ca="1" si="8"/>
        <v>0</v>
      </c>
      <c r="K49" s="551">
        <f t="shared" ca="1" si="8"/>
        <v>0</v>
      </c>
      <c r="L49" s="551">
        <f t="shared" ca="1" si="8"/>
        <v>0</v>
      </c>
      <c r="M49" s="551">
        <f t="shared" ca="1" si="8"/>
        <v>0</v>
      </c>
      <c r="N49" s="551">
        <f t="shared" ca="1" si="8"/>
        <v>0</v>
      </c>
      <c r="O49" s="551">
        <f t="shared" ca="1" si="8"/>
        <v>0</v>
      </c>
      <c r="P49" s="551">
        <f t="shared" ca="1" si="8"/>
        <v>0</v>
      </c>
      <c r="Q49" s="551">
        <f t="shared" ca="1" si="8"/>
        <v>0</v>
      </c>
      <c r="R49" s="551">
        <f t="shared" ca="1" si="8"/>
        <v>0</v>
      </c>
      <c r="S49" s="551">
        <f t="shared" ca="1" si="8"/>
        <v>0</v>
      </c>
      <c r="T49" s="551">
        <f t="shared" ca="1" si="8"/>
        <v>0</v>
      </c>
      <c r="U49" s="551">
        <f t="shared" ca="1" si="8"/>
        <v>0</v>
      </c>
      <c r="V49" s="551">
        <f t="shared" si="8"/>
        <v>0</v>
      </c>
      <c r="W49" s="551">
        <f t="shared" si="8"/>
        <v>0</v>
      </c>
      <c r="X49" s="550">
        <f t="shared" si="8"/>
        <v>0</v>
      </c>
      <c r="Y49" s="469">
        <f t="shared" ca="1" si="1"/>
        <v>0</v>
      </c>
      <c r="Z49" s="597">
        <f>'MF Pricing'!F12</f>
        <v>2840.33</v>
      </c>
      <c r="AA49" s="537">
        <f t="shared" ca="1" si="2"/>
        <v>0</v>
      </c>
      <c r="AB49" s="208"/>
      <c r="AC49" s="208"/>
      <c r="AI49" t="s">
        <v>135</v>
      </c>
      <c r="AJ49" s="596">
        <f>SUM(AJ39:AJ48)</f>
        <v>11.5</v>
      </c>
    </row>
    <row r="50" spans="2:38" outlineLevel="1">
      <c r="B50" s="21"/>
      <c r="D50" s="944" t="s">
        <v>1176</v>
      </c>
      <c r="E50" s="940"/>
      <c r="F50" s="542"/>
      <c r="G50" s="542"/>
      <c r="H50" s="542"/>
      <c r="I50" s="542"/>
      <c r="J50" s="542"/>
      <c r="K50" s="542"/>
      <c r="L50" s="542"/>
      <c r="M50" s="542"/>
      <c r="N50" s="542"/>
      <c r="O50" s="542"/>
      <c r="P50" s="542"/>
      <c r="Q50" s="542"/>
      <c r="R50" s="542"/>
      <c r="S50" s="542"/>
      <c r="T50" s="542"/>
      <c r="U50" s="542"/>
      <c r="V50" s="542"/>
      <c r="W50" s="542"/>
      <c r="X50" s="542"/>
      <c r="Y50" s="469"/>
      <c r="Z50" s="532"/>
      <c r="AA50" s="537">
        <f t="shared" si="2"/>
        <v>0</v>
      </c>
      <c r="AB50" s="208"/>
      <c r="AC50" s="208"/>
      <c r="AI50" t="s">
        <v>1177</v>
      </c>
      <c r="AJ50" s="74">
        <f>SUM(AJ39:AJ46)</f>
        <v>9</v>
      </c>
    </row>
    <row r="51" spans="2:38" outlineLevel="1">
      <c r="B51" s="21"/>
      <c r="D51" s="5">
        <v>1.5</v>
      </c>
      <c r="E51" s="1" t="s">
        <v>960</v>
      </c>
      <c r="F51" s="551">
        <f t="shared" ref="F51:X51" ca="1" si="9">F27+F35</f>
        <v>1</v>
      </c>
      <c r="G51" s="551">
        <f t="shared" ca="1" si="9"/>
        <v>1</v>
      </c>
      <c r="H51" s="551">
        <f t="shared" ca="1" si="9"/>
        <v>1</v>
      </c>
      <c r="I51" s="551">
        <f t="shared" ca="1" si="9"/>
        <v>1</v>
      </c>
      <c r="J51" s="551">
        <f t="shared" ca="1" si="9"/>
        <v>1</v>
      </c>
      <c r="K51" s="551">
        <f t="shared" ca="1" si="9"/>
        <v>1</v>
      </c>
      <c r="L51" s="551">
        <f t="shared" ca="1" si="9"/>
        <v>1</v>
      </c>
      <c r="M51" s="551">
        <f t="shared" ca="1" si="9"/>
        <v>0</v>
      </c>
      <c r="N51" s="551">
        <f t="shared" ca="1" si="9"/>
        <v>1</v>
      </c>
      <c r="O51" s="551">
        <f t="shared" ca="1" si="9"/>
        <v>1</v>
      </c>
      <c r="P51" s="551">
        <f t="shared" ca="1" si="9"/>
        <v>0</v>
      </c>
      <c r="Q51" s="551">
        <f t="shared" ca="1" si="9"/>
        <v>0</v>
      </c>
      <c r="R51" s="551">
        <f t="shared" ca="1" si="9"/>
        <v>0</v>
      </c>
      <c r="S51" s="551">
        <f t="shared" ca="1" si="9"/>
        <v>0</v>
      </c>
      <c r="T51" s="551">
        <f t="shared" ca="1" si="9"/>
        <v>0</v>
      </c>
      <c r="U51" s="551">
        <f t="shared" ca="1" si="9"/>
        <v>0</v>
      </c>
      <c r="V51" s="551">
        <f t="shared" si="9"/>
        <v>0</v>
      </c>
      <c r="W51" s="551">
        <f t="shared" si="9"/>
        <v>0</v>
      </c>
      <c r="X51" s="550">
        <f t="shared" si="9"/>
        <v>0</v>
      </c>
      <c r="Y51" s="469">
        <f t="shared" ref="Y51:Y57" ca="1" si="10">SUMPRODUCT($F51:$X51,$F$8:$X$8)</f>
        <v>166</v>
      </c>
      <c r="Z51" s="538">
        <f>'MF Pricing'!F6</f>
        <v>1401.5900000000001</v>
      </c>
      <c r="AA51" s="537">
        <f t="shared" ca="1" si="2"/>
        <v>232663.94000000003</v>
      </c>
      <c r="AB51" s="208"/>
      <c r="AC51" s="208"/>
      <c r="AI51" s="64" t="s">
        <v>1178</v>
      </c>
      <c r="AJ51" s="498">
        <f>SUM(AJ47:AJ48)</f>
        <v>2.5</v>
      </c>
    </row>
    <row r="52" spans="2:38" outlineLevel="1">
      <c r="B52" s="21"/>
      <c r="D52" s="5">
        <v>2</v>
      </c>
      <c r="E52" s="1" t="s">
        <v>960</v>
      </c>
      <c r="F52" s="551">
        <f t="shared" ref="F52:X52" ca="1" si="11">F28+F36</f>
        <v>0</v>
      </c>
      <c r="G52" s="551">
        <f t="shared" ca="1" si="11"/>
        <v>0</v>
      </c>
      <c r="H52" s="551">
        <f t="shared" ca="1" si="11"/>
        <v>0</v>
      </c>
      <c r="I52" s="551">
        <f t="shared" ca="1" si="11"/>
        <v>0</v>
      </c>
      <c r="J52" s="551">
        <f t="shared" ca="1" si="11"/>
        <v>0</v>
      </c>
      <c r="K52" s="551">
        <f t="shared" ca="1" si="11"/>
        <v>0</v>
      </c>
      <c r="L52" s="551">
        <f t="shared" ca="1" si="11"/>
        <v>0</v>
      </c>
      <c r="M52" s="551">
        <f t="shared" ca="1" si="11"/>
        <v>1</v>
      </c>
      <c r="N52" s="551">
        <f t="shared" ca="1" si="11"/>
        <v>0</v>
      </c>
      <c r="O52" s="551">
        <f t="shared" ca="1" si="11"/>
        <v>0</v>
      </c>
      <c r="P52" s="551">
        <f t="shared" ca="1" si="11"/>
        <v>1</v>
      </c>
      <c r="Q52" s="551">
        <f t="shared" ca="1" si="11"/>
        <v>1</v>
      </c>
      <c r="R52" s="551">
        <f t="shared" ca="1" si="11"/>
        <v>0</v>
      </c>
      <c r="S52" s="551">
        <f t="shared" ca="1" si="11"/>
        <v>0</v>
      </c>
      <c r="T52" s="551">
        <f t="shared" ca="1" si="11"/>
        <v>2</v>
      </c>
      <c r="U52" s="551">
        <f t="shared" ca="1" si="11"/>
        <v>2</v>
      </c>
      <c r="V52" s="551">
        <f t="shared" si="11"/>
        <v>0</v>
      </c>
      <c r="W52" s="551">
        <f t="shared" si="11"/>
        <v>0</v>
      </c>
      <c r="X52" s="550">
        <f t="shared" si="11"/>
        <v>0</v>
      </c>
      <c r="Y52" s="469">
        <f t="shared" ca="1" si="10"/>
        <v>80</v>
      </c>
      <c r="Z52" s="538">
        <f>'MF Pricing'!F7</f>
        <v>1469.26</v>
      </c>
      <c r="AA52" s="537">
        <f t="shared" ca="1" si="2"/>
        <v>117540.8</v>
      </c>
      <c r="AB52" s="208"/>
      <c r="AC52" s="208"/>
    </row>
    <row r="53" spans="2:38" outlineLevel="1">
      <c r="B53" s="21"/>
      <c r="D53" s="5">
        <v>2.5</v>
      </c>
      <c r="E53" s="1" t="s">
        <v>960</v>
      </c>
      <c r="F53" s="551">
        <f t="shared" ref="F53:X53" ca="1" si="12">F29+F37</f>
        <v>0</v>
      </c>
      <c r="G53" s="551">
        <f t="shared" ca="1" si="12"/>
        <v>0</v>
      </c>
      <c r="H53" s="551">
        <f t="shared" ca="1" si="12"/>
        <v>0</v>
      </c>
      <c r="I53" s="551">
        <f t="shared" ca="1" si="12"/>
        <v>0</v>
      </c>
      <c r="J53" s="551">
        <f t="shared" ca="1" si="12"/>
        <v>0</v>
      </c>
      <c r="K53" s="551">
        <f t="shared" ca="1" si="12"/>
        <v>0</v>
      </c>
      <c r="L53" s="551">
        <f t="shared" ca="1" si="12"/>
        <v>0</v>
      </c>
      <c r="M53" s="551">
        <f t="shared" ca="1" si="12"/>
        <v>0</v>
      </c>
      <c r="N53" s="551">
        <f t="shared" ca="1" si="12"/>
        <v>0</v>
      </c>
      <c r="O53" s="551">
        <f t="shared" ca="1" si="12"/>
        <v>0</v>
      </c>
      <c r="P53" s="551">
        <f t="shared" ca="1" si="12"/>
        <v>0</v>
      </c>
      <c r="Q53" s="551">
        <f t="shared" ca="1" si="12"/>
        <v>0</v>
      </c>
      <c r="R53" s="551">
        <f t="shared" ca="1" si="12"/>
        <v>1</v>
      </c>
      <c r="S53" s="551">
        <f t="shared" ca="1" si="12"/>
        <v>1</v>
      </c>
      <c r="T53" s="551">
        <f t="shared" ca="1" si="12"/>
        <v>0</v>
      </c>
      <c r="U53" s="551">
        <f t="shared" ca="1" si="12"/>
        <v>0</v>
      </c>
      <c r="V53" s="551">
        <f t="shared" si="12"/>
        <v>0</v>
      </c>
      <c r="W53" s="551">
        <f t="shared" si="12"/>
        <v>0</v>
      </c>
      <c r="X53" s="550">
        <f t="shared" si="12"/>
        <v>0</v>
      </c>
      <c r="Y53" s="469">
        <f t="shared" ca="1" si="10"/>
        <v>24</v>
      </c>
      <c r="Z53" s="538">
        <f>'MF Pricing'!F8</f>
        <v>1559.93</v>
      </c>
      <c r="AA53" s="537">
        <f t="shared" ca="1" si="2"/>
        <v>37438.32</v>
      </c>
      <c r="AB53" s="208"/>
      <c r="AC53" s="208"/>
      <c r="AI53" s="592" t="s">
        <v>1179</v>
      </c>
      <c r="AJ53" s="205" t="s">
        <v>1164</v>
      </c>
    </row>
    <row r="54" spans="2:38" outlineLevel="1">
      <c r="B54" s="21"/>
      <c r="D54" s="5">
        <v>3</v>
      </c>
      <c r="E54" s="1" t="s">
        <v>960</v>
      </c>
      <c r="F54" s="551">
        <f t="shared" ref="F54:X54" ca="1" si="13">F30+F38</f>
        <v>0</v>
      </c>
      <c r="G54" s="551">
        <f t="shared" ca="1" si="13"/>
        <v>0</v>
      </c>
      <c r="H54" s="551">
        <f t="shared" ca="1" si="13"/>
        <v>0</v>
      </c>
      <c r="I54" s="551">
        <f t="shared" ca="1" si="13"/>
        <v>0</v>
      </c>
      <c r="J54" s="551">
        <f t="shared" ca="1" si="13"/>
        <v>0</v>
      </c>
      <c r="K54" s="551">
        <f t="shared" ca="1" si="13"/>
        <v>0</v>
      </c>
      <c r="L54" s="551">
        <f t="shared" ca="1" si="13"/>
        <v>0</v>
      </c>
      <c r="M54" s="551">
        <f t="shared" ca="1" si="13"/>
        <v>0</v>
      </c>
      <c r="N54" s="551">
        <f t="shared" ca="1" si="13"/>
        <v>0</v>
      </c>
      <c r="O54" s="551">
        <f t="shared" ca="1" si="13"/>
        <v>0</v>
      </c>
      <c r="P54" s="551">
        <f t="shared" ca="1" si="13"/>
        <v>0</v>
      </c>
      <c r="Q54" s="551">
        <f t="shared" ca="1" si="13"/>
        <v>0</v>
      </c>
      <c r="R54" s="551">
        <f t="shared" ca="1" si="13"/>
        <v>0</v>
      </c>
      <c r="S54" s="551">
        <f t="shared" ca="1" si="13"/>
        <v>0</v>
      </c>
      <c r="T54" s="551">
        <f t="shared" ca="1" si="13"/>
        <v>0</v>
      </c>
      <c r="U54" s="551">
        <f t="shared" ca="1" si="13"/>
        <v>0</v>
      </c>
      <c r="V54" s="551">
        <f t="shared" si="13"/>
        <v>0</v>
      </c>
      <c r="W54" s="551">
        <f t="shared" si="13"/>
        <v>0</v>
      </c>
      <c r="X54" s="550">
        <f t="shared" si="13"/>
        <v>0</v>
      </c>
      <c r="Y54" s="469">
        <f t="shared" ca="1" si="10"/>
        <v>0</v>
      </c>
      <c r="Z54" s="538">
        <f>'MF Pricing'!F9</f>
        <v>1860.4299999999998</v>
      </c>
      <c r="AA54" s="537">
        <f t="shared" ca="1" si="2"/>
        <v>0</v>
      </c>
      <c r="AB54" s="208"/>
      <c r="AC54" s="208"/>
      <c r="AI54" t="s">
        <v>1180</v>
      </c>
      <c r="AJ54" s="74">
        <v>0.75</v>
      </c>
    </row>
    <row r="55" spans="2:38" outlineLevel="1">
      <c r="B55" s="21"/>
      <c r="D55" s="5">
        <v>3.5</v>
      </c>
      <c r="E55" s="1" t="s">
        <v>960</v>
      </c>
      <c r="F55" s="551">
        <f t="shared" ref="F55:X55" ca="1" si="14">F31+F39</f>
        <v>0</v>
      </c>
      <c r="G55" s="551">
        <f t="shared" ca="1" si="14"/>
        <v>0</v>
      </c>
      <c r="H55" s="551">
        <f t="shared" ca="1" si="14"/>
        <v>0</v>
      </c>
      <c r="I55" s="551">
        <f t="shared" ca="1" si="14"/>
        <v>0</v>
      </c>
      <c r="J55" s="551">
        <f t="shared" ca="1" si="14"/>
        <v>0</v>
      </c>
      <c r="K55" s="551">
        <f t="shared" ca="1" si="14"/>
        <v>0</v>
      </c>
      <c r="L55" s="551">
        <f t="shared" ca="1" si="14"/>
        <v>0</v>
      </c>
      <c r="M55" s="551">
        <f t="shared" ca="1" si="14"/>
        <v>0</v>
      </c>
      <c r="N55" s="551">
        <f t="shared" ca="1" si="14"/>
        <v>0</v>
      </c>
      <c r="O55" s="551">
        <f t="shared" ca="1" si="14"/>
        <v>0</v>
      </c>
      <c r="P55" s="551">
        <f t="shared" ca="1" si="14"/>
        <v>0</v>
      </c>
      <c r="Q55" s="551">
        <f t="shared" ca="1" si="14"/>
        <v>0</v>
      </c>
      <c r="R55" s="551">
        <f t="shared" ca="1" si="14"/>
        <v>0</v>
      </c>
      <c r="S55" s="551">
        <f t="shared" ca="1" si="14"/>
        <v>0</v>
      </c>
      <c r="T55" s="551">
        <f t="shared" ca="1" si="14"/>
        <v>0</v>
      </c>
      <c r="U55" s="551">
        <f t="shared" ca="1" si="14"/>
        <v>0</v>
      </c>
      <c r="V55" s="551">
        <f t="shared" si="14"/>
        <v>0</v>
      </c>
      <c r="W55" s="551">
        <f t="shared" si="14"/>
        <v>0</v>
      </c>
      <c r="X55" s="550">
        <f t="shared" si="14"/>
        <v>0</v>
      </c>
      <c r="Y55" s="469">
        <f t="shared" ca="1" si="10"/>
        <v>0</v>
      </c>
      <c r="Z55" s="538">
        <f>'MF Pricing'!F10</f>
        <v>2276.4300000000003</v>
      </c>
      <c r="AA55" s="537">
        <f t="shared" ca="1" si="2"/>
        <v>0</v>
      </c>
      <c r="AB55" s="208"/>
      <c r="AC55" s="208"/>
      <c r="AI55" t="s">
        <v>1181</v>
      </c>
      <c r="AJ55" s="74">
        <v>0.75</v>
      </c>
    </row>
    <row r="56" spans="2:38" outlineLevel="1">
      <c r="B56" s="21"/>
      <c r="D56" s="5">
        <v>4</v>
      </c>
      <c r="E56" s="1" t="s">
        <v>960</v>
      </c>
      <c r="F56" s="551">
        <f t="shared" ref="F56:X56" ca="1" si="15">F32+F40</f>
        <v>0</v>
      </c>
      <c r="G56" s="551">
        <f t="shared" ca="1" si="15"/>
        <v>0</v>
      </c>
      <c r="H56" s="551">
        <f t="shared" ca="1" si="15"/>
        <v>0</v>
      </c>
      <c r="I56" s="551">
        <f t="shared" ca="1" si="15"/>
        <v>0</v>
      </c>
      <c r="J56" s="551">
        <f t="shared" ca="1" si="15"/>
        <v>0</v>
      </c>
      <c r="K56" s="551">
        <f t="shared" ca="1" si="15"/>
        <v>0</v>
      </c>
      <c r="L56" s="551">
        <f t="shared" ca="1" si="15"/>
        <v>0</v>
      </c>
      <c r="M56" s="551">
        <f t="shared" ca="1" si="15"/>
        <v>0</v>
      </c>
      <c r="N56" s="551">
        <f t="shared" ca="1" si="15"/>
        <v>0</v>
      </c>
      <c r="O56" s="551">
        <f t="shared" ca="1" si="15"/>
        <v>0</v>
      </c>
      <c r="P56" s="551">
        <f t="shared" ca="1" si="15"/>
        <v>0</v>
      </c>
      <c r="Q56" s="551">
        <f t="shared" ca="1" si="15"/>
        <v>0</v>
      </c>
      <c r="R56" s="551">
        <f t="shared" ca="1" si="15"/>
        <v>0</v>
      </c>
      <c r="S56" s="551">
        <f t="shared" ca="1" si="15"/>
        <v>0</v>
      </c>
      <c r="T56" s="551">
        <f t="shared" ca="1" si="15"/>
        <v>0</v>
      </c>
      <c r="U56" s="551">
        <f t="shared" ca="1" si="15"/>
        <v>0</v>
      </c>
      <c r="V56" s="551">
        <f t="shared" si="15"/>
        <v>0</v>
      </c>
      <c r="W56" s="551">
        <f t="shared" si="15"/>
        <v>0</v>
      </c>
      <c r="X56" s="550">
        <f t="shared" si="15"/>
        <v>0</v>
      </c>
      <c r="Y56" s="469">
        <f t="shared" ca="1" si="10"/>
        <v>0</v>
      </c>
      <c r="Z56" s="538">
        <f>'MF Pricing'!F11</f>
        <v>2448.0500000000002</v>
      </c>
      <c r="AA56" s="537">
        <f t="shared" ca="1" si="2"/>
        <v>0</v>
      </c>
      <c r="AB56" s="208"/>
      <c r="AC56" s="208"/>
      <c r="AI56" t="s">
        <v>1182</v>
      </c>
      <c r="AJ56" s="74">
        <v>0.75</v>
      </c>
      <c r="AL56">
        <v>2.8</v>
      </c>
    </row>
    <row r="57" spans="2:38" outlineLevel="1">
      <c r="B57" s="21"/>
      <c r="D57" s="5">
        <v>5</v>
      </c>
      <c r="E57" s="1" t="s">
        <v>960</v>
      </c>
      <c r="F57" s="595">
        <f t="shared" ref="F57:X57" ca="1" si="16">F33+F41</f>
        <v>0</v>
      </c>
      <c r="G57" s="595">
        <f t="shared" ca="1" si="16"/>
        <v>0</v>
      </c>
      <c r="H57" s="595">
        <f t="shared" ca="1" si="16"/>
        <v>0</v>
      </c>
      <c r="I57" s="595">
        <f t="shared" ca="1" si="16"/>
        <v>0</v>
      </c>
      <c r="J57" s="595">
        <f t="shared" ca="1" si="16"/>
        <v>0</v>
      </c>
      <c r="K57" s="595">
        <f t="shared" ca="1" si="16"/>
        <v>0</v>
      </c>
      <c r="L57" s="595">
        <f t="shared" ca="1" si="16"/>
        <v>0</v>
      </c>
      <c r="M57" s="595">
        <f t="shared" ca="1" si="16"/>
        <v>0</v>
      </c>
      <c r="N57" s="595">
        <f t="shared" ca="1" si="16"/>
        <v>0</v>
      </c>
      <c r="O57" s="595">
        <f t="shared" ca="1" si="16"/>
        <v>0</v>
      </c>
      <c r="P57" s="595">
        <f t="shared" ca="1" si="16"/>
        <v>0</v>
      </c>
      <c r="Q57" s="595">
        <f t="shared" ca="1" si="16"/>
        <v>0</v>
      </c>
      <c r="R57" s="595">
        <f t="shared" ca="1" si="16"/>
        <v>0</v>
      </c>
      <c r="S57" s="595">
        <f t="shared" ca="1" si="16"/>
        <v>0</v>
      </c>
      <c r="T57" s="595">
        <f t="shared" ca="1" si="16"/>
        <v>0</v>
      </c>
      <c r="U57" s="595">
        <f t="shared" ca="1" si="16"/>
        <v>0</v>
      </c>
      <c r="V57" s="595">
        <f t="shared" si="16"/>
        <v>0</v>
      </c>
      <c r="W57" s="595">
        <f t="shared" si="16"/>
        <v>0</v>
      </c>
      <c r="X57" s="4">
        <f t="shared" si="16"/>
        <v>0</v>
      </c>
      <c r="Y57" s="469">
        <f t="shared" ca="1" si="10"/>
        <v>0</v>
      </c>
      <c r="Z57" s="538">
        <f>'MF Pricing'!F12</f>
        <v>2840.33</v>
      </c>
      <c r="AA57" s="537">
        <f t="shared" ca="1" si="2"/>
        <v>0</v>
      </c>
      <c r="AB57" s="208"/>
      <c r="AC57" s="208"/>
      <c r="AD57" s="22"/>
      <c r="AI57" t="s">
        <v>1183</v>
      </c>
      <c r="AJ57" s="74">
        <v>1.5</v>
      </c>
      <c r="AL57">
        <v>7.6</v>
      </c>
    </row>
    <row r="58" spans="2:38" outlineLevel="1">
      <c r="B58" s="21"/>
      <c r="C58" s="423" t="s">
        <v>1184</v>
      </c>
      <c r="D58" s="591"/>
      <c r="E58" s="536" t="s">
        <v>1185</v>
      </c>
      <c r="F58" s="535">
        <f t="shared" ref="F58:X58" ca="1" si="17">IFERROR((SUMPRODUCT(F$43:F$49,$Z$43:$Z$49)*F$7+SUMPRODUCT(F$51:F$57,$Z$51:$Z$57)*F$8)/F$6,0)</f>
        <v>1401.5900000000001</v>
      </c>
      <c r="G58" s="534">
        <f t="shared" ca="1" si="17"/>
        <v>1401.5900000000001</v>
      </c>
      <c r="H58" s="534">
        <f t="shared" ca="1" si="17"/>
        <v>1401.5900000000001</v>
      </c>
      <c r="I58" s="534">
        <f t="shared" ca="1" si="17"/>
        <v>1401.5900000000001</v>
      </c>
      <c r="J58" s="534">
        <f t="shared" ca="1" si="17"/>
        <v>1401.5900000000001</v>
      </c>
      <c r="K58" s="534">
        <f t="shared" ca="1" si="17"/>
        <v>1435.4250000000002</v>
      </c>
      <c r="L58" s="534">
        <f t="shared" ca="1" si="17"/>
        <v>1418.5074999999999</v>
      </c>
      <c r="M58" s="534">
        <f t="shared" ca="1" si="17"/>
        <v>1469.2599999999998</v>
      </c>
      <c r="N58" s="534">
        <f t="shared" ca="1" si="17"/>
        <v>1418.5075000000002</v>
      </c>
      <c r="O58" s="534">
        <f t="shared" ca="1" si="17"/>
        <v>1418.5075000000002</v>
      </c>
      <c r="P58" s="534">
        <f t="shared" ca="1" si="17"/>
        <v>1492.9130434782608</v>
      </c>
      <c r="Q58" s="534">
        <f t="shared" ca="1" si="17"/>
        <v>1491.9275</v>
      </c>
      <c r="R58" s="534">
        <f t="shared" ca="1" si="17"/>
        <v>1635.0550000000001</v>
      </c>
      <c r="S58" s="534">
        <f t="shared" ca="1" si="17"/>
        <v>1635.0549999999998</v>
      </c>
      <c r="T58" s="534">
        <f t="shared" ca="1" si="17"/>
        <v>2961.1875</v>
      </c>
      <c r="U58" s="534">
        <f t="shared" ca="1" si="17"/>
        <v>2963.2481818181818</v>
      </c>
      <c r="V58" s="534">
        <f t="shared" si="17"/>
        <v>0</v>
      </c>
      <c r="W58" s="534">
        <f t="shared" si="17"/>
        <v>0</v>
      </c>
      <c r="X58" s="533">
        <f t="shared" si="17"/>
        <v>0</v>
      </c>
      <c r="Y58" s="469"/>
      <c r="Z58" s="532"/>
      <c r="AA58" s="394"/>
      <c r="AB58" s="208"/>
      <c r="AC58" s="208"/>
      <c r="AD58" s="22"/>
      <c r="AI58" s="64" t="s">
        <v>1186</v>
      </c>
      <c r="AJ58" s="594">
        <v>4.2500000000000003E-2</v>
      </c>
    </row>
    <row r="59" spans="2:38" outlineLevel="1">
      <c r="B59" s="21"/>
      <c r="C59" s="423" t="s">
        <v>988</v>
      </c>
      <c r="D59" s="5"/>
      <c r="E59" s="16" t="s">
        <v>961</v>
      </c>
      <c r="F59" s="530">
        <f t="shared" ref="F59:X59" ca="1" si="18">F58*F$6</f>
        <v>11212.720000000001</v>
      </c>
      <c r="G59" s="529">
        <f t="shared" ca="1" si="18"/>
        <v>22425.440000000002</v>
      </c>
      <c r="H59" s="529">
        <f t="shared" ca="1" si="18"/>
        <v>11212.720000000001</v>
      </c>
      <c r="I59" s="529">
        <f t="shared" ca="1" si="18"/>
        <v>26630.210000000003</v>
      </c>
      <c r="J59" s="529">
        <f t="shared" ca="1" si="18"/>
        <v>67276.320000000007</v>
      </c>
      <c r="K59" s="529">
        <f t="shared" ca="1" si="18"/>
        <v>5741.7000000000007</v>
      </c>
      <c r="L59" s="529">
        <f t="shared" ca="1" si="18"/>
        <v>34044.18</v>
      </c>
      <c r="M59" s="529">
        <f t="shared" ca="1" si="18"/>
        <v>14692.599999999999</v>
      </c>
      <c r="N59" s="529">
        <f t="shared" ca="1" si="18"/>
        <v>45392.240000000005</v>
      </c>
      <c r="O59" s="529">
        <f t="shared" ca="1" si="18"/>
        <v>90784.48000000001</v>
      </c>
      <c r="P59" s="529">
        <f t="shared" ca="1" si="18"/>
        <v>68674</v>
      </c>
      <c r="Q59" s="529">
        <f t="shared" ca="1" si="18"/>
        <v>23870.84</v>
      </c>
      <c r="R59" s="529">
        <f t="shared" ca="1" si="18"/>
        <v>39241.32</v>
      </c>
      <c r="S59" s="529">
        <f t="shared" ca="1" si="18"/>
        <v>13080.439999999999</v>
      </c>
      <c r="T59" s="529">
        <f t="shared" ca="1" si="18"/>
        <v>23689.5</v>
      </c>
      <c r="U59" s="529">
        <f t="shared" ca="1" si="18"/>
        <v>32595.73</v>
      </c>
      <c r="V59" s="529">
        <f t="shared" si="18"/>
        <v>0</v>
      </c>
      <c r="W59" s="529">
        <f t="shared" si="18"/>
        <v>0</v>
      </c>
      <c r="X59" s="528">
        <f t="shared" si="18"/>
        <v>0</v>
      </c>
      <c r="Y59" s="422">
        <f ca="1">SUM(Y43:Y57)</f>
        <v>365</v>
      </c>
      <c r="Z59" s="255"/>
      <c r="AA59" s="527">
        <f ca="1">SUM(F59:X59)</f>
        <v>530564.44000000018</v>
      </c>
      <c r="AB59" s="208"/>
      <c r="AC59" s="208"/>
      <c r="AD59" s="22"/>
    </row>
    <row r="60" spans="2:38">
      <c r="C60" s="463" t="s">
        <v>962</v>
      </c>
      <c r="D60" s="941" t="s">
        <v>1187</v>
      </c>
      <c r="E60" s="941"/>
      <c r="F60" s="542"/>
      <c r="G60" s="542"/>
      <c r="H60" s="542"/>
      <c r="I60" s="542"/>
      <c r="J60" s="542"/>
      <c r="K60" s="542"/>
      <c r="L60" s="542"/>
      <c r="M60" s="542"/>
      <c r="N60" s="542"/>
      <c r="O60" s="542"/>
      <c r="P60" s="542"/>
      <c r="Q60" s="542"/>
      <c r="R60" s="542"/>
      <c r="S60" s="542"/>
      <c r="T60" s="542"/>
      <c r="U60" s="542"/>
      <c r="V60" s="542"/>
      <c r="W60" s="542"/>
      <c r="X60" s="542"/>
      <c r="Y60" s="432"/>
      <c r="Z60" s="532"/>
      <c r="AA60" s="394"/>
      <c r="AB60" s="208"/>
      <c r="AC60" s="208"/>
      <c r="AI60" s="592" t="s">
        <v>1188</v>
      </c>
      <c r="AJ60" s="205" t="s">
        <v>1164</v>
      </c>
      <c r="AL60">
        <f>AL57-AL56</f>
        <v>4.8</v>
      </c>
    </row>
    <row r="61" spans="2:38" outlineLevel="1">
      <c r="D61" s="1" t="s">
        <v>519</v>
      </c>
      <c r="E61" s="1" t="s">
        <v>686</v>
      </c>
      <c r="F61" s="551">
        <f ca="1">IF(F$6=0,0,INDEX($AK$12:$AK$16,MATCH(inp_floors,$AJ$12:$AJ$16,0))*F$9)</f>
        <v>32</v>
      </c>
      <c r="G61" s="551">
        <f ca="1">IF(G$6=0,0,INDEX($AK$12:$AK$16,MATCH(inp_floors,$AJ$12:$AJ$16,0))*G$9)</f>
        <v>32</v>
      </c>
      <c r="H61" s="551">
        <f ca="1">IF(H$6=0,0,INDEX($AK$12:$AK$16,MATCH(inp_floors,$AJ$12:$AJ$16,0))*H$9)</f>
        <v>32</v>
      </c>
      <c r="I61" s="551">
        <f ca="1">IF(I$6=0,0,INDEX($AK$12:$AK$16,MATCH(inp_floors,$AJ$12:$AJ$16,0))*I$9)</f>
        <v>32</v>
      </c>
      <c r="J61" s="551">
        <f t="shared" ref="J61:X61" ca="1" si="19">IF(J$6=0,0,INDEX($AK$12:$AK$16,MATCH(inp_floors,$AJ$12:$AJ$16,0))*J$9*(1+inp_cuwaste/100))</f>
        <v>35.200000000000003</v>
      </c>
      <c r="K61" s="551">
        <f t="shared" ca="1" si="19"/>
        <v>35.200000000000003</v>
      </c>
      <c r="L61" s="551">
        <f t="shared" ca="1" si="19"/>
        <v>35.200000000000003</v>
      </c>
      <c r="M61" s="551">
        <f t="shared" ca="1" si="19"/>
        <v>35.200000000000003</v>
      </c>
      <c r="N61" s="551">
        <f t="shared" ca="1" si="19"/>
        <v>35.200000000000003</v>
      </c>
      <c r="O61" s="551">
        <f t="shared" ca="1" si="19"/>
        <v>35.200000000000003</v>
      </c>
      <c r="P61" s="551">
        <f t="shared" ca="1" si="19"/>
        <v>35.200000000000003</v>
      </c>
      <c r="Q61" s="551">
        <f t="shared" ca="1" si="19"/>
        <v>35.200000000000003</v>
      </c>
      <c r="R61" s="551">
        <f t="shared" ca="1" si="19"/>
        <v>35.200000000000003</v>
      </c>
      <c r="S61" s="551">
        <f t="shared" ca="1" si="19"/>
        <v>35.200000000000003</v>
      </c>
      <c r="T61" s="551">
        <f t="shared" ca="1" si="19"/>
        <v>70.400000000000006</v>
      </c>
      <c r="U61" s="551">
        <f t="shared" ca="1" si="19"/>
        <v>70.400000000000006</v>
      </c>
      <c r="V61" s="551">
        <f t="shared" si="19"/>
        <v>0</v>
      </c>
      <c r="W61" s="551">
        <f t="shared" si="19"/>
        <v>0</v>
      </c>
      <c r="X61" s="550">
        <f t="shared" si="19"/>
        <v>0</v>
      </c>
      <c r="Y61" s="432"/>
      <c r="Z61" s="532"/>
      <c r="AA61" s="394"/>
      <c r="AB61" s="208"/>
      <c r="AC61" s="208"/>
      <c r="AI61" t="s">
        <v>1189</v>
      </c>
      <c r="AJ61" s="74">
        <v>1.5</v>
      </c>
      <c r="AL61">
        <v>115</v>
      </c>
    </row>
    <row r="62" spans="2:38" outlineLevel="1">
      <c r="D62" s="1" t="s">
        <v>529</v>
      </c>
      <c r="E62" s="1" t="s">
        <v>686</v>
      </c>
      <c r="F62" s="551">
        <f t="shared" ref="F62:X62" ca="1" si="20">F61</f>
        <v>32</v>
      </c>
      <c r="G62" s="551">
        <f t="shared" ca="1" si="20"/>
        <v>32</v>
      </c>
      <c r="H62" s="551">
        <f t="shared" ca="1" si="20"/>
        <v>32</v>
      </c>
      <c r="I62" s="551">
        <f t="shared" ca="1" si="20"/>
        <v>32</v>
      </c>
      <c r="J62" s="551">
        <f t="shared" ca="1" si="20"/>
        <v>35.200000000000003</v>
      </c>
      <c r="K62" s="551">
        <f t="shared" ca="1" si="20"/>
        <v>35.200000000000003</v>
      </c>
      <c r="L62" s="551">
        <f t="shared" ca="1" si="20"/>
        <v>35.200000000000003</v>
      </c>
      <c r="M62" s="551">
        <f t="shared" ca="1" si="20"/>
        <v>35.200000000000003</v>
      </c>
      <c r="N62" s="551">
        <f t="shared" ca="1" si="20"/>
        <v>35.200000000000003</v>
      </c>
      <c r="O62" s="551">
        <f t="shared" ca="1" si="20"/>
        <v>35.200000000000003</v>
      </c>
      <c r="P62" s="551">
        <f t="shared" ca="1" si="20"/>
        <v>35.200000000000003</v>
      </c>
      <c r="Q62" s="551">
        <f t="shared" ca="1" si="20"/>
        <v>35.200000000000003</v>
      </c>
      <c r="R62" s="551">
        <f t="shared" ca="1" si="20"/>
        <v>35.200000000000003</v>
      </c>
      <c r="S62" s="551">
        <f t="shared" ca="1" si="20"/>
        <v>35.200000000000003</v>
      </c>
      <c r="T62" s="551">
        <f t="shared" ca="1" si="20"/>
        <v>70.400000000000006</v>
      </c>
      <c r="U62" s="551">
        <f t="shared" ca="1" si="20"/>
        <v>70.400000000000006</v>
      </c>
      <c r="V62" s="551">
        <f t="shared" si="20"/>
        <v>0</v>
      </c>
      <c r="W62" s="551">
        <f t="shared" si="20"/>
        <v>0</v>
      </c>
      <c r="X62" s="550">
        <f t="shared" si="20"/>
        <v>0</v>
      </c>
      <c r="Y62" s="432"/>
      <c r="Z62" s="532"/>
      <c r="AA62" s="394"/>
      <c r="AB62" s="208"/>
      <c r="AC62" s="208"/>
      <c r="AI62" t="s">
        <v>1190</v>
      </c>
      <c r="AJ62" s="74">
        <v>0.67</v>
      </c>
      <c r="AL62">
        <f>AL60/AL61</f>
        <v>4.1739130434782605E-2</v>
      </c>
    </row>
    <row r="63" spans="2:38" outlineLevel="1">
      <c r="D63" s="941" t="s">
        <v>1191</v>
      </c>
      <c r="E63" s="941"/>
      <c r="F63" s="542"/>
      <c r="G63" s="542"/>
      <c r="H63" s="542"/>
      <c r="I63" s="542"/>
      <c r="J63" s="542"/>
      <c r="K63" s="542"/>
      <c r="L63" s="542"/>
      <c r="M63" s="542"/>
      <c r="N63" s="542"/>
      <c r="O63" s="542"/>
      <c r="P63" s="542"/>
      <c r="Q63" s="542"/>
      <c r="R63" s="542"/>
      <c r="S63" s="542"/>
      <c r="T63" s="542"/>
      <c r="U63" s="542"/>
      <c r="V63" s="542"/>
      <c r="W63" s="542"/>
      <c r="X63" s="542"/>
      <c r="Y63" s="432"/>
      <c r="Z63" s="532"/>
      <c r="AA63" s="394"/>
      <c r="AB63" s="208"/>
      <c r="AC63" s="208"/>
      <c r="AI63" t="s">
        <v>1192</v>
      </c>
      <c r="AJ63" s="74">
        <f>20/60</f>
        <v>0.33333333333333331</v>
      </c>
    </row>
    <row r="64" spans="2:38" outlineLevel="1">
      <c r="D64" s="1" t="s">
        <v>519</v>
      </c>
      <c r="E64" s="1" t="s">
        <v>686</v>
      </c>
      <c r="F64" s="547"/>
      <c r="G64" s="546"/>
      <c r="H64" s="546"/>
      <c r="I64" s="546"/>
      <c r="J64" s="546"/>
      <c r="K64" s="546"/>
      <c r="L64" s="546"/>
      <c r="M64" s="546"/>
      <c r="N64" s="546"/>
      <c r="O64" s="546"/>
      <c r="P64" s="546"/>
      <c r="Q64" s="546"/>
      <c r="R64" s="546"/>
      <c r="S64" s="546"/>
      <c r="T64" s="546"/>
      <c r="U64" s="546"/>
      <c r="V64" s="546"/>
      <c r="W64" s="546"/>
      <c r="X64" s="545"/>
      <c r="Y64" s="432"/>
      <c r="Z64" s="532"/>
      <c r="AA64" s="394"/>
      <c r="AB64" s="208"/>
      <c r="AC64" s="208"/>
      <c r="AI64" s="64" t="s">
        <v>1193</v>
      </c>
      <c r="AJ64" s="593">
        <v>8.3333333333333329E-2</v>
      </c>
    </row>
    <row r="65" spans="3:38" outlineLevel="1">
      <c r="D65" s="1" t="s">
        <v>529</v>
      </c>
      <c r="E65" s="1" t="s">
        <v>686</v>
      </c>
      <c r="F65" s="547"/>
      <c r="G65" s="546"/>
      <c r="H65" s="546"/>
      <c r="I65" s="546"/>
      <c r="J65" s="546"/>
      <c r="K65" s="546"/>
      <c r="L65" s="546"/>
      <c r="M65" s="546"/>
      <c r="N65" s="546"/>
      <c r="O65" s="546"/>
      <c r="P65" s="546"/>
      <c r="Q65" s="546"/>
      <c r="R65" s="546"/>
      <c r="S65" s="546"/>
      <c r="T65" s="546"/>
      <c r="U65" s="546"/>
      <c r="V65" s="546"/>
      <c r="W65" s="546"/>
      <c r="X65" s="545"/>
      <c r="Y65" s="432"/>
      <c r="Z65" s="532"/>
      <c r="AA65" s="394"/>
      <c r="AB65" s="208"/>
      <c r="AC65" s="208"/>
    </row>
    <row r="66" spans="3:38" outlineLevel="1">
      <c r="D66" s="940" t="s">
        <v>1194</v>
      </c>
      <c r="E66" s="940"/>
      <c r="F66" s="542"/>
      <c r="G66" s="542"/>
      <c r="H66" s="542"/>
      <c r="I66" s="542"/>
      <c r="J66" s="542"/>
      <c r="K66" s="542"/>
      <c r="L66" s="542"/>
      <c r="M66" s="542"/>
      <c r="N66" s="542"/>
      <c r="O66" s="542"/>
      <c r="P66" s="542"/>
      <c r="Q66" s="542"/>
      <c r="R66" s="542"/>
      <c r="S66" s="542"/>
      <c r="T66" s="542"/>
      <c r="U66" s="542"/>
      <c r="V66" s="542"/>
      <c r="W66" s="542"/>
      <c r="X66" s="542"/>
      <c r="Y66" s="437" t="s">
        <v>948</v>
      </c>
      <c r="Z66" s="92" t="s">
        <v>949</v>
      </c>
      <c r="AA66" s="541" t="s">
        <v>950</v>
      </c>
      <c r="AB66" s="208"/>
      <c r="AC66" s="208"/>
      <c r="AI66" s="592" t="s">
        <v>1195</v>
      </c>
      <c r="AJ66" s="205" t="s">
        <v>1164</v>
      </c>
    </row>
    <row r="67" spans="3:38" outlineLevel="1">
      <c r="D67" s="1" t="s">
        <v>519</v>
      </c>
      <c r="E67" s="1" t="s">
        <v>686</v>
      </c>
      <c r="F67" s="551">
        <f t="shared" ref="F67:X67" ca="1" si="21">IF(F$6=0,0,IF(F64="",F61,F64*$L$2))</f>
        <v>32</v>
      </c>
      <c r="G67" s="551">
        <f t="shared" ca="1" si="21"/>
        <v>32</v>
      </c>
      <c r="H67" s="551">
        <f t="shared" ca="1" si="21"/>
        <v>32</v>
      </c>
      <c r="I67" s="551">
        <f t="shared" ca="1" si="21"/>
        <v>32</v>
      </c>
      <c r="J67" s="551">
        <f t="shared" ca="1" si="21"/>
        <v>35.200000000000003</v>
      </c>
      <c r="K67" s="551">
        <f t="shared" ca="1" si="21"/>
        <v>35.200000000000003</v>
      </c>
      <c r="L67" s="551">
        <f t="shared" ca="1" si="21"/>
        <v>35.200000000000003</v>
      </c>
      <c r="M67" s="551">
        <f t="shared" ca="1" si="21"/>
        <v>35.200000000000003</v>
      </c>
      <c r="N67" s="551">
        <f t="shared" ca="1" si="21"/>
        <v>35.200000000000003</v>
      </c>
      <c r="O67" s="551">
        <f t="shared" ca="1" si="21"/>
        <v>35.200000000000003</v>
      </c>
      <c r="P67" s="551">
        <f t="shared" ca="1" si="21"/>
        <v>35.200000000000003</v>
      </c>
      <c r="Q67" s="551">
        <f t="shared" ca="1" si="21"/>
        <v>35.200000000000003</v>
      </c>
      <c r="R67" s="551">
        <f t="shared" ca="1" si="21"/>
        <v>35.200000000000003</v>
      </c>
      <c r="S67" s="551">
        <f t="shared" ca="1" si="21"/>
        <v>35.200000000000003</v>
      </c>
      <c r="T67" s="551">
        <f t="shared" ca="1" si="21"/>
        <v>70.400000000000006</v>
      </c>
      <c r="U67" s="551">
        <f t="shared" ca="1" si="21"/>
        <v>70.400000000000006</v>
      </c>
      <c r="V67" s="551">
        <f t="shared" si="21"/>
        <v>0</v>
      </c>
      <c r="W67" s="551">
        <f t="shared" si="21"/>
        <v>0</v>
      </c>
      <c r="X67" s="551">
        <f t="shared" si="21"/>
        <v>0</v>
      </c>
      <c r="Y67" s="432">
        <f ca="1">SUMPRODUCT($F67:$X67,$F$6:$X$6)</f>
        <v>12684.800000000001</v>
      </c>
      <c r="Z67" s="431">
        <f>'MF Pricing'!F14</f>
        <v>67</v>
      </c>
      <c r="AA67" s="537">
        <f ca="1">Y67*Z67/100</f>
        <v>8498.8160000000007</v>
      </c>
      <c r="AB67" s="208"/>
      <c r="AC67" s="208"/>
      <c r="AI67" t="s">
        <v>1196</v>
      </c>
      <c r="AJ67">
        <v>2.25</v>
      </c>
    </row>
    <row r="68" spans="3:38" outlineLevel="1">
      <c r="D68" s="1" t="s">
        <v>529</v>
      </c>
      <c r="E68" s="1" t="s">
        <v>686</v>
      </c>
      <c r="F68" s="551">
        <f t="shared" ref="F68:X68" ca="1" si="22">IF(F$6=0,0,IF(F65="",F62,F65*$L$2))</f>
        <v>32</v>
      </c>
      <c r="G68" s="551">
        <f t="shared" ca="1" si="22"/>
        <v>32</v>
      </c>
      <c r="H68" s="551">
        <f t="shared" ca="1" si="22"/>
        <v>32</v>
      </c>
      <c r="I68" s="551">
        <f t="shared" ca="1" si="22"/>
        <v>32</v>
      </c>
      <c r="J68" s="551">
        <f t="shared" ca="1" si="22"/>
        <v>35.200000000000003</v>
      </c>
      <c r="K68" s="551">
        <f t="shared" ca="1" si="22"/>
        <v>35.200000000000003</v>
      </c>
      <c r="L68" s="551">
        <f t="shared" ca="1" si="22"/>
        <v>35.200000000000003</v>
      </c>
      <c r="M68" s="551">
        <f t="shared" ca="1" si="22"/>
        <v>35.200000000000003</v>
      </c>
      <c r="N68" s="551">
        <f t="shared" ca="1" si="22"/>
        <v>35.200000000000003</v>
      </c>
      <c r="O68" s="551">
        <f t="shared" ca="1" si="22"/>
        <v>35.200000000000003</v>
      </c>
      <c r="P68" s="551">
        <f t="shared" ca="1" si="22"/>
        <v>35.200000000000003</v>
      </c>
      <c r="Q68" s="551">
        <f t="shared" ca="1" si="22"/>
        <v>35.200000000000003</v>
      </c>
      <c r="R68" s="551">
        <f t="shared" ca="1" si="22"/>
        <v>35.200000000000003</v>
      </c>
      <c r="S68" s="551">
        <f t="shared" ca="1" si="22"/>
        <v>35.200000000000003</v>
      </c>
      <c r="T68" s="551">
        <f t="shared" ca="1" si="22"/>
        <v>70.400000000000006</v>
      </c>
      <c r="U68" s="551">
        <f t="shared" ca="1" si="22"/>
        <v>70.400000000000006</v>
      </c>
      <c r="V68" s="551">
        <f t="shared" si="22"/>
        <v>0</v>
      </c>
      <c r="W68" s="551">
        <f t="shared" si="22"/>
        <v>0</v>
      </c>
      <c r="X68" s="551">
        <f t="shared" si="22"/>
        <v>0</v>
      </c>
      <c r="Y68" s="432">
        <f ca="1">SUMPRODUCT($F68:$X68,$F$6:$X$6)</f>
        <v>12684.800000000001</v>
      </c>
      <c r="Z68" s="431">
        <f>'MF Pricing'!F15</f>
        <v>160</v>
      </c>
      <c r="AA68" s="537">
        <f ca="1">Y68*Z68/100</f>
        <v>20295.680000000004</v>
      </c>
      <c r="AB68" s="208"/>
      <c r="AC68" s="208"/>
      <c r="AI68" s="64" t="s">
        <v>1197</v>
      </c>
      <c r="AJ68" s="64">
        <v>2</v>
      </c>
    </row>
    <row r="69" spans="3:38" outlineLevel="1">
      <c r="C69" s="423" t="s">
        <v>1184</v>
      </c>
      <c r="D69" s="591"/>
      <c r="E69" s="536" t="s">
        <v>1185</v>
      </c>
      <c r="F69" s="535">
        <f t="shared" ref="F69:X69" ca="1" si="23">IF(F$6=0,0,SUMPRODUCT(F$67:F$68,$Z$67:$Z$68)/100)</f>
        <v>72.64</v>
      </c>
      <c r="G69" s="534">
        <f t="shared" ca="1" si="23"/>
        <v>72.64</v>
      </c>
      <c r="H69" s="534">
        <f t="shared" ca="1" si="23"/>
        <v>72.64</v>
      </c>
      <c r="I69" s="534">
        <f t="shared" ca="1" si="23"/>
        <v>72.64</v>
      </c>
      <c r="J69" s="534">
        <f t="shared" ca="1" si="23"/>
        <v>79.903999999999996</v>
      </c>
      <c r="K69" s="534">
        <f t="shared" ca="1" si="23"/>
        <v>79.903999999999996</v>
      </c>
      <c r="L69" s="534">
        <f t="shared" ca="1" si="23"/>
        <v>79.903999999999996</v>
      </c>
      <c r="M69" s="534">
        <f t="shared" ca="1" si="23"/>
        <v>79.903999999999996</v>
      </c>
      <c r="N69" s="534">
        <f t="shared" ca="1" si="23"/>
        <v>79.903999999999996</v>
      </c>
      <c r="O69" s="534">
        <f t="shared" ca="1" si="23"/>
        <v>79.903999999999996</v>
      </c>
      <c r="P69" s="534">
        <f t="shared" ca="1" si="23"/>
        <v>79.903999999999996</v>
      </c>
      <c r="Q69" s="534">
        <f t="shared" ca="1" si="23"/>
        <v>79.903999999999996</v>
      </c>
      <c r="R69" s="534">
        <f t="shared" ca="1" si="23"/>
        <v>79.903999999999996</v>
      </c>
      <c r="S69" s="534">
        <f t="shared" ca="1" si="23"/>
        <v>79.903999999999996</v>
      </c>
      <c r="T69" s="534">
        <f t="shared" ca="1" si="23"/>
        <v>159.80799999999999</v>
      </c>
      <c r="U69" s="534">
        <f t="shared" ca="1" si="23"/>
        <v>159.80799999999999</v>
      </c>
      <c r="V69" s="534">
        <f t="shared" si="23"/>
        <v>0</v>
      </c>
      <c r="W69" s="534">
        <f t="shared" si="23"/>
        <v>0</v>
      </c>
      <c r="X69" s="533">
        <f t="shared" si="23"/>
        <v>0</v>
      </c>
      <c r="Y69" s="432"/>
      <c r="Z69" s="458"/>
      <c r="AA69" s="394"/>
      <c r="AB69" s="208"/>
      <c r="AC69" s="208"/>
    </row>
    <row r="70" spans="3:38" outlineLevel="1">
      <c r="C70" s="423" t="s">
        <v>988</v>
      </c>
      <c r="D70" s="5"/>
      <c r="E70" s="16" t="s">
        <v>961</v>
      </c>
      <c r="F70" s="530">
        <f t="shared" ref="F70:X70" ca="1" si="24">F69*F$6</f>
        <v>581.12</v>
      </c>
      <c r="G70" s="529">
        <f t="shared" ca="1" si="24"/>
        <v>1162.24</v>
      </c>
      <c r="H70" s="529">
        <f t="shared" ca="1" si="24"/>
        <v>581.12</v>
      </c>
      <c r="I70" s="529">
        <f t="shared" ca="1" si="24"/>
        <v>1380.16</v>
      </c>
      <c r="J70" s="529">
        <f t="shared" ca="1" si="24"/>
        <v>3835.3919999999998</v>
      </c>
      <c r="K70" s="529">
        <f t="shared" ca="1" si="24"/>
        <v>319.61599999999999</v>
      </c>
      <c r="L70" s="529">
        <f t="shared" ca="1" si="24"/>
        <v>1917.6959999999999</v>
      </c>
      <c r="M70" s="529">
        <f t="shared" ca="1" si="24"/>
        <v>799.04</v>
      </c>
      <c r="N70" s="529">
        <f t="shared" ca="1" si="24"/>
        <v>2556.9279999999999</v>
      </c>
      <c r="O70" s="529">
        <f t="shared" ca="1" si="24"/>
        <v>5113.8559999999998</v>
      </c>
      <c r="P70" s="529">
        <f t="shared" ca="1" si="24"/>
        <v>3675.5839999999998</v>
      </c>
      <c r="Q70" s="529">
        <f t="shared" ca="1" si="24"/>
        <v>1278.4639999999999</v>
      </c>
      <c r="R70" s="529">
        <f t="shared" ca="1" si="24"/>
        <v>1917.6959999999999</v>
      </c>
      <c r="S70" s="529">
        <f t="shared" ca="1" si="24"/>
        <v>639.23199999999997</v>
      </c>
      <c r="T70" s="529">
        <f t="shared" ca="1" si="24"/>
        <v>1278.4639999999999</v>
      </c>
      <c r="U70" s="529">
        <f t="shared" ca="1" si="24"/>
        <v>1757.8879999999999</v>
      </c>
      <c r="V70" s="529">
        <f t="shared" si="24"/>
        <v>0</v>
      </c>
      <c r="W70" s="529">
        <f t="shared" si="24"/>
        <v>0</v>
      </c>
      <c r="X70" s="528">
        <f t="shared" si="24"/>
        <v>0</v>
      </c>
      <c r="Y70" s="422">
        <f ca="1">SUM(Y67:Y68)</f>
        <v>25369.600000000002</v>
      </c>
      <c r="Z70" s="457"/>
      <c r="AA70" s="527">
        <f ca="1">SUM(F70:X70)</f>
        <v>28794.495999999999</v>
      </c>
      <c r="AB70" s="558">
        <v>0.15</v>
      </c>
      <c r="AC70" s="557">
        <f ca="1">AA70*AB70</f>
        <v>4319.1743999999999</v>
      </c>
    </row>
    <row r="71" spans="3:38">
      <c r="C71" s="461" t="s">
        <v>963</v>
      </c>
      <c r="D71" s="941" t="s">
        <v>1198</v>
      </c>
      <c r="E71" s="941"/>
      <c r="F71" s="542"/>
      <c r="G71" s="542"/>
      <c r="H71" s="542"/>
      <c r="I71" s="542"/>
      <c r="J71" s="542"/>
      <c r="K71" s="542"/>
      <c r="L71" s="542"/>
      <c r="M71" s="542"/>
      <c r="N71" s="542"/>
      <c r="O71" s="542"/>
      <c r="P71" s="542"/>
      <c r="Q71" s="542"/>
      <c r="R71" s="542"/>
      <c r="S71" s="542"/>
      <c r="T71" s="542"/>
      <c r="U71" s="542"/>
      <c r="V71" s="542"/>
      <c r="W71" s="542"/>
      <c r="X71" s="542"/>
      <c r="Y71" s="432"/>
      <c r="Z71" s="532"/>
      <c r="AA71" s="394"/>
      <c r="AB71" s="208"/>
      <c r="AC71" s="208"/>
    </row>
    <row r="72" spans="3:38" outlineLevel="1">
      <c r="D72" s="1" t="s">
        <v>964</v>
      </c>
      <c r="E72" s="1" t="s">
        <v>686</v>
      </c>
      <c r="F72" s="551">
        <f t="shared" ref="F72:X72" ca="1" si="25">IF(F$6=0,0,IF(F68=0,0,F68-$AK$19*F$9))</f>
        <v>24</v>
      </c>
      <c r="G72" s="551">
        <f t="shared" ca="1" si="25"/>
        <v>24</v>
      </c>
      <c r="H72" s="551">
        <f t="shared" ca="1" si="25"/>
        <v>24</v>
      </c>
      <c r="I72" s="551">
        <f t="shared" ca="1" si="25"/>
        <v>24</v>
      </c>
      <c r="J72" s="551">
        <f t="shared" ca="1" si="25"/>
        <v>27.200000000000003</v>
      </c>
      <c r="K72" s="551">
        <f t="shared" ca="1" si="25"/>
        <v>27.200000000000003</v>
      </c>
      <c r="L72" s="551">
        <f t="shared" ca="1" si="25"/>
        <v>27.200000000000003</v>
      </c>
      <c r="M72" s="551">
        <f t="shared" ca="1" si="25"/>
        <v>27.200000000000003</v>
      </c>
      <c r="N72" s="551">
        <f t="shared" ca="1" si="25"/>
        <v>27.200000000000003</v>
      </c>
      <c r="O72" s="551">
        <f t="shared" ca="1" si="25"/>
        <v>27.200000000000003</v>
      </c>
      <c r="P72" s="551">
        <f t="shared" ca="1" si="25"/>
        <v>27.200000000000003</v>
      </c>
      <c r="Q72" s="551">
        <f t="shared" ca="1" si="25"/>
        <v>27.200000000000003</v>
      </c>
      <c r="R72" s="551">
        <f t="shared" ca="1" si="25"/>
        <v>27.200000000000003</v>
      </c>
      <c r="S72" s="551">
        <f t="shared" ca="1" si="25"/>
        <v>27.200000000000003</v>
      </c>
      <c r="T72" s="551">
        <f t="shared" ca="1" si="25"/>
        <v>54.400000000000006</v>
      </c>
      <c r="U72" s="551">
        <f t="shared" ca="1" si="25"/>
        <v>54.400000000000006</v>
      </c>
      <c r="V72" s="551">
        <f t="shared" si="25"/>
        <v>0</v>
      </c>
      <c r="W72" s="551">
        <f t="shared" si="25"/>
        <v>0</v>
      </c>
      <c r="X72" s="550">
        <f t="shared" si="25"/>
        <v>0</v>
      </c>
      <c r="Y72" s="432"/>
      <c r="Z72" s="532"/>
      <c r="AA72" s="394"/>
      <c r="AB72" s="208"/>
      <c r="AC72" s="208"/>
    </row>
    <row r="73" spans="3:38" outlineLevel="1">
      <c r="D73" s="941" t="s">
        <v>1199</v>
      </c>
      <c r="E73" s="941"/>
      <c r="F73" s="542"/>
      <c r="G73" s="542"/>
      <c r="H73" s="542"/>
      <c r="I73" s="542"/>
      <c r="J73" s="542"/>
      <c r="K73" s="542"/>
      <c r="L73" s="542"/>
      <c r="M73" s="542"/>
      <c r="N73" s="542"/>
      <c r="O73" s="542"/>
      <c r="P73" s="542"/>
      <c r="Q73" s="542"/>
      <c r="R73" s="542"/>
      <c r="S73" s="542"/>
      <c r="T73" s="542"/>
      <c r="U73" s="542"/>
      <c r="V73" s="542"/>
      <c r="W73" s="542"/>
      <c r="X73" s="542"/>
      <c r="Z73" s="532"/>
      <c r="AA73" s="394"/>
      <c r="AB73" s="208"/>
      <c r="AC73" s="208"/>
    </row>
    <row r="74" spans="3:38" outlineLevel="1">
      <c r="D74" s="1" t="s">
        <v>964</v>
      </c>
      <c r="E74" s="1" t="s">
        <v>992</v>
      </c>
      <c r="F74" s="547"/>
      <c r="G74" s="546"/>
      <c r="H74" s="546"/>
      <c r="I74" s="546"/>
      <c r="J74" s="546"/>
      <c r="K74" s="546"/>
      <c r="L74" s="546"/>
      <c r="M74" s="546"/>
      <c r="N74" s="546"/>
      <c r="O74" s="546"/>
      <c r="P74" s="546"/>
      <c r="Q74" s="546"/>
      <c r="R74" s="546"/>
      <c r="S74" s="546"/>
      <c r="T74" s="546"/>
      <c r="U74" s="546"/>
      <c r="V74" s="546"/>
      <c r="W74" s="546"/>
      <c r="X74" s="545"/>
      <c r="Y74" s="432"/>
      <c r="Z74" s="532"/>
      <c r="AA74" s="394"/>
      <c r="AB74" s="208"/>
      <c r="AC74" s="208"/>
    </row>
    <row r="75" spans="3:38" outlineLevel="1">
      <c r="D75" s="940" t="s">
        <v>1200</v>
      </c>
      <c r="E75" s="940"/>
      <c r="F75" s="542"/>
      <c r="G75" s="542"/>
      <c r="H75" s="542"/>
      <c r="I75" s="542"/>
      <c r="J75" s="542"/>
      <c r="K75" s="542"/>
      <c r="L75" s="542"/>
      <c r="M75" s="542"/>
      <c r="N75" s="542"/>
      <c r="O75" s="542"/>
      <c r="P75" s="542"/>
      <c r="Q75" s="542"/>
      <c r="R75" s="542"/>
      <c r="S75" s="542"/>
      <c r="T75" s="542"/>
      <c r="U75" s="542"/>
      <c r="V75" s="542"/>
      <c r="W75" s="542"/>
      <c r="X75" s="542"/>
      <c r="Y75" s="437" t="s">
        <v>948</v>
      </c>
      <c r="Z75" s="92" t="s">
        <v>949</v>
      </c>
      <c r="AA75" s="541" t="s">
        <v>950</v>
      </c>
      <c r="AB75" s="208"/>
      <c r="AC75" s="208"/>
    </row>
    <row r="76" spans="3:38" outlineLevel="1">
      <c r="D76" s="1" t="s">
        <v>964</v>
      </c>
      <c r="E76" s="1" t="s">
        <v>686</v>
      </c>
      <c r="F76" s="551">
        <f t="shared" ref="F76:X76" ca="1" si="26">IF(F$6=0,0,IF(F74="",F72,F74*$L$2))</f>
        <v>24</v>
      </c>
      <c r="G76" s="551">
        <f t="shared" ca="1" si="26"/>
        <v>24</v>
      </c>
      <c r="H76" s="551">
        <f t="shared" ca="1" si="26"/>
        <v>24</v>
      </c>
      <c r="I76" s="551">
        <f t="shared" ca="1" si="26"/>
        <v>24</v>
      </c>
      <c r="J76" s="551">
        <f t="shared" ca="1" si="26"/>
        <v>27.200000000000003</v>
      </c>
      <c r="K76" s="551">
        <f t="shared" ca="1" si="26"/>
        <v>27.200000000000003</v>
      </c>
      <c r="L76" s="551">
        <f t="shared" ca="1" si="26"/>
        <v>27.200000000000003</v>
      </c>
      <c r="M76" s="551">
        <f t="shared" ca="1" si="26"/>
        <v>27.200000000000003</v>
      </c>
      <c r="N76" s="551">
        <f t="shared" ca="1" si="26"/>
        <v>27.200000000000003</v>
      </c>
      <c r="O76" s="551">
        <f t="shared" ca="1" si="26"/>
        <v>27.200000000000003</v>
      </c>
      <c r="P76" s="551">
        <f t="shared" ca="1" si="26"/>
        <v>27.200000000000003</v>
      </c>
      <c r="Q76" s="551">
        <f t="shared" ca="1" si="26"/>
        <v>27.200000000000003</v>
      </c>
      <c r="R76" s="551">
        <f t="shared" ca="1" si="26"/>
        <v>27.200000000000003</v>
      </c>
      <c r="S76" s="551">
        <f t="shared" ca="1" si="26"/>
        <v>27.200000000000003</v>
      </c>
      <c r="T76" s="551">
        <f t="shared" ca="1" si="26"/>
        <v>54.400000000000006</v>
      </c>
      <c r="U76" s="551">
        <f t="shared" ca="1" si="26"/>
        <v>54.400000000000006</v>
      </c>
      <c r="V76" s="551">
        <f t="shared" si="26"/>
        <v>0</v>
      </c>
      <c r="W76" s="551">
        <f t="shared" si="26"/>
        <v>0</v>
      </c>
      <c r="X76" s="551">
        <f t="shared" si="26"/>
        <v>0</v>
      </c>
      <c r="Y76" s="432">
        <f ca="1">SUMPRODUCT($F76:$X76,$F$6:$X$6)</f>
        <v>9764.8000000000011</v>
      </c>
      <c r="Z76" s="538">
        <f>'MF Pricing'!F17</f>
        <v>5.5</v>
      </c>
      <c r="AA76" s="537">
        <f ca="1">Y76*Z76/6</f>
        <v>8951.0666666666675</v>
      </c>
      <c r="AB76" s="208"/>
      <c r="AC76" s="208"/>
      <c r="AL76">
        <f>5/60</f>
        <v>8.3333333333333329E-2</v>
      </c>
    </row>
    <row r="77" spans="3:38" outlineLevel="1">
      <c r="C77" s="423" t="s">
        <v>1184</v>
      </c>
      <c r="D77" s="591"/>
      <c r="E77" s="536" t="s">
        <v>1185</v>
      </c>
      <c r="F77" s="535">
        <f t="shared" ref="F77:X77" ca="1" si="27">IF(F$6=0,0,F76*$Z$76/6)</f>
        <v>22</v>
      </c>
      <c r="G77" s="534">
        <f t="shared" ca="1" si="27"/>
        <v>22</v>
      </c>
      <c r="H77" s="534">
        <f t="shared" ca="1" si="27"/>
        <v>22</v>
      </c>
      <c r="I77" s="534">
        <f t="shared" ca="1" si="27"/>
        <v>22</v>
      </c>
      <c r="J77" s="534">
        <f t="shared" ca="1" si="27"/>
        <v>24.933333333333337</v>
      </c>
      <c r="K77" s="534">
        <f t="shared" ca="1" si="27"/>
        <v>24.933333333333337</v>
      </c>
      <c r="L77" s="534">
        <f t="shared" ca="1" si="27"/>
        <v>24.933333333333337</v>
      </c>
      <c r="M77" s="534">
        <f t="shared" ca="1" si="27"/>
        <v>24.933333333333337</v>
      </c>
      <c r="N77" s="534">
        <f t="shared" ca="1" si="27"/>
        <v>24.933333333333337</v>
      </c>
      <c r="O77" s="534">
        <f t="shared" ca="1" si="27"/>
        <v>24.933333333333337</v>
      </c>
      <c r="P77" s="534">
        <f t="shared" ca="1" si="27"/>
        <v>24.933333333333337</v>
      </c>
      <c r="Q77" s="534">
        <f t="shared" ca="1" si="27"/>
        <v>24.933333333333337</v>
      </c>
      <c r="R77" s="534">
        <f t="shared" ca="1" si="27"/>
        <v>24.933333333333337</v>
      </c>
      <c r="S77" s="534">
        <f t="shared" ca="1" si="27"/>
        <v>24.933333333333337</v>
      </c>
      <c r="T77" s="534">
        <f t="shared" ca="1" si="27"/>
        <v>49.866666666666674</v>
      </c>
      <c r="U77" s="534">
        <f t="shared" ca="1" si="27"/>
        <v>49.866666666666674</v>
      </c>
      <c r="V77" s="534">
        <f t="shared" si="27"/>
        <v>0</v>
      </c>
      <c r="W77" s="534">
        <f t="shared" si="27"/>
        <v>0</v>
      </c>
      <c r="X77" s="533">
        <f t="shared" si="27"/>
        <v>0</v>
      </c>
      <c r="Y77" s="432"/>
      <c r="Z77" s="532"/>
      <c r="AA77" s="394"/>
      <c r="AB77" s="208"/>
      <c r="AC77" s="208"/>
    </row>
    <row r="78" spans="3:38" outlineLevel="1">
      <c r="C78" s="423" t="s">
        <v>988</v>
      </c>
      <c r="D78" s="5"/>
      <c r="E78" s="16" t="s">
        <v>961</v>
      </c>
      <c r="F78" s="530">
        <f t="shared" ref="F78:X78" ca="1" si="28">F77*F$6</f>
        <v>176</v>
      </c>
      <c r="G78" s="529">
        <f t="shared" ca="1" si="28"/>
        <v>352</v>
      </c>
      <c r="H78" s="529">
        <f t="shared" ca="1" si="28"/>
        <v>176</v>
      </c>
      <c r="I78" s="529">
        <f t="shared" ca="1" si="28"/>
        <v>418</v>
      </c>
      <c r="J78" s="529">
        <f t="shared" ca="1" si="28"/>
        <v>1196.8000000000002</v>
      </c>
      <c r="K78" s="529">
        <f t="shared" ca="1" si="28"/>
        <v>99.733333333333348</v>
      </c>
      <c r="L78" s="529">
        <f t="shared" ca="1" si="28"/>
        <v>598.40000000000009</v>
      </c>
      <c r="M78" s="529">
        <f t="shared" ca="1" si="28"/>
        <v>249.33333333333337</v>
      </c>
      <c r="N78" s="529">
        <f t="shared" ca="1" si="28"/>
        <v>797.86666666666679</v>
      </c>
      <c r="O78" s="529">
        <f t="shared" ca="1" si="28"/>
        <v>1595.7333333333336</v>
      </c>
      <c r="P78" s="529">
        <f t="shared" ca="1" si="28"/>
        <v>1146.9333333333334</v>
      </c>
      <c r="Q78" s="529">
        <f t="shared" ca="1" si="28"/>
        <v>398.93333333333339</v>
      </c>
      <c r="R78" s="529">
        <f t="shared" ca="1" si="28"/>
        <v>598.40000000000009</v>
      </c>
      <c r="S78" s="529">
        <f t="shared" ca="1" si="28"/>
        <v>199.4666666666667</v>
      </c>
      <c r="T78" s="529">
        <f t="shared" ca="1" si="28"/>
        <v>398.93333333333339</v>
      </c>
      <c r="U78" s="529">
        <f t="shared" ca="1" si="28"/>
        <v>548.53333333333342</v>
      </c>
      <c r="V78" s="529">
        <f t="shared" si="28"/>
        <v>0</v>
      </c>
      <c r="W78" s="529">
        <f t="shared" si="28"/>
        <v>0</v>
      </c>
      <c r="X78" s="528">
        <f t="shared" si="28"/>
        <v>0</v>
      </c>
      <c r="Y78" s="422">
        <f ca="1">SUM(Y76)</f>
        <v>9764.8000000000011</v>
      </c>
      <c r="Z78" s="255"/>
      <c r="AA78" s="527">
        <f ca="1">SUM(F78:X78)</f>
        <v>8951.0666666666693</v>
      </c>
      <c r="AB78" s="558">
        <v>0.2</v>
      </c>
      <c r="AC78" s="557">
        <f ca="1">AA78*AB78</f>
        <v>1790.213333333334</v>
      </c>
    </row>
    <row r="79" spans="3:38">
      <c r="C79" s="461" t="s">
        <v>1201</v>
      </c>
      <c r="D79" s="941" t="s">
        <v>1202</v>
      </c>
      <c r="E79" s="941"/>
      <c r="F79" s="542"/>
      <c r="G79" s="542"/>
      <c r="H79" s="542"/>
      <c r="I79" s="542"/>
      <c r="J79" s="542"/>
      <c r="K79" s="542"/>
      <c r="L79" s="542"/>
      <c r="M79" s="542"/>
      <c r="N79" s="542"/>
      <c r="O79" s="542"/>
      <c r="P79" s="542"/>
      <c r="Q79" s="542"/>
      <c r="R79" s="542"/>
      <c r="S79" s="542"/>
      <c r="T79" s="542"/>
      <c r="U79" s="542"/>
      <c r="V79" s="542"/>
      <c r="W79" s="542"/>
      <c r="X79" s="542"/>
      <c r="Y79" s="432"/>
      <c r="Z79" s="532"/>
      <c r="AA79" s="394"/>
      <c r="AB79" s="208"/>
      <c r="AC79" s="208"/>
    </row>
    <row r="80" spans="3:38" outlineLevel="1">
      <c r="D80" s="1" t="s">
        <v>964</v>
      </c>
      <c r="E80" s="1" t="s">
        <v>686</v>
      </c>
      <c r="F80" s="551">
        <f t="shared" ref="F80:X80" ca="1" si="29">IF(F$6=0,0,IF(F62=0,0,$AK$19*F$9))</f>
        <v>8</v>
      </c>
      <c r="G80" s="551">
        <f t="shared" ca="1" si="29"/>
        <v>8</v>
      </c>
      <c r="H80" s="551">
        <f t="shared" ca="1" si="29"/>
        <v>8</v>
      </c>
      <c r="I80" s="551">
        <f t="shared" ca="1" si="29"/>
        <v>8</v>
      </c>
      <c r="J80" s="551">
        <f t="shared" ca="1" si="29"/>
        <v>8</v>
      </c>
      <c r="K80" s="551">
        <f t="shared" ca="1" si="29"/>
        <v>8</v>
      </c>
      <c r="L80" s="551">
        <f t="shared" ca="1" si="29"/>
        <v>8</v>
      </c>
      <c r="M80" s="551">
        <f t="shared" ca="1" si="29"/>
        <v>8</v>
      </c>
      <c r="N80" s="551">
        <f t="shared" ca="1" si="29"/>
        <v>8</v>
      </c>
      <c r="O80" s="551">
        <f t="shared" ca="1" si="29"/>
        <v>8</v>
      </c>
      <c r="P80" s="551">
        <f t="shared" ca="1" si="29"/>
        <v>8</v>
      </c>
      <c r="Q80" s="551">
        <f t="shared" ca="1" si="29"/>
        <v>8</v>
      </c>
      <c r="R80" s="551">
        <f t="shared" ca="1" si="29"/>
        <v>8</v>
      </c>
      <c r="S80" s="551">
        <f t="shared" ca="1" si="29"/>
        <v>8</v>
      </c>
      <c r="T80" s="551">
        <f t="shared" ca="1" si="29"/>
        <v>16</v>
      </c>
      <c r="U80" s="551">
        <f t="shared" ca="1" si="29"/>
        <v>16</v>
      </c>
      <c r="V80" s="551">
        <f t="shared" si="29"/>
        <v>0</v>
      </c>
      <c r="W80" s="551">
        <f t="shared" si="29"/>
        <v>0</v>
      </c>
      <c r="X80" s="550">
        <f t="shared" si="29"/>
        <v>0</v>
      </c>
      <c r="Y80" s="432"/>
      <c r="Z80" s="532"/>
      <c r="AA80" s="394"/>
      <c r="AB80" s="208"/>
      <c r="AC80" s="208"/>
    </row>
    <row r="81" spans="3:37" outlineLevel="1">
      <c r="D81" s="941" t="s">
        <v>1203</v>
      </c>
      <c r="E81" s="941"/>
      <c r="F81" s="542"/>
      <c r="G81" s="542"/>
      <c r="H81" s="542"/>
      <c r="I81" s="542"/>
      <c r="J81" s="542"/>
      <c r="K81" s="542"/>
      <c r="L81" s="542"/>
      <c r="M81" s="542"/>
      <c r="N81" s="542"/>
      <c r="O81" s="542"/>
      <c r="P81" s="542"/>
      <c r="Q81" s="542"/>
      <c r="R81" s="542"/>
      <c r="S81" s="542"/>
      <c r="T81" s="542"/>
      <c r="U81" s="542"/>
      <c r="V81" s="542"/>
      <c r="W81" s="542"/>
      <c r="X81" s="542"/>
      <c r="Y81" s="432"/>
      <c r="Z81" s="532"/>
      <c r="AA81" s="394"/>
      <c r="AB81" s="208"/>
      <c r="AC81" s="208"/>
    </row>
    <row r="82" spans="3:37" outlineLevel="1">
      <c r="D82" s="1" t="s">
        <v>964</v>
      </c>
      <c r="E82" s="1" t="s">
        <v>992</v>
      </c>
      <c r="F82" s="547"/>
      <c r="G82" s="546"/>
      <c r="H82" s="546"/>
      <c r="I82" s="546"/>
      <c r="J82" s="546"/>
      <c r="K82" s="546"/>
      <c r="L82" s="546"/>
      <c r="M82" s="546"/>
      <c r="N82" s="546"/>
      <c r="O82" s="546"/>
      <c r="P82" s="546"/>
      <c r="Q82" s="546"/>
      <c r="R82" s="546"/>
      <c r="S82" s="546"/>
      <c r="T82" s="546"/>
      <c r="U82" s="546"/>
      <c r="V82" s="546"/>
      <c r="W82" s="546"/>
      <c r="X82" s="545"/>
      <c r="Y82" s="432"/>
      <c r="Z82" s="532"/>
      <c r="AA82" s="394"/>
      <c r="AB82" s="208"/>
      <c r="AC82" s="208"/>
    </row>
    <row r="83" spans="3:37" outlineLevel="1">
      <c r="D83" s="940" t="s">
        <v>1204</v>
      </c>
      <c r="E83" s="940"/>
      <c r="F83" s="542"/>
      <c r="G83" s="542"/>
      <c r="H83" s="542"/>
      <c r="I83" s="542"/>
      <c r="J83" s="542"/>
      <c r="K83" s="542"/>
      <c r="L83" s="542"/>
      <c r="M83" s="542"/>
      <c r="N83" s="542"/>
      <c r="O83" s="542"/>
      <c r="P83" s="542"/>
      <c r="Q83" s="542"/>
      <c r="R83" s="542"/>
      <c r="S83" s="542"/>
      <c r="T83" s="542"/>
      <c r="U83" s="542"/>
      <c r="V83" s="542"/>
      <c r="W83" s="542"/>
      <c r="X83" s="542"/>
      <c r="Y83" s="437" t="s">
        <v>948</v>
      </c>
      <c r="Z83" s="92" t="s">
        <v>949</v>
      </c>
      <c r="AA83" s="541" t="s">
        <v>950</v>
      </c>
      <c r="AB83" s="208"/>
      <c r="AC83" s="208"/>
    </row>
    <row r="84" spans="3:37" outlineLevel="1">
      <c r="D84" s="1" t="s">
        <v>529</v>
      </c>
      <c r="E84" s="1" t="s">
        <v>686</v>
      </c>
      <c r="F84" s="551">
        <f t="shared" ref="F84:X84" ca="1" si="30">IF(F$6=0,0,IF(F82="",F80,F82*$L$2))</f>
        <v>8</v>
      </c>
      <c r="G84" s="551">
        <f t="shared" ca="1" si="30"/>
        <v>8</v>
      </c>
      <c r="H84" s="551">
        <f t="shared" ca="1" si="30"/>
        <v>8</v>
      </c>
      <c r="I84" s="551">
        <f t="shared" ca="1" si="30"/>
        <v>8</v>
      </c>
      <c r="J84" s="551">
        <f t="shared" ca="1" si="30"/>
        <v>8</v>
      </c>
      <c r="K84" s="551">
        <f t="shared" ca="1" si="30"/>
        <v>8</v>
      </c>
      <c r="L84" s="551">
        <f t="shared" ca="1" si="30"/>
        <v>8</v>
      </c>
      <c r="M84" s="551">
        <f t="shared" ca="1" si="30"/>
        <v>8</v>
      </c>
      <c r="N84" s="551">
        <f t="shared" ca="1" si="30"/>
        <v>8</v>
      </c>
      <c r="O84" s="551">
        <f t="shared" ca="1" si="30"/>
        <v>8</v>
      </c>
      <c r="P84" s="551">
        <f t="shared" ca="1" si="30"/>
        <v>8</v>
      </c>
      <c r="Q84" s="551">
        <f t="shared" ca="1" si="30"/>
        <v>8</v>
      </c>
      <c r="R84" s="551">
        <f t="shared" ca="1" si="30"/>
        <v>8</v>
      </c>
      <c r="S84" s="551">
        <f t="shared" ca="1" si="30"/>
        <v>8</v>
      </c>
      <c r="T84" s="551">
        <f t="shared" ca="1" si="30"/>
        <v>16</v>
      </c>
      <c r="U84" s="551">
        <f t="shared" ca="1" si="30"/>
        <v>16</v>
      </c>
      <c r="V84" s="551">
        <f t="shared" si="30"/>
        <v>0</v>
      </c>
      <c r="W84" s="551">
        <f t="shared" si="30"/>
        <v>0</v>
      </c>
      <c r="X84" s="551">
        <f t="shared" si="30"/>
        <v>0</v>
      </c>
      <c r="Y84" s="432">
        <f ca="1">SUMPRODUCT($F84:$X84,$F$6:$X$6)</f>
        <v>2920</v>
      </c>
      <c r="Z84" s="538">
        <f>'MF Pricing'!F19</f>
        <v>12.5</v>
      </c>
      <c r="AA84" s="537">
        <f ca="1">Y84*Z84/6</f>
        <v>6083.333333333333</v>
      </c>
      <c r="AB84" s="208"/>
      <c r="AC84" s="208"/>
      <c r="AJ84">
        <f>AJ87/3</f>
        <v>7.666666666666667</v>
      </c>
    </row>
    <row r="85" spans="3:37" outlineLevel="1">
      <c r="C85" s="423" t="s">
        <v>1184</v>
      </c>
      <c r="D85" s="591"/>
      <c r="E85" s="536" t="s">
        <v>1185</v>
      </c>
      <c r="F85" s="535">
        <f t="shared" ref="F85:X85" ca="1" si="31">IF(F$6=0,0,F84*$Z$84/6)</f>
        <v>16.666666666666668</v>
      </c>
      <c r="G85" s="534">
        <f t="shared" ca="1" si="31"/>
        <v>16.666666666666668</v>
      </c>
      <c r="H85" s="534">
        <f t="shared" ca="1" si="31"/>
        <v>16.666666666666668</v>
      </c>
      <c r="I85" s="534">
        <f t="shared" ca="1" si="31"/>
        <v>16.666666666666668</v>
      </c>
      <c r="J85" s="534">
        <f t="shared" ca="1" si="31"/>
        <v>16.666666666666668</v>
      </c>
      <c r="K85" s="534">
        <f t="shared" ca="1" si="31"/>
        <v>16.666666666666668</v>
      </c>
      <c r="L85" s="534">
        <f t="shared" ca="1" si="31"/>
        <v>16.666666666666668</v>
      </c>
      <c r="M85" s="534">
        <f t="shared" ca="1" si="31"/>
        <v>16.666666666666668</v>
      </c>
      <c r="N85" s="534">
        <f t="shared" ca="1" si="31"/>
        <v>16.666666666666668</v>
      </c>
      <c r="O85" s="534">
        <f t="shared" ca="1" si="31"/>
        <v>16.666666666666668</v>
      </c>
      <c r="P85" s="534">
        <f t="shared" ca="1" si="31"/>
        <v>16.666666666666668</v>
      </c>
      <c r="Q85" s="534">
        <f t="shared" ca="1" si="31"/>
        <v>16.666666666666668</v>
      </c>
      <c r="R85" s="534">
        <f t="shared" ca="1" si="31"/>
        <v>16.666666666666668</v>
      </c>
      <c r="S85" s="534">
        <f t="shared" ca="1" si="31"/>
        <v>16.666666666666668</v>
      </c>
      <c r="T85" s="534">
        <f t="shared" ca="1" si="31"/>
        <v>33.333333333333336</v>
      </c>
      <c r="U85" s="534">
        <f t="shared" ca="1" si="31"/>
        <v>33.333333333333336</v>
      </c>
      <c r="V85" s="534">
        <f t="shared" si="31"/>
        <v>0</v>
      </c>
      <c r="W85" s="534">
        <f t="shared" si="31"/>
        <v>0</v>
      </c>
      <c r="X85" s="533">
        <f t="shared" si="31"/>
        <v>0</v>
      </c>
      <c r="Y85" s="432"/>
      <c r="Z85" s="532"/>
      <c r="AA85" s="394"/>
      <c r="AB85" s="208"/>
      <c r="AC85" s="208"/>
    </row>
    <row r="86" spans="3:37" outlineLevel="1">
      <c r="C86" s="423" t="s">
        <v>988</v>
      </c>
      <c r="D86" s="5"/>
      <c r="E86" s="16" t="s">
        <v>961</v>
      </c>
      <c r="F86" s="530">
        <f t="shared" ref="F86:X86" ca="1" si="32">F85*F$6</f>
        <v>133.33333333333334</v>
      </c>
      <c r="G86" s="529">
        <f t="shared" ca="1" si="32"/>
        <v>266.66666666666669</v>
      </c>
      <c r="H86" s="529">
        <f t="shared" ca="1" si="32"/>
        <v>133.33333333333334</v>
      </c>
      <c r="I86" s="529">
        <f t="shared" ca="1" si="32"/>
        <v>316.66666666666669</v>
      </c>
      <c r="J86" s="529">
        <f t="shared" ca="1" si="32"/>
        <v>800</v>
      </c>
      <c r="K86" s="529">
        <f t="shared" ca="1" si="32"/>
        <v>66.666666666666671</v>
      </c>
      <c r="L86" s="529">
        <f t="shared" ca="1" si="32"/>
        <v>400</v>
      </c>
      <c r="M86" s="529">
        <f t="shared" ca="1" si="32"/>
        <v>166.66666666666669</v>
      </c>
      <c r="N86" s="529">
        <f t="shared" ca="1" si="32"/>
        <v>533.33333333333337</v>
      </c>
      <c r="O86" s="529">
        <f t="shared" ca="1" si="32"/>
        <v>1066.6666666666667</v>
      </c>
      <c r="P86" s="529">
        <f t="shared" ca="1" si="32"/>
        <v>766.66666666666674</v>
      </c>
      <c r="Q86" s="529">
        <f t="shared" ca="1" si="32"/>
        <v>266.66666666666669</v>
      </c>
      <c r="R86" s="529">
        <f t="shared" ca="1" si="32"/>
        <v>400</v>
      </c>
      <c r="S86" s="529">
        <f t="shared" ca="1" si="32"/>
        <v>133.33333333333334</v>
      </c>
      <c r="T86" s="529">
        <f t="shared" ca="1" si="32"/>
        <v>266.66666666666669</v>
      </c>
      <c r="U86" s="529">
        <f t="shared" ca="1" si="32"/>
        <v>366.66666666666669</v>
      </c>
      <c r="V86" s="529">
        <f t="shared" si="32"/>
        <v>0</v>
      </c>
      <c r="W86" s="529">
        <f t="shared" si="32"/>
        <v>0</v>
      </c>
      <c r="X86" s="528">
        <f t="shared" si="32"/>
        <v>0</v>
      </c>
      <c r="Y86" s="422">
        <f ca="1">SUM(Y84)</f>
        <v>2920</v>
      </c>
      <c r="Z86" s="255"/>
      <c r="AA86" s="527">
        <f ca="1">SUM(F86:X86)</f>
        <v>6083.3333333333348</v>
      </c>
      <c r="AB86" s="558">
        <v>0.5</v>
      </c>
      <c r="AC86" s="557">
        <f ca="1">AA86*AB86</f>
        <v>3041.6666666666674</v>
      </c>
    </row>
    <row r="87" spans="3:37" ht="16.5" customHeight="1" outlineLevel="1">
      <c r="C87" s="96" t="s">
        <v>967</v>
      </c>
      <c r="D87" s="940" t="s">
        <v>1205</v>
      </c>
      <c r="E87" s="940"/>
      <c r="F87" s="542"/>
      <c r="G87" s="542"/>
      <c r="H87" s="542"/>
      <c r="I87" s="542"/>
      <c r="J87" s="542"/>
      <c r="K87" s="542"/>
      <c r="L87" s="542"/>
      <c r="M87" s="542"/>
      <c r="N87" s="542"/>
      <c r="O87" s="542"/>
      <c r="P87" s="542"/>
      <c r="Q87" s="542"/>
      <c r="R87" s="542"/>
      <c r="S87" s="542"/>
      <c r="T87" s="542"/>
      <c r="U87" s="542"/>
      <c r="V87" s="542"/>
      <c r="W87" s="542"/>
      <c r="X87" s="542"/>
      <c r="Y87" s="437" t="s">
        <v>948</v>
      </c>
      <c r="Z87" s="92" t="s">
        <v>949</v>
      </c>
      <c r="AA87" s="541" t="s">
        <v>950</v>
      </c>
      <c r="AB87" s="208"/>
      <c r="AC87" s="208"/>
      <c r="AJ87" s="1">
        <v>23</v>
      </c>
    </row>
    <row r="88" spans="3:37" outlineLevel="2">
      <c r="D88" s="1"/>
      <c r="E88" s="1" t="s">
        <v>968</v>
      </c>
      <c r="F88" s="560">
        <f t="shared" ref="F88:X88" ca="1" si="33">IF(F$6=0,0,F76*inp_557ratio)</f>
        <v>8.1599999999999992E-2</v>
      </c>
      <c r="G88" s="560">
        <f t="shared" ca="1" si="33"/>
        <v>8.1599999999999992E-2</v>
      </c>
      <c r="H88" s="560">
        <f t="shared" ca="1" si="33"/>
        <v>8.1599999999999992E-2</v>
      </c>
      <c r="I88" s="560">
        <f t="shared" ca="1" si="33"/>
        <v>8.1599999999999992E-2</v>
      </c>
      <c r="J88" s="560">
        <f t="shared" ca="1" si="33"/>
        <v>9.2480000000000007E-2</v>
      </c>
      <c r="K88" s="560">
        <f t="shared" ca="1" si="33"/>
        <v>9.2480000000000007E-2</v>
      </c>
      <c r="L88" s="560">
        <f t="shared" ca="1" si="33"/>
        <v>9.2480000000000007E-2</v>
      </c>
      <c r="M88" s="560">
        <f t="shared" ca="1" si="33"/>
        <v>9.2480000000000007E-2</v>
      </c>
      <c r="N88" s="560">
        <f t="shared" ca="1" si="33"/>
        <v>9.2480000000000007E-2</v>
      </c>
      <c r="O88" s="560">
        <f t="shared" ca="1" si="33"/>
        <v>9.2480000000000007E-2</v>
      </c>
      <c r="P88" s="560">
        <f t="shared" ca="1" si="33"/>
        <v>9.2480000000000007E-2</v>
      </c>
      <c r="Q88" s="560">
        <f t="shared" ca="1" si="33"/>
        <v>9.2480000000000007E-2</v>
      </c>
      <c r="R88" s="560">
        <f t="shared" ca="1" si="33"/>
        <v>9.2480000000000007E-2</v>
      </c>
      <c r="S88" s="560">
        <f t="shared" ca="1" si="33"/>
        <v>9.2480000000000007E-2</v>
      </c>
      <c r="T88" s="560">
        <f t="shared" ca="1" si="33"/>
        <v>0.18496000000000001</v>
      </c>
      <c r="U88" s="560">
        <f t="shared" ca="1" si="33"/>
        <v>0.18496000000000001</v>
      </c>
      <c r="V88" s="560">
        <f t="shared" si="33"/>
        <v>0</v>
      </c>
      <c r="W88" s="560">
        <f t="shared" si="33"/>
        <v>0</v>
      </c>
      <c r="X88" s="559">
        <f t="shared" si="33"/>
        <v>0</v>
      </c>
      <c r="Y88" s="432">
        <f ca="1">SUMPRODUCT($F88:$X88,$F$6:$X$6)</f>
        <v>33.200320000000005</v>
      </c>
      <c r="Z88" s="538">
        <f>'MF Pricing'!F21</f>
        <v>13.5</v>
      </c>
      <c r="AA88" s="537">
        <f ca="1">Y88*Z88</f>
        <v>448.20432000000005</v>
      </c>
      <c r="AB88" s="208"/>
      <c r="AC88" s="208"/>
      <c r="AJ88" s="1"/>
    </row>
    <row r="89" spans="3:37" outlineLevel="2">
      <c r="C89" s="423" t="s">
        <v>1184</v>
      </c>
      <c r="D89" s="591"/>
      <c r="E89" s="536" t="s">
        <v>1185</v>
      </c>
      <c r="F89" s="535">
        <f t="shared" ref="F89:X89" ca="1" si="34">F88*$Z$88</f>
        <v>1.1015999999999999</v>
      </c>
      <c r="G89" s="534">
        <f t="shared" ca="1" si="34"/>
        <v>1.1015999999999999</v>
      </c>
      <c r="H89" s="534">
        <f t="shared" ca="1" si="34"/>
        <v>1.1015999999999999</v>
      </c>
      <c r="I89" s="534">
        <f t="shared" ca="1" si="34"/>
        <v>1.1015999999999999</v>
      </c>
      <c r="J89" s="534">
        <f t="shared" ca="1" si="34"/>
        <v>1.24848</v>
      </c>
      <c r="K89" s="534">
        <f t="shared" ca="1" si="34"/>
        <v>1.24848</v>
      </c>
      <c r="L89" s="534">
        <f t="shared" ca="1" si="34"/>
        <v>1.24848</v>
      </c>
      <c r="M89" s="534">
        <f t="shared" ca="1" si="34"/>
        <v>1.24848</v>
      </c>
      <c r="N89" s="534">
        <f t="shared" ca="1" si="34"/>
        <v>1.24848</v>
      </c>
      <c r="O89" s="534">
        <f t="shared" ca="1" si="34"/>
        <v>1.24848</v>
      </c>
      <c r="P89" s="534">
        <f t="shared" ca="1" si="34"/>
        <v>1.24848</v>
      </c>
      <c r="Q89" s="534">
        <f t="shared" ca="1" si="34"/>
        <v>1.24848</v>
      </c>
      <c r="R89" s="534">
        <f t="shared" ca="1" si="34"/>
        <v>1.24848</v>
      </c>
      <c r="S89" s="534">
        <f t="shared" ca="1" si="34"/>
        <v>1.24848</v>
      </c>
      <c r="T89" s="534">
        <f t="shared" ca="1" si="34"/>
        <v>2.4969600000000001</v>
      </c>
      <c r="U89" s="534">
        <f t="shared" ca="1" si="34"/>
        <v>2.4969600000000001</v>
      </c>
      <c r="V89" s="534">
        <f t="shared" si="34"/>
        <v>0</v>
      </c>
      <c r="W89" s="534">
        <f t="shared" si="34"/>
        <v>0</v>
      </c>
      <c r="X89" s="533">
        <f t="shared" si="34"/>
        <v>0</v>
      </c>
      <c r="Y89" s="432"/>
      <c r="Z89" s="532"/>
      <c r="AA89" s="394"/>
      <c r="AB89" s="208"/>
      <c r="AC89" s="208"/>
      <c r="AJ89" s="1"/>
    </row>
    <row r="90" spans="3:37" outlineLevel="2">
      <c r="C90" s="423" t="s">
        <v>988</v>
      </c>
      <c r="D90" s="5"/>
      <c r="E90" s="16" t="s">
        <v>961</v>
      </c>
      <c r="F90" s="530">
        <f t="shared" ref="F90:X90" ca="1" si="35">F89*F$6</f>
        <v>8.8127999999999993</v>
      </c>
      <c r="G90" s="529">
        <f t="shared" ca="1" si="35"/>
        <v>17.625599999999999</v>
      </c>
      <c r="H90" s="529">
        <f t="shared" ca="1" si="35"/>
        <v>8.8127999999999993</v>
      </c>
      <c r="I90" s="529">
        <f t="shared" ca="1" si="35"/>
        <v>20.930399999999999</v>
      </c>
      <c r="J90" s="529">
        <f t="shared" ca="1" si="35"/>
        <v>59.927040000000005</v>
      </c>
      <c r="K90" s="529">
        <f t="shared" ca="1" si="35"/>
        <v>4.9939200000000001</v>
      </c>
      <c r="L90" s="529">
        <f t="shared" ca="1" si="35"/>
        <v>29.963520000000003</v>
      </c>
      <c r="M90" s="529">
        <f t="shared" ca="1" si="35"/>
        <v>12.4848</v>
      </c>
      <c r="N90" s="529">
        <f t="shared" ca="1" si="35"/>
        <v>39.951360000000001</v>
      </c>
      <c r="O90" s="529">
        <f t="shared" ca="1" si="35"/>
        <v>79.902720000000002</v>
      </c>
      <c r="P90" s="529">
        <f t="shared" ca="1" si="35"/>
        <v>57.430080000000004</v>
      </c>
      <c r="Q90" s="529">
        <f t="shared" ca="1" si="35"/>
        <v>19.975680000000001</v>
      </c>
      <c r="R90" s="529">
        <f t="shared" ca="1" si="35"/>
        <v>29.963520000000003</v>
      </c>
      <c r="S90" s="529">
        <f t="shared" ca="1" si="35"/>
        <v>9.9878400000000003</v>
      </c>
      <c r="T90" s="529">
        <f t="shared" ca="1" si="35"/>
        <v>19.975680000000001</v>
      </c>
      <c r="U90" s="529">
        <f t="shared" ca="1" si="35"/>
        <v>27.466560000000001</v>
      </c>
      <c r="V90" s="529">
        <f t="shared" si="35"/>
        <v>0</v>
      </c>
      <c r="W90" s="529">
        <f t="shared" si="35"/>
        <v>0</v>
      </c>
      <c r="X90" s="528">
        <f t="shared" si="35"/>
        <v>0</v>
      </c>
      <c r="Y90" s="422">
        <f ca="1">SUM(Y88)</f>
        <v>33.200320000000005</v>
      </c>
      <c r="Z90" s="255"/>
      <c r="AA90" s="527">
        <f ca="1">SUM(F90:X90)</f>
        <v>448.20432000000011</v>
      </c>
      <c r="AB90" s="558">
        <v>0.3</v>
      </c>
      <c r="AC90" s="557">
        <f ca="1">AA90*AB90</f>
        <v>134.46129600000003</v>
      </c>
      <c r="AJ90" s="1"/>
    </row>
    <row r="91" spans="3:37" outlineLevel="1">
      <c r="C91" s="96" t="s">
        <v>969</v>
      </c>
      <c r="D91" s="940" t="s">
        <v>1206</v>
      </c>
      <c r="E91" s="940"/>
      <c r="F91" s="542"/>
      <c r="G91" s="542"/>
      <c r="H91" s="542"/>
      <c r="I91" s="542"/>
      <c r="J91" s="542"/>
      <c r="K91" s="542"/>
      <c r="L91" s="542"/>
      <c r="M91" s="542"/>
      <c r="N91" s="542"/>
      <c r="O91" s="542"/>
      <c r="P91" s="542"/>
      <c r="Q91" s="542"/>
      <c r="R91" s="542"/>
      <c r="S91" s="542"/>
      <c r="T91" s="542"/>
      <c r="U91" s="542"/>
      <c r="V91" s="542"/>
      <c r="W91" s="542"/>
      <c r="X91" s="542"/>
      <c r="Y91" s="437" t="s">
        <v>948</v>
      </c>
      <c r="Z91" s="92" t="s">
        <v>949</v>
      </c>
      <c r="AA91" s="541" t="s">
        <v>950</v>
      </c>
      <c r="AB91" s="208"/>
      <c r="AC91" s="208"/>
      <c r="AJ91" s="5">
        <f>SUM(AJ49:AJ87)</f>
        <v>64.29583333333332</v>
      </c>
    </row>
    <row r="92" spans="3:37" outlineLevel="2">
      <c r="D92" s="1"/>
      <c r="E92" s="1" t="s">
        <v>968</v>
      </c>
      <c r="F92" s="560">
        <f t="shared" ref="F92:X92" ca="1" si="36">IF(F$6=0,0,F80*inp_UVtaperatio)</f>
        <v>8.9285714285714246E-2</v>
      </c>
      <c r="G92" s="560">
        <f t="shared" ca="1" si="36"/>
        <v>8.9285714285714246E-2</v>
      </c>
      <c r="H92" s="560">
        <f t="shared" ca="1" si="36"/>
        <v>8.9285714285714246E-2</v>
      </c>
      <c r="I92" s="560">
        <f t="shared" ca="1" si="36"/>
        <v>8.9285714285714246E-2</v>
      </c>
      <c r="J92" s="560">
        <f t="shared" ca="1" si="36"/>
        <v>8.9285714285714246E-2</v>
      </c>
      <c r="K92" s="560">
        <f t="shared" ca="1" si="36"/>
        <v>8.9285714285714246E-2</v>
      </c>
      <c r="L92" s="560">
        <f t="shared" ca="1" si="36"/>
        <v>8.9285714285714246E-2</v>
      </c>
      <c r="M92" s="560">
        <f t="shared" ca="1" si="36"/>
        <v>8.9285714285714246E-2</v>
      </c>
      <c r="N92" s="560">
        <f t="shared" ca="1" si="36"/>
        <v>8.9285714285714246E-2</v>
      </c>
      <c r="O92" s="560">
        <f t="shared" ca="1" si="36"/>
        <v>8.9285714285714246E-2</v>
      </c>
      <c r="P92" s="560">
        <f t="shared" ca="1" si="36"/>
        <v>8.9285714285714246E-2</v>
      </c>
      <c r="Q92" s="560">
        <f t="shared" ca="1" si="36"/>
        <v>8.9285714285714246E-2</v>
      </c>
      <c r="R92" s="560">
        <f t="shared" ca="1" si="36"/>
        <v>8.9285714285714246E-2</v>
      </c>
      <c r="S92" s="560">
        <f t="shared" ca="1" si="36"/>
        <v>8.9285714285714246E-2</v>
      </c>
      <c r="T92" s="560">
        <f t="shared" ca="1" si="36"/>
        <v>0.17857142857142849</v>
      </c>
      <c r="U92" s="560">
        <f t="shared" ca="1" si="36"/>
        <v>0.17857142857142849</v>
      </c>
      <c r="V92" s="560">
        <f t="shared" si="36"/>
        <v>0</v>
      </c>
      <c r="W92" s="560">
        <f t="shared" si="36"/>
        <v>0</v>
      </c>
      <c r="X92" s="559">
        <f t="shared" si="36"/>
        <v>0</v>
      </c>
      <c r="Y92" s="432">
        <f ca="1">SUMPRODUCT($F92:$X92,$F$6:$X$6)</f>
        <v>32.589285714285701</v>
      </c>
      <c r="Z92" s="538">
        <f>'MF Pricing'!F23</f>
        <v>13.5</v>
      </c>
      <c r="AA92" s="537">
        <f ca="1">Y92*Z92</f>
        <v>439.95535714285694</v>
      </c>
      <c r="AB92" s="208"/>
      <c r="AC92" s="208"/>
      <c r="AJ92" s="1"/>
    </row>
    <row r="93" spans="3:37" outlineLevel="2">
      <c r="C93" s="423" t="s">
        <v>1184</v>
      </c>
      <c r="D93" s="591"/>
      <c r="E93" s="536" t="s">
        <v>1185</v>
      </c>
      <c r="F93" s="535">
        <f t="shared" ref="F93:X93" ca="1" si="37">F92*$Z$92</f>
        <v>1.2053571428571423</v>
      </c>
      <c r="G93" s="534">
        <f t="shared" ca="1" si="37"/>
        <v>1.2053571428571423</v>
      </c>
      <c r="H93" s="534">
        <f t="shared" ca="1" si="37"/>
        <v>1.2053571428571423</v>
      </c>
      <c r="I93" s="534">
        <f t="shared" ca="1" si="37"/>
        <v>1.2053571428571423</v>
      </c>
      <c r="J93" s="534">
        <f t="shared" ca="1" si="37"/>
        <v>1.2053571428571423</v>
      </c>
      <c r="K93" s="534">
        <f t="shared" ca="1" si="37"/>
        <v>1.2053571428571423</v>
      </c>
      <c r="L93" s="534">
        <f t="shared" ca="1" si="37"/>
        <v>1.2053571428571423</v>
      </c>
      <c r="M93" s="534">
        <f t="shared" ca="1" si="37"/>
        <v>1.2053571428571423</v>
      </c>
      <c r="N93" s="534">
        <f t="shared" ca="1" si="37"/>
        <v>1.2053571428571423</v>
      </c>
      <c r="O93" s="534">
        <f t="shared" ca="1" si="37"/>
        <v>1.2053571428571423</v>
      </c>
      <c r="P93" s="534">
        <f t="shared" ca="1" si="37"/>
        <v>1.2053571428571423</v>
      </c>
      <c r="Q93" s="534">
        <f t="shared" ca="1" si="37"/>
        <v>1.2053571428571423</v>
      </c>
      <c r="R93" s="534">
        <f t="shared" ca="1" si="37"/>
        <v>1.2053571428571423</v>
      </c>
      <c r="S93" s="534">
        <f t="shared" ca="1" si="37"/>
        <v>1.2053571428571423</v>
      </c>
      <c r="T93" s="534">
        <f t="shared" ca="1" si="37"/>
        <v>2.4107142857142847</v>
      </c>
      <c r="U93" s="534">
        <f t="shared" ca="1" si="37"/>
        <v>2.4107142857142847</v>
      </c>
      <c r="V93" s="534">
        <f t="shared" si="37"/>
        <v>0</v>
      </c>
      <c r="W93" s="534">
        <f t="shared" si="37"/>
        <v>0</v>
      </c>
      <c r="X93" s="533">
        <f t="shared" si="37"/>
        <v>0</v>
      </c>
      <c r="Y93" s="432"/>
      <c r="Z93" s="532"/>
      <c r="AA93" s="394"/>
      <c r="AB93" s="208"/>
      <c r="AC93" s="208"/>
      <c r="AJ93" s="1"/>
    </row>
    <row r="94" spans="3:37" outlineLevel="2">
      <c r="C94" s="423" t="s">
        <v>988</v>
      </c>
      <c r="D94" s="5"/>
      <c r="E94" s="16" t="s">
        <v>961</v>
      </c>
      <c r="F94" s="530">
        <f t="shared" ref="F94:X94" ca="1" si="38">F93*F$6</f>
        <v>9.6428571428571388</v>
      </c>
      <c r="G94" s="529">
        <f t="shared" ca="1" si="38"/>
        <v>19.285714285714278</v>
      </c>
      <c r="H94" s="529">
        <f t="shared" ca="1" si="38"/>
        <v>9.6428571428571388</v>
      </c>
      <c r="I94" s="529">
        <f t="shared" ca="1" si="38"/>
        <v>22.901785714285705</v>
      </c>
      <c r="J94" s="529">
        <f t="shared" ca="1" si="38"/>
        <v>57.857142857142833</v>
      </c>
      <c r="K94" s="529">
        <f t="shared" ca="1" si="38"/>
        <v>4.8214285714285694</v>
      </c>
      <c r="L94" s="529">
        <f t="shared" ca="1" si="38"/>
        <v>28.928571428571416</v>
      </c>
      <c r="M94" s="529">
        <f t="shared" ca="1" si="38"/>
        <v>12.053571428571423</v>
      </c>
      <c r="N94" s="529">
        <f t="shared" ca="1" si="38"/>
        <v>38.571428571428555</v>
      </c>
      <c r="O94" s="529">
        <f t="shared" ca="1" si="38"/>
        <v>77.14285714285711</v>
      </c>
      <c r="P94" s="529">
        <f t="shared" ca="1" si="38"/>
        <v>55.446428571428548</v>
      </c>
      <c r="Q94" s="529">
        <f t="shared" ca="1" si="38"/>
        <v>19.285714285714278</v>
      </c>
      <c r="R94" s="529">
        <f t="shared" ca="1" si="38"/>
        <v>28.928571428571416</v>
      </c>
      <c r="S94" s="529">
        <f t="shared" ca="1" si="38"/>
        <v>9.6428571428571388</v>
      </c>
      <c r="T94" s="529">
        <f t="shared" ca="1" si="38"/>
        <v>19.285714285714278</v>
      </c>
      <c r="U94" s="529">
        <f t="shared" ca="1" si="38"/>
        <v>26.517857142857132</v>
      </c>
      <c r="V94" s="529">
        <f t="shared" si="38"/>
        <v>0</v>
      </c>
      <c r="W94" s="529">
        <f t="shared" si="38"/>
        <v>0</v>
      </c>
      <c r="X94" s="528">
        <f t="shared" si="38"/>
        <v>0</v>
      </c>
      <c r="Y94" s="422">
        <f ca="1">SUM(Y92)</f>
        <v>32.589285714285701</v>
      </c>
      <c r="Z94" s="255"/>
      <c r="AA94" s="527">
        <f ca="1">SUM(F94:X94)</f>
        <v>439.95535714285694</v>
      </c>
      <c r="AB94" s="208"/>
      <c r="AC94" s="208"/>
      <c r="AJ94" s="1"/>
    </row>
    <row r="95" spans="3:37" outlineLevel="1">
      <c r="C95" s="96" t="s">
        <v>970</v>
      </c>
      <c r="D95" s="940" t="s">
        <v>1207</v>
      </c>
      <c r="E95" s="940"/>
      <c r="F95" s="542"/>
      <c r="G95" s="542"/>
      <c r="H95" s="542"/>
      <c r="I95" s="542"/>
      <c r="J95" s="542"/>
      <c r="K95" s="542"/>
      <c r="L95" s="542"/>
      <c r="M95" s="542"/>
      <c r="N95" s="542"/>
      <c r="O95" s="542"/>
      <c r="P95" s="542"/>
      <c r="Q95" s="542"/>
      <c r="R95" s="542"/>
      <c r="S95" s="542"/>
      <c r="T95" s="542"/>
      <c r="U95" s="542"/>
      <c r="V95" s="542"/>
      <c r="W95" s="542"/>
      <c r="X95" s="542"/>
      <c r="Y95" s="437" t="s">
        <v>948</v>
      </c>
      <c r="Z95" s="92" t="s">
        <v>949</v>
      </c>
      <c r="AA95" s="541" t="s">
        <v>950</v>
      </c>
      <c r="AB95" s="208"/>
      <c r="AC95" s="208"/>
      <c r="AJ95" s="1">
        <f>715/20</f>
        <v>35.75</v>
      </c>
      <c r="AK95" s="1"/>
    </row>
    <row r="96" spans="3:37" outlineLevel="3">
      <c r="D96" s="75"/>
      <c r="E96" s="1" t="s">
        <v>968</v>
      </c>
      <c r="F96" s="575">
        <f t="shared" ref="F96:X96" ca="1" si="39">IF(F$6=0,0,SUM(F$11:F$17,F$19:F$25))</f>
        <v>1</v>
      </c>
      <c r="G96" s="575">
        <f t="shared" ca="1" si="39"/>
        <v>1</v>
      </c>
      <c r="H96" s="575">
        <f t="shared" ca="1" si="39"/>
        <v>1</v>
      </c>
      <c r="I96" s="575">
        <f t="shared" ca="1" si="39"/>
        <v>1</v>
      </c>
      <c r="J96" s="575">
        <f t="shared" ca="1" si="39"/>
        <v>1</v>
      </c>
      <c r="K96" s="575">
        <f t="shared" ca="1" si="39"/>
        <v>1</v>
      </c>
      <c r="L96" s="575">
        <f t="shared" ca="1" si="39"/>
        <v>1</v>
      </c>
      <c r="M96" s="575">
        <f t="shared" ca="1" si="39"/>
        <v>1</v>
      </c>
      <c r="N96" s="575">
        <f t="shared" ca="1" si="39"/>
        <v>1</v>
      </c>
      <c r="O96" s="575">
        <f t="shared" ca="1" si="39"/>
        <v>1</v>
      </c>
      <c r="P96" s="575">
        <f t="shared" ca="1" si="39"/>
        <v>1</v>
      </c>
      <c r="Q96" s="575">
        <f t="shared" ca="1" si="39"/>
        <v>1</v>
      </c>
      <c r="R96" s="575">
        <f t="shared" ca="1" si="39"/>
        <v>1</v>
      </c>
      <c r="S96" s="575">
        <f t="shared" ca="1" si="39"/>
        <v>1</v>
      </c>
      <c r="T96" s="575">
        <f t="shared" ca="1" si="39"/>
        <v>2</v>
      </c>
      <c r="U96" s="575">
        <f t="shared" ca="1" si="39"/>
        <v>2</v>
      </c>
      <c r="V96" s="575">
        <f t="shared" si="39"/>
        <v>0</v>
      </c>
      <c r="W96" s="575">
        <f t="shared" si="39"/>
        <v>0</v>
      </c>
      <c r="X96" s="62">
        <f t="shared" si="39"/>
        <v>0</v>
      </c>
      <c r="Y96" s="432">
        <f ca="1">SUMPRODUCT($F96:$X96,$F$6:$X$6)</f>
        <v>365</v>
      </c>
      <c r="Z96" s="538">
        <f>'MF Pricing'!F25</f>
        <v>45</v>
      </c>
      <c r="AA96" s="537">
        <f ca="1">Y96*Z96</f>
        <v>16425</v>
      </c>
      <c r="AB96" s="208"/>
      <c r="AC96" s="208"/>
      <c r="AJ96" s="1"/>
      <c r="AK96" s="1"/>
    </row>
    <row r="97" spans="3:37" outlineLevel="3">
      <c r="C97" s="423" t="s">
        <v>1184</v>
      </c>
      <c r="D97" s="1"/>
      <c r="E97" s="536" t="s">
        <v>1185</v>
      </c>
      <c r="F97" s="535">
        <f t="shared" ref="F97:X97" ca="1" si="40">F96*$Z$96</f>
        <v>45</v>
      </c>
      <c r="G97" s="534">
        <f t="shared" ca="1" si="40"/>
        <v>45</v>
      </c>
      <c r="H97" s="534">
        <f t="shared" ca="1" si="40"/>
        <v>45</v>
      </c>
      <c r="I97" s="534">
        <f t="shared" ca="1" si="40"/>
        <v>45</v>
      </c>
      <c r="J97" s="534">
        <f t="shared" ca="1" si="40"/>
        <v>45</v>
      </c>
      <c r="K97" s="534">
        <f t="shared" ca="1" si="40"/>
        <v>45</v>
      </c>
      <c r="L97" s="534">
        <f t="shared" ca="1" si="40"/>
        <v>45</v>
      </c>
      <c r="M97" s="534">
        <f t="shared" ca="1" si="40"/>
        <v>45</v>
      </c>
      <c r="N97" s="534">
        <f t="shared" ca="1" si="40"/>
        <v>45</v>
      </c>
      <c r="O97" s="534">
        <f t="shared" ca="1" si="40"/>
        <v>45</v>
      </c>
      <c r="P97" s="534">
        <f t="shared" ca="1" si="40"/>
        <v>45</v>
      </c>
      <c r="Q97" s="534">
        <f t="shared" ca="1" si="40"/>
        <v>45</v>
      </c>
      <c r="R97" s="534">
        <f t="shared" ca="1" si="40"/>
        <v>45</v>
      </c>
      <c r="S97" s="534">
        <f t="shared" ca="1" si="40"/>
        <v>45</v>
      </c>
      <c r="T97" s="534">
        <f t="shared" ca="1" si="40"/>
        <v>90</v>
      </c>
      <c r="U97" s="534">
        <f t="shared" ca="1" si="40"/>
        <v>90</v>
      </c>
      <c r="V97" s="534">
        <f t="shared" si="40"/>
        <v>0</v>
      </c>
      <c r="W97" s="534">
        <f t="shared" si="40"/>
        <v>0</v>
      </c>
      <c r="X97" s="533">
        <f t="shared" si="40"/>
        <v>0</v>
      </c>
      <c r="Y97" s="432"/>
      <c r="Z97" s="532"/>
      <c r="AA97" s="394"/>
      <c r="AB97" s="208"/>
      <c r="AC97" s="208"/>
      <c r="AJ97" s="1"/>
      <c r="AK97" s="1"/>
    </row>
    <row r="98" spans="3:37" outlineLevel="3">
      <c r="C98" s="423" t="s">
        <v>988</v>
      </c>
      <c r="D98" s="1"/>
      <c r="E98" s="16" t="s">
        <v>961</v>
      </c>
      <c r="F98" s="530">
        <f t="shared" ref="F98:X98" ca="1" si="41">F97*F$6</f>
        <v>360</v>
      </c>
      <c r="G98" s="529">
        <f t="shared" ca="1" si="41"/>
        <v>720</v>
      </c>
      <c r="H98" s="529">
        <f t="shared" ca="1" si="41"/>
        <v>360</v>
      </c>
      <c r="I98" s="529">
        <f t="shared" ca="1" si="41"/>
        <v>855</v>
      </c>
      <c r="J98" s="529">
        <f t="shared" ca="1" si="41"/>
        <v>2160</v>
      </c>
      <c r="K98" s="529">
        <f t="shared" ca="1" si="41"/>
        <v>180</v>
      </c>
      <c r="L98" s="529">
        <f t="shared" ca="1" si="41"/>
        <v>1080</v>
      </c>
      <c r="M98" s="529">
        <f t="shared" ca="1" si="41"/>
        <v>450</v>
      </c>
      <c r="N98" s="529">
        <f t="shared" ca="1" si="41"/>
        <v>1440</v>
      </c>
      <c r="O98" s="529">
        <f t="shared" ca="1" si="41"/>
        <v>2880</v>
      </c>
      <c r="P98" s="529">
        <f t="shared" ca="1" si="41"/>
        <v>2070</v>
      </c>
      <c r="Q98" s="529">
        <f t="shared" ca="1" si="41"/>
        <v>720</v>
      </c>
      <c r="R98" s="529">
        <f t="shared" ca="1" si="41"/>
        <v>1080</v>
      </c>
      <c r="S98" s="529">
        <f t="shared" ca="1" si="41"/>
        <v>360</v>
      </c>
      <c r="T98" s="529">
        <f t="shared" ca="1" si="41"/>
        <v>720</v>
      </c>
      <c r="U98" s="529">
        <f t="shared" ca="1" si="41"/>
        <v>990</v>
      </c>
      <c r="V98" s="529">
        <f t="shared" si="41"/>
        <v>0</v>
      </c>
      <c r="W98" s="529">
        <f t="shared" si="41"/>
        <v>0</v>
      </c>
      <c r="X98" s="528">
        <f t="shared" si="41"/>
        <v>0</v>
      </c>
      <c r="Y98" s="422">
        <f ca="1">SUM(Y96)</f>
        <v>365</v>
      </c>
      <c r="Z98" s="255"/>
      <c r="AA98" s="527">
        <f ca="1">SUM(F98:X98)</f>
        <v>16425</v>
      </c>
      <c r="AB98" s="208"/>
      <c r="AC98" s="208"/>
      <c r="AJ98" s="1"/>
      <c r="AK98" s="1"/>
    </row>
    <row r="99" spans="3:37">
      <c r="C99" s="96" t="s">
        <v>971</v>
      </c>
      <c r="D99" s="940" t="s">
        <v>1208</v>
      </c>
      <c r="E99" s="940"/>
      <c r="F99" s="542"/>
      <c r="G99" s="542"/>
      <c r="H99" s="542"/>
      <c r="I99" s="542"/>
      <c r="J99" s="542"/>
      <c r="K99" s="542"/>
      <c r="L99" s="542"/>
      <c r="M99" s="542"/>
      <c r="N99" s="542"/>
      <c r="O99" s="542"/>
      <c r="P99" s="542"/>
      <c r="Q99" s="542"/>
      <c r="R99" s="542"/>
      <c r="S99" s="542"/>
      <c r="T99" s="542"/>
      <c r="U99" s="542"/>
      <c r="V99" s="542"/>
      <c r="W99" s="542"/>
      <c r="X99" s="542"/>
      <c r="Y99" s="437" t="s">
        <v>948</v>
      </c>
      <c r="Z99" s="92" t="s">
        <v>949</v>
      </c>
      <c r="AA99" s="541" t="s">
        <v>950</v>
      </c>
      <c r="AB99" s="208"/>
      <c r="AC99" s="208"/>
      <c r="AJ99" s="1"/>
      <c r="AK99" s="1"/>
    </row>
    <row r="100" spans="3:37">
      <c r="D100" s="75"/>
      <c r="E100" s="1" t="s">
        <v>968</v>
      </c>
      <c r="F100" s="547">
        <v>0.25</v>
      </c>
      <c r="G100" s="546">
        <v>0.25</v>
      </c>
      <c r="H100" s="546">
        <v>0.25</v>
      </c>
      <c r="I100" s="546">
        <v>0.25</v>
      </c>
      <c r="J100" s="546">
        <v>0.25</v>
      </c>
      <c r="K100" s="546">
        <v>0.5</v>
      </c>
      <c r="L100" s="546">
        <v>0.25</v>
      </c>
      <c r="M100" s="546">
        <v>0.42</v>
      </c>
      <c r="N100" s="546">
        <v>0.25</v>
      </c>
      <c r="O100" s="546">
        <v>0.25</v>
      </c>
      <c r="P100" s="546">
        <v>0.25</v>
      </c>
      <c r="Q100" s="546">
        <v>0.25</v>
      </c>
      <c r="R100" s="546">
        <v>0.25</v>
      </c>
      <c r="S100" s="546">
        <v>0.25</v>
      </c>
      <c r="T100" s="546">
        <v>0.5</v>
      </c>
      <c r="U100" s="546">
        <v>0.54</v>
      </c>
      <c r="V100" s="546"/>
      <c r="W100" s="546"/>
      <c r="X100" s="545"/>
      <c r="Y100" s="432">
        <f>SUMPRODUCT($F100:$X100,$F$6:$X$6)</f>
        <v>94.39</v>
      </c>
      <c r="Z100" s="538">
        <f>'MF Pricing'!F27</f>
        <v>60</v>
      </c>
      <c r="AA100" s="537">
        <f>Y100*Z100</f>
        <v>5663.4</v>
      </c>
      <c r="AB100" s="208"/>
      <c r="AC100" s="208"/>
      <c r="AJ100" s="1"/>
      <c r="AK100" s="1"/>
    </row>
    <row r="101" spans="3:37" outlineLevel="1">
      <c r="C101" s="423" t="s">
        <v>1184</v>
      </c>
      <c r="D101" s="1"/>
      <c r="E101" s="536" t="s">
        <v>1185</v>
      </c>
      <c r="F101" s="535">
        <f t="shared" ref="F101:X101" si="42">IF(F$6=0,0,F100*$Z$100)</f>
        <v>15</v>
      </c>
      <c r="G101" s="534">
        <f t="shared" si="42"/>
        <v>15</v>
      </c>
      <c r="H101" s="534">
        <f t="shared" si="42"/>
        <v>15</v>
      </c>
      <c r="I101" s="534">
        <f t="shared" si="42"/>
        <v>15</v>
      </c>
      <c r="J101" s="534">
        <f t="shared" si="42"/>
        <v>15</v>
      </c>
      <c r="K101" s="534">
        <f t="shared" si="42"/>
        <v>30</v>
      </c>
      <c r="L101" s="534">
        <f t="shared" si="42"/>
        <v>15</v>
      </c>
      <c r="M101" s="534">
        <f t="shared" si="42"/>
        <v>25.2</v>
      </c>
      <c r="N101" s="534">
        <f t="shared" si="42"/>
        <v>15</v>
      </c>
      <c r="O101" s="534">
        <f t="shared" si="42"/>
        <v>15</v>
      </c>
      <c r="P101" s="534">
        <f t="shared" si="42"/>
        <v>15</v>
      </c>
      <c r="Q101" s="534">
        <f t="shared" si="42"/>
        <v>15</v>
      </c>
      <c r="R101" s="534">
        <f t="shared" si="42"/>
        <v>15</v>
      </c>
      <c r="S101" s="534">
        <f t="shared" si="42"/>
        <v>15</v>
      </c>
      <c r="T101" s="534">
        <f t="shared" si="42"/>
        <v>30</v>
      </c>
      <c r="U101" s="534">
        <f t="shared" si="42"/>
        <v>32.400000000000006</v>
      </c>
      <c r="V101" s="534">
        <f t="shared" si="42"/>
        <v>0</v>
      </c>
      <c r="W101" s="534">
        <f t="shared" si="42"/>
        <v>0</v>
      </c>
      <c r="X101" s="533">
        <f t="shared" si="42"/>
        <v>0</v>
      </c>
      <c r="Y101" s="432"/>
      <c r="Z101" s="532"/>
      <c r="AA101" s="394"/>
      <c r="AB101" s="208"/>
      <c r="AC101" s="208"/>
      <c r="AJ101" s="1"/>
      <c r="AK101" s="1"/>
    </row>
    <row r="102" spans="3:37" outlineLevel="1">
      <c r="C102" s="423" t="s">
        <v>988</v>
      </c>
      <c r="D102" s="1"/>
      <c r="E102" s="16" t="s">
        <v>961</v>
      </c>
      <c r="F102" s="530">
        <f t="shared" ref="F102:X102" si="43">F101*F$6</f>
        <v>120</v>
      </c>
      <c r="G102" s="529">
        <f t="shared" si="43"/>
        <v>240</v>
      </c>
      <c r="H102" s="529">
        <f t="shared" si="43"/>
        <v>120</v>
      </c>
      <c r="I102" s="529">
        <f t="shared" si="43"/>
        <v>285</v>
      </c>
      <c r="J102" s="529">
        <f t="shared" si="43"/>
        <v>720</v>
      </c>
      <c r="K102" s="529">
        <f t="shared" si="43"/>
        <v>120</v>
      </c>
      <c r="L102" s="529">
        <f t="shared" si="43"/>
        <v>360</v>
      </c>
      <c r="M102" s="529">
        <f t="shared" si="43"/>
        <v>252</v>
      </c>
      <c r="N102" s="529">
        <f t="shared" si="43"/>
        <v>480</v>
      </c>
      <c r="O102" s="529">
        <f t="shared" si="43"/>
        <v>960</v>
      </c>
      <c r="P102" s="529">
        <f t="shared" si="43"/>
        <v>690</v>
      </c>
      <c r="Q102" s="529">
        <f t="shared" si="43"/>
        <v>240</v>
      </c>
      <c r="R102" s="529">
        <f t="shared" si="43"/>
        <v>360</v>
      </c>
      <c r="S102" s="529">
        <f t="shared" si="43"/>
        <v>120</v>
      </c>
      <c r="T102" s="529">
        <f t="shared" si="43"/>
        <v>240</v>
      </c>
      <c r="U102" s="529">
        <f t="shared" si="43"/>
        <v>356.40000000000009</v>
      </c>
      <c r="V102" s="529">
        <f t="shared" si="43"/>
        <v>0</v>
      </c>
      <c r="W102" s="529">
        <f t="shared" si="43"/>
        <v>0</v>
      </c>
      <c r="X102" s="528">
        <f t="shared" si="43"/>
        <v>0</v>
      </c>
      <c r="Y102" s="422">
        <f>SUM(Y100)</f>
        <v>94.39</v>
      </c>
      <c r="Z102" s="255"/>
      <c r="AA102" s="527">
        <f>SUM(F102:X102)</f>
        <v>5663.4</v>
      </c>
      <c r="AB102" s="208"/>
      <c r="AC102" s="208"/>
      <c r="AJ102" s="1"/>
      <c r="AK102" s="1"/>
    </row>
    <row r="103" spans="3:37" outlineLevel="1">
      <c r="C103" s="96" t="s">
        <v>972</v>
      </c>
      <c r="D103" s="940" t="s">
        <v>1209</v>
      </c>
      <c r="E103" s="940"/>
      <c r="F103" s="542"/>
      <c r="G103" s="542"/>
      <c r="H103" s="542"/>
      <c r="I103" s="542"/>
      <c r="J103" s="542"/>
      <c r="K103" s="542"/>
      <c r="L103" s="542"/>
      <c r="M103" s="542"/>
      <c r="N103" s="542"/>
      <c r="O103" s="542"/>
      <c r="P103" s="542"/>
      <c r="Q103" s="542"/>
      <c r="R103" s="542"/>
      <c r="S103" s="542"/>
      <c r="T103" s="542"/>
      <c r="U103" s="542"/>
      <c r="V103" s="542"/>
      <c r="W103" s="542"/>
      <c r="X103" s="542"/>
      <c r="Y103" s="437" t="s">
        <v>948</v>
      </c>
      <c r="Z103" s="92" t="s">
        <v>949</v>
      </c>
      <c r="AA103" s="541" t="s">
        <v>950</v>
      </c>
      <c r="AB103" s="208"/>
      <c r="AC103" s="208"/>
      <c r="AJ103" s="1"/>
      <c r="AK103" s="1"/>
    </row>
    <row r="104" spans="3:37" outlineLevel="2">
      <c r="D104" s="75"/>
      <c r="E104" s="1" t="s">
        <v>973</v>
      </c>
      <c r="F104" s="551">
        <f t="shared" ref="F104:X104" ca="1" si="44">IF(F$6=0,0,INDEX($AL$12:$AL$16,MATCH(inp_floors,$AJ$12:$AJ$16,0))*F$9)</f>
        <v>1.25</v>
      </c>
      <c r="G104" s="551">
        <f t="shared" ca="1" si="44"/>
        <v>1.25</v>
      </c>
      <c r="H104" s="551">
        <f t="shared" ca="1" si="44"/>
        <v>1.25</v>
      </c>
      <c r="I104" s="551">
        <f t="shared" ca="1" si="44"/>
        <v>1.25</v>
      </c>
      <c r="J104" s="551">
        <f t="shared" ca="1" si="44"/>
        <v>1.25</v>
      </c>
      <c r="K104" s="551">
        <f t="shared" ca="1" si="44"/>
        <v>1.25</v>
      </c>
      <c r="L104" s="551">
        <f t="shared" ca="1" si="44"/>
        <v>1.25</v>
      </c>
      <c r="M104" s="551">
        <f t="shared" ca="1" si="44"/>
        <v>1.25</v>
      </c>
      <c r="N104" s="551">
        <f t="shared" ca="1" si="44"/>
        <v>1.25</v>
      </c>
      <c r="O104" s="551">
        <f t="shared" ca="1" si="44"/>
        <v>1.25</v>
      </c>
      <c r="P104" s="551">
        <f t="shared" ca="1" si="44"/>
        <v>1.25</v>
      </c>
      <c r="Q104" s="551">
        <f t="shared" ca="1" si="44"/>
        <v>1.25</v>
      </c>
      <c r="R104" s="551">
        <f t="shared" ca="1" si="44"/>
        <v>1.25</v>
      </c>
      <c r="S104" s="551">
        <f t="shared" ca="1" si="44"/>
        <v>1.25</v>
      </c>
      <c r="T104" s="551">
        <f t="shared" ca="1" si="44"/>
        <v>2.5</v>
      </c>
      <c r="U104" s="551">
        <f t="shared" ca="1" si="44"/>
        <v>2.5</v>
      </c>
      <c r="V104" s="551">
        <f t="shared" si="44"/>
        <v>0</v>
      </c>
      <c r="W104" s="551">
        <f t="shared" si="44"/>
        <v>0</v>
      </c>
      <c r="X104" s="550">
        <f t="shared" si="44"/>
        <v>0</v>
      </c>
      <c r="Y104" s="432">
        <f ca="1">SUMPRODUCT($F104:$X104,$F$6:$X$6)</f>
        <v>456.25</v>
      </c>
      <c r="Z104" s="538">
        <f>'MF Pricing'!F29</f>
        <v>325</v>
      </c>
      <c r="AA104" s="537">
        <f ca="1">Y104*Z104/25</f>
        <v>5931.25</v>
      </c>
      <c r="AB104" s="208"/>
      <c r="AC104" s="208"/>
      <c r="AI104" t="s">
        <v>1149</v>
      </c>
      <c r="AJ104" s="319" t="s">
        <v>1210</v>
      </c>
      <c r="AK104" s="1"/>
    </row>
    <row r="105" spans="3:37" outlineLevel="2">
      <c r="C105" s="423" t="s">
        <v>1184</v>
      </c>
      <c r="D105" s="1"/>
      <c r="E105" s="536" t="s">
        <v>1185</v>
      </c>
      <c r="F105" s="535">
        <f t="shared" ref="F105:X105" ca="1" si="45">F104*$Z$104/25</f>
        <v>16.25</v>
      </c>
      <c r="G105" s="534">
        <f t="shared" ca="1" si="45"/>
        <v>16.25</v>
      </c>
      <c r="H105" s="534">
        <f t="shared" ca="1" si="45"/>
        <v>16.25</v>
      </c>
      <c r="I105" s="534">
        <f t="shared" ca="1" si="45"/>
        <v>16.25</v>
      </c>
      <c r="J105" s="534">
        <f t="shared" ca="1" si="45"/>
        <v>16.25</v>
      </c>
      <c r="K105" s="534">
        <f t="shared" ca="1" si="45"/>
        <v>16.25</v>
      </c>
      <c r="L105" s="534">
        <f t="shared" ca="1" si="45"/>
        <v>16.25</v>
      </c>
      <c r="M105" s="534">
        <f t="shared" ca="1" si="45"/>
        <v>16.25</v>
      </c>
      <c r="N105" s="534">
        <f t="shared" ca="1" si="45"/>
        <v>16.25</v>
      </c>
      <c r="O105" s="534">
        <f t="shared" ca="1" si="45"/>
        <v>16.25</v>
      </c>
      <c r="P105" s="534">
        <f t="shared" ca="1" si="45"/>
        <v>16.25</v>
      </c>
      <c r="Q105" s="534">
        <f t="shared" ca="1" si="45"/>
        <v>16.25</v>
      </c>
      <c r="R105" s="534">
        <f t="shared" ca="1" si="45"/>
        <v>16.25</v>
      </c>
      <c r="S105" s="534">
        <f t="shared" ca="1" si="45"/>
        <v>16.25</v>
      </c>
      <c r="T105" s="534">
        <f t="shared" ca="1" si="45"/>
        <v>32.5</v>
      </c>
      <c r="U105" s="534">
        <f t="shared" ca="1" si="45"/>
        <v>32.5</v>
      </c>
      <c r="V105" s="534">
        <f t="shared" si="45"/>
        <v>0</v>
      </c>
      <c r="W105" s="534">
        <f t="shared" si="45"/>
        <v>0</v>
      </c>
      <c r="X105" s="533">
        <f t="shared" si="45"/>
        <v>0</v>
      </c>
      <c r="Y105" s="432"/>
      <c r="Z105" s="532"/>
      <c r="AA105" s="394"/>
      <c r="AB105" s="208"/>
      <c r="AC105" s="208"/>
      <c r="AJ105" s="319"/>
      <c r="AK105" s="1"/>
    </row>
    <row r="106" spans="3:37" outlineLevel="2">
      <c r="C106" s="423" t="s">
        <v>988</v>
      </c>
      <c r="D106" s="1"/>
      <c r="E106" s="16" t="s">
        <v>961</v>
      </c>
      <c r="F106" s="530">
        <f t="shared" ref="F106:X106" ca="1" si="46">F105*F$6</f>
        <v>130</v>
      </c>
      <c r="G106" s="529">
        <f t="shared" ca="1" si="46"/>
        <v>260</v>
      </c>
      <c r="H106" s="529">
        <f t="shared" ca="1" si="46"/>
        <v>130</v>
      </c>
      <c r="I106" s="529">
        <f t="shared" ca="1" si="46"/>
        <v>308.75</v>
      </c>
      <c r="J106" s="529">
        <f t="shared" ca="1" si="46"/>
        <v>780</v>
      </c>
      <c r="K106" s="529">
        <f t="shared" ca="1" si="46"/>
        <v>65</v>
      </c>
      <c r="L106" s="529">
        <f t="shared" ca="1" si="46"/>
        <v>390</v>
      </c>
      <c r="M106" s="529">
        <f t="shared" ca="1" si="46"/>
        <v>162.5</v>
      </c>
      <c r="N106" s="529">
        <f t="shared" ca="1" si="46"/>
        <v>520</v>
      </c>
      <c r="O106" s="529">
        <f t="shared" ca="1" si="46"/>
        <v>1040</v>
      </c>
      <c r="P106" s="529">
        <f t="shared" ca="1" si="46"/>
        <v>747.5</v>
      </c>
      <c r="Q106" s="529">
        <f t="shared" ca="1" si="46"/>
        <v>260</v>
      </c>
      <c r="R106" s="529">
        <f t="shared" ca="1" si="46"/>
        <v>390</v>
      </c>
      <c r="S106" s="529">
        <f t="shared" ca="1" si="46"/>
        <v>130</v>
      </c>
      <c r="T106" s="529">
        <f t="shared" ca="1" si="46"/>
        <v>260</v>
      </c>
      <c r="U106" s="529">
        <f t="shared" ca="1" si="46"/>
        <v>357.5</v>
      </c>
      <c r="V106" s="529">
        <f t="shared" si="46"/>
        <v>0</v>
      </c>
      <c r="W106" s="529">
        <f t="shared" si="46"/>
        <v>0</v>
      </c>
      <c r="X106" s="528">
        <f t="shared" si="46"/>
        <v>0</v>
      </c>
      <c r="Y106" s="422">
        <f ca="1">SUM(Y104)</f>
        <v>456.25</v>
      </c>
      <c r="Z106" s="255"/>
      <c r="AA106" s="527">
        <f ca="1">SUM(F106:X106)</f>
        <v>5931.25</v>
      </c>
      <c r="AB106" s="558">
        <v>0.3</v>
      </c>
      <c r="AC106" s="557">
        <f ca="1">AA106*AB106</f>
        <v>1779.375</v>
      </c>
      <c r="AJ106" s="319"/>
      <c r="AK106" s="1"/>
    </row>
    <row r="107" spans="3:37" outlineLevel="1">
      <c r="C107" s="461" t="s">
        <v>1211</v>
      </c>
      <c r="D107" s="942" t="s">
        <v>1212</v>
      </c>
      <c r="E107" s="942"/>
      <c r="F107" s="542"/>
      <c r="G107" s="542"/>
      <c r="H107" s="542"/>
      <c r="I107" s="542"/>
      <c r="J107" s="542"/>
      <c r="K107" s="542"/>
      <c r="L107" s="542"/>
      <c r="M107" s="542"/>
      <c r="N107" s="542"/>
      <c r="O107" s="542"/>
      <c r="P107" s="542"/>
      <c r="Q107" s="542"/>
      <c r="R107" s="542"/>
      <c r="S107" s="542"/>
      <c r="T107" s="542"/>
      <c r="U107" s="542"/>
      <c r="V107" s="542"/>
      <c r="W107" s="542"/>
      <c r="X107" s="542"/>
      <c r="Y107" s="437" t="s">
        <v>948</v>
      </c>
      <c r="Z107" s="92" t="s">
        <v>949</v>
      </c>
      <c r="AA107" s="541" t="s">
        <v>950</v>
      </c>
      <c r="AB107" s="208"/>
      <c r="AC107" s="208"/>
      <c r="AJ107" s="1" t="s">
        <v>1213</v>
      </c>
      <c r="AK107" s="1"/>
    </row>
    <row r="108" spans="3:37" outlineLevel="2">
      <c r="D108" s="75"/>
      <c r="E108" s="75" t="s">
        <v>1214</v>
      </c>
      <c r="F108" s="549">
        <f t="shared" ref="F108:X108" ca="1" si="47">SUM(F$11:F$17,F$19:F$25)*inp_unitlaborrough</f>
        <v>9</v>
      </c>
      <c r="G108" s="549">
        <f t="shared" ca="1" si="47"/>
        <v>9</v>
      </c>
      <c r="H108" s="549">
        <f t="shared" ca="1" si="47"/>
        <v>9</v>
      </c>
      <c r="I108" s="549">
        <f t="shared" ca="1" si="47"/>
        <v>9</v>
      </c>
      <c r="J108" s="549">
        <f t="shared" ca="1" si="47"/>
        <v>9</v>
      </c>
      <c r="K108" s="549">
        <f t="shared" ca="1" si="47"/>
        <v>9</v>
      </c>
      <c r="L108" s="549">
        <f t="shared" ca="1" si="47"/>
        <v>9</v>
      </c>
      <c r="M108" s="549">
        <f t="shared" ca="1" si="47"/>
        <v>9</v>
      </c>
      <c r="N108" s="549">
        <f t="shared" ca="1" si="47"/>
        <v>9</v>
      </c>
      <c r="O108" s="549">
        <f t="shared" ca="1" si="47"/>
        <v>9</v>
      </c>
      <c r="P108" s="549">
        <f t="shared" ca="1" si="47"/>
        <v>9</v>
      </c>
      <c r="Q108" s="549">
        <f t="shared" ca="1" si="47"/>
        <v>9</v>
      </c>
      <c r="R108" s="549">
        <f t="shared" ca="1" si="47"/>
        <v>9</v>
      </c>
      <c r="S108" s="549">
        <f t="shared" ca="1" si="47"/>
        <v>9</v>
      </c>
      <c r="T108" s="549">
        <f t="shared" ca="1" si="47"/>
        <v>18</v>
      </c>
      <c r="U108" s="549">
        <f t="shared" ca="1" si="47"/>
        <v>18</v>
      </c>
      <c r="V108" s="549">
        <f t="shared" si="47"/>
        <v>0</v>
      </c>
      <c r="W108" s="549">
        <f t="shared" si="47"/>
        <v>0</v>
      </c>
      <c r="X108" s="61">
        <f t="shared" si="47"/>
        <v>0</v>
      </c>
      <c r="Y108" s="432">
        <f ca="1">SUMPRODUCT($F108:$X108,$F$6:$X$6)</f>
        <v>3285</v>
      </c>
      <c r="Z108" s="538">
        <f>'MF Pricing'!F226</f>
        <v>23</v>
      </c>
      <c r="AA108" s="537">
        <f ca="1">Y108*Z108</f>
        <v>75555</v>
      </c>
      <c r="AB108" s="208"/>
      <c r="AC108" s="208"/>
      <c r="AJ108" s="1">
        <f>2/5*40</f>
        <v>16</v>
      </c>
      <c r="AK108" s="1"/>
    </row>
    <row r="109" spans="3:37" outlineLevel="2">
      <c r="C109" s="423" t="s">
        <v>1215</v>
      </c>
      <c r="D109" s="1"/>
      <c r="E109" s="536" t="s">
        <v>1185</v>
      </c>
      <c r="F109" s="535">
        <f t="shared" ref="F109:X109" ca="1" si="48">F108*$Z$108</f>
        <v>207</v>
      </c>
      <c r="G109" s="534">
        <f t="shared" ca="1" si="48"/>
        <v>207</v>
      </c>
      <c r="H109" s="534">
        <f t="shared" ca="1" si="48"/>
        <v>207</v>
      </c>
      <c r="I109" s="534">
        <f t="shared" ca="1" si="48"/>
        <v>207</v>
      </c>
      <c r="J109" s="534">
        <f t="shared" ca="1" si="48"/>
        <v>207</v>
      </c>
      <c r="K109" s="534">
        <f t="shared" ca="1" si="48"/>
        <v>207</v>
      </c>
      <c r="L109" s="534">
        <f t="shared" ca="1" si="48"/>
        <v>207</v>
      </c>
      <c r="M109" s="534">
        <f t="shared" ca="1" si="48"/>
        <v>207</v>
      </c>
      <c r="N109" s="534">
        <f t="shared" ca="1" si="48"/>
        <v>207</v>
      </c>
      <c r="O109" s="534">
        <f t="shared" ca="1" si="48"/>
        <v>207</v>
      </c>
      <c r="P109" s="534">
        <f t="shared" ca="1" si="48"/>
        <v>207</v>
      </c>
      <c r="Q109" s="534">
        <f t="shared" ca="1" si="48"/>
        <v>207</v>
      </c>
      <c r="R109" s="534">
        <f t="shared" ca="1" si="48"/>
        <v>207</v>
      </c>
      <c r="S109" s="534">
        <f t="shared" ca="1" si="48"/>
        <v>207</v>
      </c>
      <c r="T109" s="534">
        <f t="shared" ca="1" si="48"/>
        <v>414</v>
      </c>
      <c r="U109" s="534">
        <f t="shared" ca="1" si="48"/>
        <v>414</v>
      </c>
      <c r="V109" s="534">
        <f t="shared" si="48"/>
        <v>0</v>
      </c>
      <c r="W109" s="534">
        <f t="shared" si="48"/>
        <v>0</v>
      </c>
      <c r="X109" s="533">
        <f t="shared" si="48"/>
        <v>0</v>
      </c>
      <c r="Y109" s="432"/>
      <c r="Z109" s="532"/>
      <c r="AA109" s="394"/>
      <c r="AB109" s="208"/>
      <c r="AC109" s="208"/>
      <c r="AJ109" s="1"/>
      <c r="AK109" s="1"/>
    </row>
    <row r="110" spans="3:37" outlineLevel="2">
      <c r="C110" s="423" t="s">
        <v>1216</v>
      </c>
      <c r="D110" s="1"/>
      <c r="E110" s="16" t="s">
        <v>961</v>
      </c>
      <c r="F110" s="530">
        <f t="shared" ref="F110:X110" ca="1" si="49">F109*F$6</f>
        <v>1656</v>
      </c>
      <c r="G110" s="529">
        <f t="shared" ca="1" si="49"/>
        <v>3312</v>
      </c>
      <c r="H110" s="529">
        <f t="shared" ca="1" si="49"/>
        <v>1656</v>
      </c>
      <c r="I110" s="529">
        <f t="shared" ca="1" si="49"/>
        <v>3933</v>
      </c>
      <c r="J110" s="529">
        <f t="shared" ca="1" si="49"/>
        <v>9936</v>
      </c>
      <c r="K110" s="529">
        <f t="shared" ca="1" si="49"/>
        <v>828</v>
      </c>
      <c r="L110" s="529">
        <f t="shared" ca="1" si="49"/>
        <v>4968</v>
      </c>
      <c r="M110" s="529">
        <f t="shared" ca="1" si="49"/>
        <v>2070</v>
      </c>
      <c r="N110" s="529">
        <f t="shared" ca="1" si="49"/>
        <v>6624</v>
      </c>
      <c r="O110" s="529">
        <f t="shared" ca="1" si="49"/>
        <v>13248</v>
      </c>
      <c r="P110" s="529">
        <f t="shared" ca="1" si="49"/>
        <v>9522</v>
      </c>
      <c r="Q110" s="529">
        <f t="shared" ca="1" si="49"/>
        <v>3312</v>
      </c>
      <c r="R110" s="529">
        <f t="shared" ca="1" si="49"/>
        <v>4968</v>
      </c>
      <c r="S110" s="529">
        <f t="shared" ca="1" si="49"/>
        <v>1656</v>
      </c>
      <c r="T110" s="529">
        <f t="shared" ca="1" si="49"/>
        <v>3312</v>
      </c>
      <c r="U110" s="529">
        <f t="shared" ca="1" si="49"/>
        <v>4554</v>
      </c>
      <c r="V110" s="529">
        <f t="shared" si="49"/>
        <v>0</v>
      </c>
      <c r="W110" s="529">
        <f t="shared" si="49"/>
        <v>0</v>
      </c>
      <c r="X110" s="528">
        <f t="shared" si="49"/>
        <v>0</v>
      </c>
      <c r="Y110" s="422">
        <f ca="1">SUM(Y108)</f>
        <v>3285</v>
      </c>
      <c r="Z110" s="255"/>
      <c r="AA110" s="527">
        <f ca="1">SUM(F110:X110)</f>
        <v>75555</v>
      </c>
      <c r="AB110" s="208"/>
      <c r="AC110" s="208"/>
      <c r="AJ110" s="1"/>
      <c r="AK110" s="1"/>
    </row>
    <row r="111" spans="3:37" outlineLevel="1">
      <c r="C111" s="461" t="s">
        <v>1217</v>
      </c>
      <c r="D111" s="942" t="s">
        <v>1218</v>
      </c>
      <c r="E111" s="942"/>
      <c r="F111" s="542"/>
      <c r="G111" s="542"/>
      <c r="H111" s="542"/>
      <c r="I111" s="542"/>
      <c r="J111" s="542"/>
      <c r="K111" s="542"/>
      <c r="L111" s="542"/>
      <c r="M111" s="542"/>
      <c r="N111" s="542"/>
      <c r="O111" s="542"/>
      <c r="P111" s="542"/>
      <c r="Q111" s="542"/>
      <c r="R111" s="542"/>
      <c r="S111" s="542"/>
      <c r="T111" s="542"/>
      <c r="U111" s="542"/>
      <c r="V111" s="542"/>
      <c r="W111" s="542"/>
      <c r="X111" s="542"/>
      <c r="Y111" s="437" t="s">
        <v>948</v>
      </c>
      <c r="Z111" s="92" t="s">
        <v>949</v>
      </c>
      <c r="AA111" s="541" t="s">
        <v>950</v>
      </c>
      <c r="AB111" s="208"/>
      <c r="AC111" s="208"/>
      <c r="AJ111" s="1">
        <f>AJ108*52</f>
        <v>832</v>
      </c>
      <c r="AK111" s="1"/>
    </row>
    <row r="112" spans="3:37" outlineLevel="1">
      <c r="D112" s="75"/>
      <c r="E112" s="75" t="s">
        <v>1214</v>
      </c>
      <c r="F112" s="549">
        <f t="shared" ref="F112:X112" ca="1" si="50">SUM(F$11:F$17,F$19:F$25)*inp_unitlabstart</f>
        <v>2.5</v>
      </c>
      <c r="G112" s="549">
        <f t="shared" ca="1" si="50"/>
        <v>2.5</v>
      </c>
      <c r="H112" s="549">
        <f t="shared" ca="1" si="50"/>
        <v>2.5</v>
      </c>
      <c r="I112" s="549">
        <f t="shared" ca="1" si="50"/>
        <v>2.5</v>
      </c>
      <c r="J112" s="549">
        <f t="shared" ca="1" si="50"/>
        <v>2.5</v>
      </c>
      <c r="K112" s="549">
        <f t="shared" ca="1" si="50"/>
        <v>2.5</v>
      </c>
      <c r="L112" s="549">
        <f t="shared" ca="1" si="50"/>
        <v>2.5</v>
      </c>
      <c r="M112" s="549">
        <f t="shared" ca="1" si="50"/>
        <v>2.5</v>
      </c>
      <c r="N112" s="549">
        <f t="shared" ca="1" si="50"/>
        <v>2.5</v>
      </c>
      <c r="O112" s="549">
        <f t="shared" ca="1" si="50"/>
        <v>2.5</v>
      </c>
      <c r="P112" s="549">
        <f t="shared" ca="1" si="50"/>
        <v>2.5</v>
      </c>
      <c r="Q112" s="549">
        <f t="shared" ca="1" si="50"/>
        <v>2.5</v>
      </c>
      <c r="R112" s="549">
        <f t="shared" ca="1" si="50"/>
        <v>2.5</v>
      </c>
      <c r="S112" s="549">
        <f t="shared" ca="1" si="50"/>
        <v>2.5</v>
      </c>
      <c r="T112" s="549">
        <f t="shared" ca="1" si="50"/>
        <v>5</v>
      </c>
      <c r="U112" s="549">
        <f t="shared" ca="1" si="50"/>
        <v>5</v>
      </c>
      <c r="V112" s="549">
        <f t="shared" si="50"/>
        <v>0</v>
      </c>
      <c r="W112" s="549">
        <f t="shared" si="50"/>
        <v>0</v>
      </c>
      <c r="X112" s="61">
        <f t="shared" si="50"/>
        <v>0</v>
      </c>
      <c r="Y112" s="432">
        <f ca="1">SUMPRODUCT($F112:$X112,$F$6:$X$6)</f>
        <v>912.5</v>
      </c>
      <c r="Z112" s="538">
        <f>'MF Pricing'!F226</f>
        <v>23</v>
      </c>
      <c r="AA112" s="537">
        <f ca="1">Y112*Z112</f>
        <v>20987.5</v>
      </c>
      <c r="AB112" s="208"/>
      <c r="AC112" s="208"/>
      <c r="AJ112" s="1">
        <f>AJ111*0.85</f>
        <v>707.19999999999993</v>
      </c>
      <c r="AK112" s="1"/>
    </row>
    <row r="113" spans="2:37" outlineLevel="1">
      <c r="C113" s="423" t="s">
        <v>1215</v>
      </c>
      <c r="D113" s="1"/>
      <c r="E113" s="536" t="s">
        <v>1185</v>
      </c>
      <c r="F113" s="535">
        <f t="shared" ref="F113:X113" ca="1" si="51">F112*$Z$112</f>
        <v>57.5</v>
      </c>
      <c r="G113" s="534">
        <f t="shared" ca="1" si="51"/>
        <v>57.5</v>
      </c>
      <c r="H113" s="534">
        <f t="shared" ca="1" si="51"/>
        <v>57.5</v>
      </c>
      <c r="I113" s="534">
        <f t="shared" ca="1" si="51"/>
        <v>57.5</v>
      </c>
      <c r="J113" s="534">
        <f t="shared" ca="1" si="51"/>
        <v>57.5</v>
      </c>
      <c r="K113" s="534">
        <f t="shared" ca="1" si="51"/>
        <v>57.5</v>
      </c>
      <c r="L113" s="534">
        <f t="shared" ca="1" si="51"/>
        <v>57.5</v>
      </c>
      <c r="M113" s="534">
        <f t="shared" ca="1" si="51"/>
        <v>57.5</v>
      </c>
      <c r="N113" s="534">
        <f t="shared" ca="1" si="51"/>
        <v>57.5</v>
      </c>
      <c r="O113" s="534">
        <f t="shared" ca="1" si="51"/>
        <v>57.5</v>
      </c>
      <c r="P113" s="534">
        <f t="shared" ca="1" si="51"/>
        <v>57.5</v>
      </c>
      <c r="Q113" s="534">
        <f t="shared" ca="1" si="51"/>
        <v>57.5</v>
      </c>
      <c r="R113" s="534">
        <f t="shared" ca="1" si="51"/>
        <v>57.5</v>
      </c>
      <c r="S113" s="534">
        <f t="shared" ca="1" si="51"/>
        <v>57.5</v>
      </c>
      <c r="T113" s="534">
        <f t="shared" ca="1" si="51"/>
        <v>115</v>
      </c>
      <c r="U113" s="534">
        <f t="shared" ca="1" si="51"/>
        <v>115</v>
      </c>
      <c r="V113" s="534">
        <f t="shared" si="51"/>
        <v>0</v>
      </c>
      <c r="W113" s="534">
        <f t="shared" si="51"/>
        <v>0</v>
      </c>
      <c r="X113" s="533">
        <f t="shared" si="51"/>
        <v>0</v>
      </c>
      <c r="Y113" s="432"/>
      <c r="Z113" s="532"/>
      <c r="AA113" s="394"/>
      <c r="AB113" s="208"/>
      <c r="AC113" s="208"/>
      <c r="AJ113" s="1"/>
      <c r="AK113" s="1"/>
    </row>
    <row r="114" spans="2:37" outlineLevel="1">
      <c r="C114" s="423" t="s">
        <v>1216</v>
      </c>
      <c r="D114" s="1"/>
      <c r="E114" s="16" t="s">
        <v>961</v>
      </c>
      <c r="F114" s="530">
        <f t="shared" ref="F114:X114" ca="1" si="52">F113*F$6</f>
        <v>460</v>
      </c>
      <c r="G114" s="529">
        <f t="shared" ca="1" si="52"/>
        <v>920</v>
      </c>
      <c r="H114" s="529">
        <f t="shared" ca="1" si="52"/>
        <v>460</v>
      </c>
      <c r="I114" s="529">
        <f t="shared" ca="1" si="52"/>
        <v>1092.5</v>
      </c>
      <c r="J114" s="529">
        <f t="shared" ca="1" si="52"/>
        <v>2760</v>
      </c>
      <c r="K114" s="529">
        <f t="shared" ca="1" si="52"/>
        <v>230</v>
      </c>
      <c r="L114" s="529">
        <f t="shared" ca="1" si="52"/>
        <v>1380</v>
      </c>
      <c r="M114" s="529">
        <f t="shared" ca="1" si="52"/>
        <v>575</v>
      </c>
      <c r="N114" s="529">
        <f t="shared" ca="1" si="52"/>
        <v>1840</v>
      </c>
      <c r="O114" s="529">
        <f t="shared" ca="1" si="52"/>
        <v>3680</v>
      </c>
      <c r="P114" s="529">
        <f t="shared" ca="1" si="52"/>
        <v>2645</v>
      </c>
      <c r="Q114" s="529">
        <f t="shared" ca="1" si="52"/>
        <v>920</v>
      </c>
      <c r="R114" s="529">
        <f t="shared" ca="1" si="52"/>
        <v>1380</v>
      </c>
      <c r="S114" s="529">
        <f t="shared" ca="1" si="52"/>
        <v>460</v>
      </c>
      <c r="T114" s="529">
        <f t="shared" ca="1" si="52"/>
        <v>920</v>
      </c>
      <c r="U114" s="529">
        <f t="shared" ca="1" si="52"/>
        <v>1265</v>
      </c>
      <c r="V114" s="529">
        <f t="shared" si="52"/>
        <v>0</v>
      </c>
      <c r="W114" s="529">
        <f t="shared" si="52"/>
        <v>0</v>
      </c>
      <c r="X114" s="528">
        <f t="shared" si="52"/>
        <v>0</v>
      </c>
      <c r="Y114" s="422">
        <f ca="1">SUM(Y112)</f>
        <v>912.5</v>
      </c>
      <c r="Z114" s="255"/>
      <c r="AA114" s="527">
        <f ca="1">SUM(F114:X114)</f>
        <v>20987.5</v>
      </c>
      <c r="AB114" s="208"/>
      <c r="AC114" s="208"/>
      <c r="AJ114" s="1"/>
      <c r="AK114" s="1"/>
    </row>
    <row r="115" spans="2:37" outlineLevel="1">
      <c r="B115" s="438" t="s">
        <v>622</v>
      </c>
      <c r="C115" s="462" t="s">
        <v>437</v>
      </c>
      <c r="D115" s="940" t="s">
        <v>1219</v>
      </c>
      <c r="E115" s="940"/>
      <c r="F115" s="542"/>
      <c r="G115" s="542"/>
      <c r="H115" s="542"/>
      <c r="I115" s="542"/>
      <c r="J115" s="542"/>
      <c r="K115" s="542"/>
      <c r="L115" s="542"/>
      <c r="M115" s="542"/>
      <c r="N115" s="542"/>
      <c r="O115" s="542"/>
      <c r="P115" s="542"/>
      <c r="Q115" s="542"/>
      <c r="R115" s="542"/>
      <c r="S115" s="542"/>
      <c r="T115" s="542"/>
      <c r="U115" s="542"/>
      <c r="V115" s="542"/>
      <c r="W115" s="542"/>
      <c r="X115" s="542"/>
      <c r="Y115" s="437" t="s">
        <v>948</v>
      </c>
      <c r="Z115" s="92" t="s">
        <v>949</v>
      </c>
      <c r="AA115" s="541" t="s">
        <v>950</v>
      </c>
      <c r="AB115" s="208"/>
      <c r="AC115" s="208"/>
      <c r="AI115" s="16" t="s">
        <v>1220</v>
      </c>
      <c r="AJ115" s="35">
        <f>AJ112/335</f>
        <v>2.1110447761194027</v>
      </c>
      <c r="AK115" s="1"/>
    </row>
    <row r="116" spans="2:37" outlineLevel="2">
      <c r="D116" s="75"/>
      <c r="E116" s="75" t="s">
        <v>968</v>
      </c>
      <c r="F116" s="575">
        <f t="shared" ref="F116:X116" ca="1" si="53">F9</f>
        <v>1</v>
      </c>
      <c r="G116" s="575">
        <f t="shared" ca="1" si="53"/>
        <v>1</v>
      </c>
      <c r="H116" s="575">
        <f t="shared" ca="1" si="53"/>
        <v>1</v>
      </c>
      <c r="I116" s="575">
        <f t="shared" ca="1" si="53"/>
        <v>1</v>
      </c>
      <c r="J116" s="575">
        <f t="shared" ca="1" si="53"/>
        <v>1</v>
      </c>
      <c r="K116" s="575">
        <f t="shared" ca="1" si="53"/>
        <v>1</v>
      </c>
      <c r="L116" s="575">
        <f t="shared" ca="1" si="53"/>
        <v>1</v>
      </c>
      <c r="M116" s="575">
        <f t="shared" ca="1" si="53"/>
        <v>1</v>
      </c>
      <c r="N116" s="575">
        <f t="shared" ca="1" si="53"/>
        <v>1</v>
      </c>
      <c r="O116" s="575">
        <f t="shared" ca="1" si="53"/>
        <v>1</v>
      </c>
      <c r="P116" s="575">
        <f t="shared" ca="1" si="53"/>
        <v>1</v>
      </c>
      <c r="Q116" s="575">
        <f t="shared" ca="1" si="53"/>
        <v>1</v>
      </c>
      <c r="R116" s="575">
        <f t="shared" ca="1" si="53"/>
        <v>1</v>
      </c>
      <c r="S116" s="575">
        <f t="shared" ca="1" si="53"/>
        <v>1</v>
      </c>
      <c r="T116" s="575">
        <f t="shared" ca="1" si="53"/>
        <v>2</v>
      </c>
      <c r="U116" s="575">
        <f t="shared" ca="1" si="53"/>
        <v>2</v>
      </c>
      <c r="V116" s="575">
        <f t="shared" ca="1" si="53"/>
        <v>0</v>
      </c>
      <c r="W116" s="575">
        <f t="shared" ca="1" si="53"/>
        <v>0</v>
      </c>
      <c r="X116" s="62">
        <f t="shared" ca="1" si="53"/>
        <v>0</v>
      </c>
      <c r="Y116" s="432">
        <f ca="1">SUMPRODUCT($F116:$X116,$F$6:$X$6)</f>
        <v>365</v>
      </c>
      <c r="Z116" s="538">
        <f>'MF Pricing'!F33</f>
        <v>32</v>
      </c>
      <c r="AA116" s="537">
        <f ca="1">Y116*Z116</f>
        <v>11680</v>
      </c>
      <c r="AB116" s="208"/>
      <c r="AC116" s="208"/>
      <c r="AJ116" s="1"/>
      <c r="AK116" s="1"/>
    </row>
    <row r="117" spans="2:37" outlineLevel="2">
      <c r="C117" s="423" t="s">
        <v>1184</v>
      </c>
      <c r="D117" s="1"/>
      <c r="E117" s="536" t="s">
        <v>1185</v>
      </c>
      <c r="F117" s="535">
        <f t="shared" ref="F117:X117" ca="1" si="54">IF(F$6=0,0,F116*$Z$116)</f>
        <v>32</v>
      </c>
      <c r="G117" s="534">
        <f t="shared" ca="1" si="54"/>
        <v>32</v>
      </c>
      <c r="H117" s="534">
        <f t="shared" ca="1" si="54"/>
        <v>32</v>
      </c>
      <c r="I117" s="534">
        <f t="shared" ca="1" si="54"/>
        <v>32</v>
      </c>
      <c r="J117" s="534">
        <f t="shared" ca="1" si="54"/>
        <v>32</v>
      </c>
      <c r="K117" s="534">
        <f t="shared" ca="1" si="54"/>
        <v>32</v>
      </c>
      <c r="L117" s="534">
        <f t="shared" ca="1" si="54"/>
        <v>32</v>
      </c>
      <c r="M117" s="534">
        <f t="shared" ca="1" si="54"/>
        <v>32</v>
      </c>
      <c r="N117" s="534">
        <f t="shared" ca="1" si="54"/>
        <v>32</v>
      </c>
      <c r="O117" s="534">
        <f t="shared" ca="1" si="54"/>
        <v>32</v>
      </c>
      <c r="P117" s="534">
        <f t="shared" ca="1" si="54"/>
        <v>32</v>
      </c>
      <c r="Q117" s="534">
        <f t="shared" ca="1" si="54"/>
        <v>32</v>
      </c>
      <c r="R117" s="534">
        <f t="shared" ca="1" si="54"/>
        <v>32</v>
      </c>
      <c r="S117" s="534">
        <f t="shared" ca="1" si="54"/>
        <v>32</v>
      </c>
      <c r="T117" s="534">
        <f t="shared" ca="1" si="54"/>
        <v>64</v>
      </c>
      <c r="U117" s="534">
        <f t="shared" ca="1" si="54"/>
        <v>64</v>
      </c>
      <c r="V117" s="534">
        <f t="shared" si="54"/>
        <v>0</v>
      </c>
      <c r="W117" s="534">
        <f t="shared" si="54"/>
        <v>0</v>
      </c>
      <c r="X117" s="533">
        <f t="shared" si="54"/>
        <v>0</v>
      </c>
      <c r="Y117" s="432"/>
      <c r="Z117" s="532"/>
      <c r="AA117" s="394"/>
      <c r="AB117" s="208"/>
      <c r="AC117" s="208"/>
      <c r="AJ117" s="1"/>
      <c r="AK117" s="1"/>
    </row>
    <row r="118" spans="2:37" outlineLevel="2">
      <c r="C118" s="423" t="s">
        <v>988</v>
      </c>
      <c r="D118" s="1"/>
      <c r="E118" s="16" t="s">
        <v>961</v>
      </c>
      <c r="F118" s="530">
        <f t="shared" ref="F118:X118" ca="1" si="55">F117*F$6</f>
        <v>256</v>
      </c>
      <c r="G118" s="529">
        <f t="shared" ca="1" si="55"/>
        <v>512</v>
      </c>
      <c r="H118" s="529">
        <f t="shared" ca="1" si="55"/>
        <v>256</v>
      </c>
      <c r="I118" s="529">
        <f t="shared" ca="1" si="55"/>
        <v>608</v>
      </c>
      <c r="J118" s="529">
        <f t="shared" ca="1" si="55"/>
        <v>1536</v>
      </c>
      <c r="K118" s="529">
        <f t="shared" ca="1" si="55"/>
        <v>128</v>
      </c>
      <c r="L118" s="529">
        <f t="shared" ca="1" si="55"/>
        <v>768</v>
      </c>
      <c r="M118" s="529">
        <f t="shared" ca="1" si="55"/>
        <v>320</v>
      </c>
      <c r="N118" s="529">
        <f t="shared" ca="1" si="55"/>
        <v>1024</v>
      </c>
      <c r="O118" s="529">
        <f t="shared" ca="1" si="55"/>
        <v>2048</v>
      </c>
      <c r="P118" s="529">
        <f t="shared" ca="1" si="55"/>
        <v>1472</v>
      </c>
      <c r="Q118" s="529">
        <f t="shared" ca="1" si="55"/>
        <v>512</v>
      </c>
      <c r="R118" s="529">
        <f t="shared" ca="1" si="55"/>
        <v>768</v>
      </c>
      <c r="S118" s="529">
        <f t="shared" ca="1" si="55"/>
        <v>256</v>
      </c>
      <c r="T118" s="529">
        <f t="shared" ca="1" si="55"/>
        <v>512</v>
      </c>
      <c r="U118" s="529">
        <f t="shared" ca="1" si="55"/>
        <v>704</v>
      </c>
      <c r="V118" s="529">
        <f t="shared" si="55"/>
        <v>0</v>
      </c>
      <c r="W118" s="529">
        <f t="shared" si="55"/>
        <v>0</v>
      </c>
      <c r="X118" s="528">
        <f t="shared" si="55"/>
        <v>0</v>
      </c>
      <c r="Y118" s="422">
        <f ca="1">SUM(Y116)</f>
        <v>365</v>
      </c>
      <c r="Z118" s="255"/>
      <c r="AA118" s="527">
        <f ca="1">SUM(F118:X118)</f>
        <v>11680</v>
      </c>
      <c r="AB118" s="208"/>
      <c r="AC118" s="208"/>
      <c r="AJ118" s="1"/>
      <c r="AK118" s="1"/>
    </row>
    <row r="119" spans="2:37" outlineLevel="1">
      <c r="C119" s="461" t="s">
        <v>440</v>
      </c>
      <c r="D119" s="940" t="s">
        <v>1221</v>
      </c>
      <c r="E119" s="940"/>
      <c r="F119" s="542"/>
      <c r="G119" s="542"/>
      <c r="H119" s="542"/>
      <c r="I119" s="542"/>
      <c r="J119" s="542"/>
      <c r="K119" s="542"/>
      <c r="L119" s="542"/>
      <c r="M119" s="542"/>
      <c r="N119" s="542"/>
      <c r="O119" s="542"/>
      <c r="P119" s="542"/>
      <c r="Q119" s="542"/>
      <c r="R119" s="542"/>
      <c r="S119" s="542"/>
      <c r="T119" s="542"/>
      <c r="U119" s="542"/>
      <c r="V119" s="542"/>
      <c r="W119" s="542"/>
      <c r="X119" s="542"/>
      <c r="Y119" s="437" t="s">
        <v>948</v>
      </c>
      <c r="Z119" s="92" t="s">
        <v>949</v>
      </c>
      <c r="AA119" s="541" t="s">
        <v>950</v>
      </c>
      <c r="AB119" s="208"/>
      <c r="AC119" s="208"/>
      <c r="AJ119" s="1"/>
      <c r="AK119" s="1"/>
    </row>
    <row r="120" spans="2:37" outlineLevel="2">
      <c r="D120" s="75"/>
      <c r="E120" s="75" t="s">
        <v>968</v>
      </c>
      <c r="F120" s="575">
        <f t="shared" ref="F120:X120" ca="1" si="56">IF(F$6=0,0,F80+F76+inp_statwire)</f>
        <v>57</v>
      </c>
      <c r="G120" s="575">
        <f t="shared" ca="1" si="56"/>
        <v>57</v>
      </c>
      <c r="H120" s="575">
        <f t="shared" ca="1" si="56"/>
        <v>57</v>
      </c>
      <c r="I120" s="575">
        <f t="shared" ca="1" si="56"/>
        <v>57</v>
      </c>
      <c r="J120" s="575">
        <f t="shared" ca="1" si="56"/>
        <v>60.2</v>
      </c>
      <c r="K120" s="575">
        <f t="shared" ca="1" si="56"/>
        <v>60.2</v>
      </c>
      <c r="L120" s="575">
        <f t="shared" ca="1" si="56"/>
        <v>60.2</v>
      </c>
      <c r="M120" s="575">
        <f t="shared" ca="1" si="56"/>
        <v>60.2</v>
      </c>
      <c r="N120" s="575">
        <f t="shared" ca="1" si="56"/>
        <v>60.2</v>
      </c>
      <c r="O120" s="575">
        <f t="shared" ca="1" si="56"/>
        <v>60.2</v>
      </c>
      <c r="P120" s="575">
        <f t="shared" ca="1" si="56"/>
        <v>60.2</v>
      </c>
      <c r="Q120" s="575">
        <f t="shared" ca="1" si="56"/>
        <v>60.2</v>
      </c>
      <c r="R120" s="575">
        <f t="shared" ca="1" si="56"/>
        <v>60.2</v>
      </c>
      <c r="S120" s="575">
        <f t="shared" ca="1" si="56"/>
        <v>60.2</v>
      </c>
      <c r="T120" s="575">
        <f t="shared" ca="1" si="56"/>
        <v>95.4</v>
      </c>
      <c r="U120" s="575">
        <f t="shared" ca="1" si="56"/>
        <v>95.4</v>
      </c>
      <c r="V120" s="575">
        <f t="shared" si="56"/>
        <v>0</v>
      </c>
      <c r="W120" s="575">
        <f t="shared" si="56"/>
        <v>0</v>
      </c>
      <c r="X120" s="62">
        <f t="shared" si="56"/>
        <v>0</v>
      </c>
      <c r="Y120" s="432">
        <f ca="1">SUMPRODUCT($F120:$X120,$F$6:$X$6)</f>
        <v>21334.800000000003</v>
      </c>
      <c r="Z120" s="538">
        <f>'MF Pricing'!F39</f>
        <v>70</v>
      </c>
      <c r="AA120" s="537">
        <f ca="1">Y120*Z120/250</f>
        <v>5973.7440000000006</v>
      </c>
      <c r="AB120" s="208"/>
      <c r="AC120" s="208"/>
      <c r="AK120" s="1"/>
    </row>
    <row r="121" spans="2:37" outlineLevel="2">
      <c r="C121" s="423" t="s">
        <v>1184</v>
      </c>
      <c r="D121" s="1"/>
      <c r="E121" s="536" t="s">
        <v>1185</v>
      </c>
      <c r="F121" s="535">
        <f t="shared" ref="F121:X121" ca="1" si="57">F120*$Z$120/250</f>
        <v>15.96</v>
      </c>
      <c r="G121" s="534">
        <f t="shared" ca="1" si="57"/>
        <v>15.96</v>
      </c>
      <c r="H121" s="534">
        <f t="shared" ca="1" si="57"/>
        <v>15.96</v>
      </c>
      <c r="I121" s="534">
        <f t="shared" ca="1" si="57"/>
        <v>15.96</v>
      </c>
      <c r="J121" s="534">
        <f t="shared" ca="1" si="57"/>
        <v>16.856000000000002</v>
      </c>
      <c r="K121" s="534">
        <f t="shared" ca="1" si="57"/>
        <v>16.856000000000002</v>
      </c>
      <c r="L121" s="534">
        <f t="shared" ca="1" si="57"/>
        <v>16.856000000000002</v>
      </c>
      <c r="M121" s="534">
        <f t="shared" ca="1" si="57"/>
        <v>16.856000000000002</v>
      </c>
      <c r="N121" s="534">
        <f t="shared" ca="1" si="57"/>
        <v>16.856000000000002</v>
      </c>
      <c r="O121" s="534">
        <f t="shared" ca="1" si="57"/>
        <v>16.856000000000002</v>
      </c>
      <c r="P121" s="534">
        <f t="shared" ca="1" si="57"/>
        <v>16.856000000000002</v>
      </c>
      <c r="Q121" s="534">
        <f t="shared" ca="1" si="57"/>
        <v>16.856000000000002</v>
      </c>
      <c r="R121" s="534">
        <f t="shared" ca="1" si="57"/>
        <v>16.856000000000002</v>
      </c>
      <c r="S121" s="534">
        <f t="shared" ca="1" si="57"/>
        <v>16.856000000000002</v>
      </c>
      <c r="T121" s="534">
        <f t="shared" ca="1" si="57"/>
        <v>26.712</v>
      </c>
      <c r="U121" s="534">
        <f t="shared" ca="1" si="57"/>
        <v>26.712</v>
      </c>
      <c r="V121" s="534">
        <f t="shared" si="57"/>
        <v>0</v>
      </c>
      <c r="W121" s="534">
        <f t="shared" si="57"/>
        <v>0</v>
      </c>
      <c r="X121" s="533">
        <f t="shared" si="57"/>
        <v>0</v>
      </c>
      <c r="Y121" s="432"/>
      <c r="Z121" s="532"/>
      <c r="AA121" s="394"/>
      <c r="AB121" s="208"/>
      <c r="AC121" s="208"/>
      <c r="AK121" s="1"/>
    </row>
    <row r="122" spans="2:37" outlineLevel="2">
      <c r="C122" s="423" t="s">
        <v>988</v>
      </c>
      <c r="D122" s="1"/>
      <c r="E122" s="16" t="s">
        <v>961</v>
      </c>
      <c r="F122" s="530">
        <f t="shared" ref="F122:X122" ca="1" si="58">F121*F$6</f>
        <v>127.68</v>
      </c>
      <c r="G122" s="529">
        <f t="shared" ca="1" si="58"/>
        <v>255.36</v>
      </c>
      <c r="H122" s="529">
        <f t="shared" ca="1" si="58"/>
        <v>127.68</v>
      </c>
      <c r="I122" s="529">
        <f t="shared" ca="1" si="58"/>
        <v>303.24</v>
      </c>
      <c r="J122" s="529">
        <f t="shared" ca="1" si="58"/>
        <v>809.08800000000008</v>
      </c>
      <c r="K122" s="529">
        <f t="shared" ca="1" si="58"/>
        <v>67.424000000000007</v>
      </c>
      <c r="L122" s="529">
        <f t="shared" ca="1" si="58"/>
        <v>404.54400000000004</v>
      </c>
      <c r="M122" s="529">
        <f t="shared" ca="1" si="58"/>
        <v>168.56</v>
      </c>
      <c r="N122" s="529">
        <f t="shared" ca="1" si="58"/>
        <v>539.39200000000005</v>
      </c>
      <c r="O122" s="529">
        <f t="shared" ca="1" si="58"/>
        <v>1078.7840000000001</v>
      </c>
      <c r="P122" s="529">
        <f t="shared" ca="1" si="58"/>
        <v>775.37600000000009</v>
      </c>
      <c r="Q122" s="529">
        <f t="shared" ca="1" si="58"/>
        <v>269.69600000000003</v>
      </c>
      <c r="R122" s="529">
        <f t="shared" ca="1" si="58"/>
        <v>404.54400000000004</v>
      </c>
      <c r="S122" s="529">
        <f t="shared" ca="1" si="58"/>
        <v>134.84800000000001</v>
      </c>
      <c r="T122" s="529">
        <f t="shared" ca="1" si="58"/>
        <v>213.696</v>
      </c>
      <c r="U122" s="529">
        <f t="shared" ca="1" si="58"/>
        <v>293.83199999999999</v>
      </c>
      <c r="V122" s="529">
        <f t="shared" si="58"/>
        <v>0</v>
      </c>
      <c r="W122" s="529">
        <f t="shared" si="58"/>
        <v>0</v>
      </c>
      <c r="X122" s="528">
        <f t="shared" si="58"/>
        <v>0</v>
      </c>
      <c r="Y122" s="422">
        <f ca="1">SUM(Y120)</f>
        <v>21334.800000000003</v>
      </c>
      <c r="Z122" s="255"/>
      <c r="AA122" s="527">
        <f ca="1">SUM(F122:X122)</f>
        <v>5973.7439999999997</v>
      </c>
      <c r="AB122" s="558">
        <v>0.2</v>
      </c>
      <c r="AC122" s="557">
        <f ca="1">AA122*AB122</f>
        <v>1194.7488000000001</v>
      </c>
      <c r="AK122" s="1"/>
    </row>
    <row r="123" spans="2:37" outlineLevel="1">
      <c r="C123" s="461" t="s">
        <v>974</v>
      </c>
      <c r="D123" s="940" t="s">
        <v>1222</v>
      </c>
      <c r="E123" s="940"/>
      <c r="F123" s="542"/>
      <c r="G123" s="542"/>
      <c r="H123" s="542"/>
      <c r="I123" s="542"/>
      <c r="J123" s="542"/>
      <c r="K123" s="542"/>
      <c r="L123" s="542"/>
      <c r="M123" s="542"/>
      <c r="N123" s="542"/>
      <c r="O123" s="542"/>
      <c r="P123" s="542"/>
      <c r="Q123" s="542"/>
      <c r="R123" s="542"/>
      <c r="S123" s="542"/>
      <c r="T123" s="542"/>
      <c r="U123" s="542"/>
      <c r="V123" s="542"/>
      <c r="W123" s="542"/>
      <c r="X123" s="542"/>
      <c r="Y123" s="437" t="s">
        <v>948</v>
      </c>
      <c r="Z123" s="92" t="s">
        <v>949</v>
      </c>
      <c r="AA123" s="541" t="s">
        <v>950</v>
      </c>
      <c r="AB123" s="208"/>
      <c r="AC123" s="208"/>
      <c r="AK123" s="1"/>
    </row>
    <row r="124" spans="2:37" outlineLevel="2">
      <c r="D124" s="101"/>
      <c r="E124" s="101" t="s">
        <v>968</v>
      </c>
      <c r="F124" s="551">
        <f t="shared" ref="F124:X124" ca="1" si="59">F9</f>
        <v>1</v>
      </c>
      <c r="G124" s="551">
        <f t="shared" ca="1" si="59"/>
        <v>1</v>
      </c>
      <c r="H124" s="551">
        <f t="shared" ca="1" si="59"/>
        <v>1</v>
      </c>
      <c r="I124" s="551">
        <f t="shared" ca="1" si="59"/>
        <v>1</v>
      </c>
      <c r="J124" s="551">
        <f t="shared" ca="1" si="59"/>
        <v>1</v>
      </c>
      <c r="K124" s="551">
        <f t="shared" ca="1" si="59"/>
        <v>1</v>
      </c>
      <c r="L124" s="551">
        <f t="shared" ca="1" si="59"/>
        <v>1</v>
      </c>
      <c r="M124" s="551">
        <f t="shared" ca="1" si="59"/>
        <v>1</v>
      </c>
      <c r="N124" s="551">
        <f t="shared" ca="1" si="59"/>
        <v>1</v>
      </c>
      <c r="O124" s="551">
        <f t="shared" ca="1" si="59"/>
        <v>1</v>
      </c>
      <c r="P124" s="551">
        <f t="shared" ca="1" si="59"/>
        <v>1</v>
      </c>
      <c r="Q124" s="551">
        <f t="shared" ca="1" si="59"/>
        <v>1</v>
      </c>
      <c r="R124" s="551">
        <f t="shared" ca="1" si="59"/>
        <v>1</v>
      </c>
      <c r="S124" s="551">
        <f t="shared" ca="1" si="59"/>
        <v>1</v>
      </c>
      <c r="T124" s="551">
        <f t="shared" ca="1" si="59"/>
        <v>2</v>
      </c>
      <c r="U124" s="551">
        <f t="shared" ca="1" si="59"/>
        <v>2</v>
      </c>
      <c r="V124" s="551">
        <f t="shared" ca="1" si="59"/>
        <v>0</v>
      </c>
      <c r="W124" s="551">
        <f t="shared" ca="1" si="59"/>
        <v>0</v>
      </c>
      <c r="X124" s="550">
        <f t="shared" ca="1" si="59"/>
        <v>0</v>
      </c>
      <c r="Y124" s="432">
        <f ca="1">SUMPRODUCT($F124:$X124,$F$6:$X$6)</f>
        <v>365</v>
      </c>
      <c r="Z124" s="538">
        <f>'MF Pricing'!F41</f>
        <v>0.5</v>
      </c>
      <c r="AA124" s="537">
        <f ca="1">Y124*Z124</f>
        <v>182.5</v>
      </c>
      <c r="AB124" s="208"/>
      <c r="AC124" s="208"/>
      <c r="AK124" s="1"/>
    </row>
    <row r="125" spans="2:37" outlineLevel="2">
      <c r="C125" s="423" t="s">
        <v>1184</v>
      </c>
      <c r="D125" s="1"/>
      <c r="E125" s="536" t="s">
        <v>1185</v>
      </c>
      <c r="F125" s="535">
        <f t="shared" ref="F125:X125" ca="1" si="60">IF(F$6=0,0,F124*$Z$124)</f>
        <v>0.5</v>
      </c>
      <c r="G125" s="534">
        <f t="shared" ca="1" si="60"/>
        <v>0.5</v>
      </c>
      <c r="H125" s="534">
        <f t="shared" ca="1" si="60"/>
        <v>0.5</v>
      </c>
      <c r="I125" s="534">
        <f t="shared" ca="1" si="60"/>
        <v>0.5</v>
      </c>
      <c r="J125" s="534">
        <f t="shared" ca="1" si="60"/>
        <v>0.5</v>
      </c>
      <c r="K125" s="534">
        <f t="shared" ca="1" si="60"/>
        <v>0.5</v>
      </c>
      <c r="L125" s="534">
        <f t="shared" ca="1" si="60"/>
        <v>0.5</v>
      </c>
      <c r="M125" s="534">
        <f t="shared" ca="1" si="60"/>
        <v>0.5</v>
      </c>
      <c r="N125" s="534">
        <f t="shared" ca="1" si="60"/>
        <v>0.5</v>
      </c>
      <c r="O125" s="534">
        <f t="shared" ca="1" si="60"/>
        <v>0.5</v>
      </c>
      <c r="P125" s="534">
        <f t="shared" ca="1" si="60"/>
        <v>0.5</v>
      </c>
      <c r="Q125" s="534">
        <f t="shared" ca="1" si="60"/>
        <v>0.5</v>
      </c>
      <c r="R125" s="534">
        <f t="shared" ca="1" si="60"/>
        <v>0.5</v>
      </c>
      <c r="S125" s="534">
        <f t="shared" ca="1" si="60"/>
        <v>0.5</v>
      </c>
      <c r="T125" s="534">
        <f t="shared" ca="1" si="60"/>
        <v>1</v>
      </c>
      <c r="U125" s="534">
        <f t="shared" ca="1" si="60"/>
        <v>1</v>
      </c>
      <c r="V125" s="534">
        <f t="shared" si="60"/>
        <v>0</v>
      </c>
      <c r="W125" s="534">
        <f t="shared" si="60"/>
        <v>0</v>
      </c>
      <c r="X125" s="533">
        <f t="shared" si="60"/>
        <v>0</v>
      </c>
      <c r="Y125" s="432"/>
      <c r="Z125" s="532"/>
      <c r="AA125" s="394"/>
      <c r="AB125" s="208"/>
      <c r="AC125" s="208"/>
      <c r="AK125" s="1"/>
    </row>
    <row r="126" spans="2:37" outlineLevel="2">
      <c r="C126" s="423" t="s">
        <v>988</v>
      </c>
      <c r="D126" s="1"/>
      <c r="E126" s="16" t="s">
        <v>961</v>
      </c>
      <c r="F126" s="530">
        <f t="shared" ref="F126:X126" ca="1" si="61">F125*F$6</f>
        <v>4</v>
      </c>
      <c r="G126" s="529">
        <f t="shared" ca="1" si="61"/>
        <v>8</v>
      </c>
      <c r="H126" s="529">
        <f t="shared" ca="1" si="61"/>
        <v>4</v>
      </c>
      <c r="I126" s="529">
        <f t="shared" ca="1" si="61"/>
        <v>9.5</v>
      </c>
      <c r="J126" s="529">
        <f t="shared" ca="1" si="61"/>
        <v>24</v>
      </c>
      <c r="K126" s="529">
        <f t="shared" ca="1" si="61"/>
        <v>2</v>
      </c>
      <c r="L126" s="529">
        <f t="shared" ca="1" si="61"/>
        <v>12</v>
      </c>
      <c r="M126" s="529">
        <f t="shared" ca="1" si="61"/>
        <v>5</v>
      </c>
      <c r="N126" s="529">
        <f t="shared" ca="1" si="61"/>
        <v>16</v>
      </c>
      <c r="O126" s="529">
        <f t="shared" ca="1" si="61"/>
        <v>32</v>
      </c>
      <c r="P126" s="529">
        <f t="shared" ca="1" si="61"/>
        <v>23</v>
      </c>
      <c r="Q126" s="529">
        <f t="shared" ca="1" si="61"/>
        <v>8</v>
      </c>
      <c r="R126" s="529">
        <f t="shared" ca="1" si="61"/>
        <v>12</v>
      </c>
      <c r="S126" s="529">
        <f t="shared" ca="1" si="61"/>
        <v>4</v>
      </c>
      <c r="T126" s="529">
        <f t="shared" ca="1" si="61"/>
        <v>8</v>
      </c>
      <c r="U126" s="529">
        <f t="shared" ca="1" si="61"/>
        <v>11</v>
      </c>
      <c r="V126" s="529">
        <f t="shared" si="61"/>
        <v>0</v>
      </c>
      <c r="W126" s="529">
        <f t="shared" si="61"/>
        <v>0</v>
      </c>
      <c r="X126" s="528">
        <f t="shared" si="61"/>
        <v>0</v>
      </c>
      <c r="Y126" s="422">
        <f ca="1">SUM(Y124)</f>
        <v>365</v>
      </c>
      <c r="Z126" s="255"/>
      <c r="AA126" s="527">
        <f ca="1">SUM(F126:X126)</f>
        <v>182.5</v>
      </c>
      <c r="AB126" s="208"/>
      <c r="AC126" s="208"/>
      <c r="AK126" s="1"/>
    </row>
    <row r="127" spans="2:37" outlineLevel="1">
      <c r="C127" s="461" t="s">
        <v>975</v>
      </c>
      <c r="D127" s="940" t="s">
        <v>1223</v>
      </c>
      <c r="E127" s="940"/>
      <c r="F127" s="542"/>
      <c r="G127" s="542"/>
      <c r="H127" s="542"/>
      <c r="I127" s="542"/>
      <c r="J127" s="542"/>
      <c r="K127" s="542"/>
      <c r="L127" s="542"/>
      <c r="M127" s="542"/>
      <c r="N127" s="542"/>
      <c r="O127" s="542"/>
      <c r="P127" s="542"/>
      <c r="Q127" s="542"/>
      <c r="R127" s="542"/>
      <c r="S127" s="542"/>
      <c r="T127" s="542"/>
      <c r="U127" s="542"/>
      <c r="V127" s="542"/>
      <c r="W127" s="542"/>
      <c r="X127" s="542"/>
      <c r="Y127" s="437" t="s">
        <v>948</v>
      </c>
      <c r="Z127" s="92" t="s">
        <v>949</v>
      </c>
      <c r="AA127" s="541" t="s">
        <v>950</v>
      </c>
      <c r="AB127" s="208"/>
      <c r="AC127" s="208"/>
      <c r="AK127" s="1"/>
    </row>
    <row r="128" spans="2:37" outlineLevel="1">
      <c r="D128" s="101"/>
      <c r="E128" s="101" t="s">
        <v>968</v>
      </c>
      <c r="F128" s="551">
        <f t="shared" ref="F128:X128" ca="1" si="62">F9</f>
        <v>1</v>
      </c>
      <c r="G128" s="551">
        <f t="shared" ca="1" si="62"/>
        <v>1</v>
      </c>
      <c r="H128" s="551">
        <f t="shared" ca="1" si="62"/>
        <v>1</v>
      </c>
      <c r="I128" s="551">
        <f t="shared" ca="1" si="62"/>
        <v>1</v>
      </c>
      <c r="J128" s="551">
        <f t="shared" ca="1" si="62"/>
        <v>1</v>
      </c>
      <c r="K128" s="551">
        <f t="shared" ca="1" si="62"/>
        <v>1</v>
      </c>
      <c r="L128" s="551">
        <f t="shared" ca="1" si="62"/>
        <v>1</v>
      </c>
      <c r="M128" s="551">
        <f t="shared" ca="1" si="62"/>
        <v>1</v>
      </c>
      <c r="N128" s="551">
        <f t="shared" ca="1" si="62"/>
        <v>1</v>
      </c>
      <c r="O128" s="551">
        <f t="shared" ca="1" si="62"/>
        <v>1</v>
      </c>
      <c r="P128" s="551">
        <f t="shared" ca="1" si="62"/>
        <v>1</v>
      </c>
      <c r="Q128" s="551">
        <f t="shared" ca="1" si="62"/>
        <v>1</v>
      </c>
      <c r="R128" s="551">
        <f t="shared" ca="1" si="62"/>
        <v>1</v>
      </c>
      <c r="S128" s="551">
        <f t="shared" ca="1" si="62"/>
        <v>1</v>
      </c>
      <c r="T128" s="551">
        <f t="shared" ca="1" si="62"/>
        <v>2</v>
      </c>
      <c r="U128" s="551">
        <f t="shared" ca="1" si="62"/>
        <v>2</v>
      </c>
      <c r="V128" s="551">
        <f t="shared" ca="1" si="62"/>
        <v>0</v>
      </c>
      <c r="W128" s="551">
        <f t="shared" ca="1" si="62"/>
        <v>0</v>
      </c>
      <c r="X128" s="550">
        <f t="shared" ca="1" si="62"/>
        <v>0</v>
      </c>
      <c r="Y128" s="432">
        <f ca="1">SUMPRODUCT($F128:$X128,$F$6:$X$6)</f>
        <v>365</v>
      </c>
      <c r="Z128" s="538">
        <f>'MF Pricing'!F43</f>
        <v>119</v>
      </c>
      <c r="AA128" s="537">
        <f ca="1">Y128*Z128</f>
        <v>43435</v>
      </c>
      <c r="AB128" s="208"/>
      <c r="AC128" s="208"/>
      <c r="AK128" s="1"/>
    </row>
    <row r="129" spans="2:37" outlineLevel="1">
      <c r="C129" s="423" t="s">
        <v>1184</v>
      </c>
      <c r="D129" s="1"/>
      <c r="E129" s="536" t="s">
        <v>1185</v>
      </c>
      <c r="F129" s="535">
        <f t="shared" ref="F129:X129" ca="1" si="63">IF(F$6=0,0,F128*$Z128)</f>
        <v>119</v>
      </c>
      <c r="G129" s="534">
        <f t="shared" ca="1" si="63"/>
        <v>119</v>
      </c>
      <c r="H129" s="534">
        <f t="shared" ca="1" si="63"/>
        <v>119</v>
      </c>
      <c r="I129" s="534">
        <f t="shared" ca="1" si="63"/>
        <v>119</v>
      </c>
      <c r="J129" s="534">
        <f t="shared" ca="1" si="63"/>
        <v>119</v>
      </c>
      <c r="K129" s="534">
        <f t="shared" ca="1" si="63"/>
        <v>119</v>
      </c>
      <c r="L129" s="534">
        <f t="shared" ca="1" si="63"/>
        <v>119</v>
      </c>
      <c r="M129" s="534">
        <f t="shared" ca="1" si="63"/>
        <v>119</v>
      </c>
      <c r="N129" s="534">
        <f t="shared" ca="1" si="63"/>
        <v>119</v>
      </c>
      <c r="O129" s="534">
        <f t="shared" ca="1" si="63"/>
        <v>119</v>
      </c>
      <c r="P129" s="534">
        <f t="shared" ca="1" si="63"/>
        <v>119</v>
      </c>
      <c r="Q129" s="534">
        <f t="shared" ca="1" si="63"/>
        <v>119</v>
      </c>
      <c r="R129" s="534">
        <f t="shared" ca="1" si="63"/>
        <v>119</v>
      </c>
      <c r="S129" s="534">
        <f t="shared" ca="1" si="63"/>
        <v>119</v>
      </c>
      <c r="T129" s="534">
        <f t="shared" ca="1" si="63"/>
        <v>238</v>
      </c>
      <c r="U129" s="534">
        <f t="shared" ca="1" si="63"/>
        <v>238</v>
      </c>
      <c r="V129" s="534">
        <f t="shared" si="63"/>
        <v>0</v>
      </c>
      <c r="W129" s="534">
        <f t="shared" si="63"/>
        <v>0</v>
      </c>
      <c r="X129" s="533">
        <f t="shared" si="63"/>
        <v>0</v>
      </c>
      <c r="Y129" s="432"/>
      <c r="Z129" s="532"/>
      <c r="AA129" s="394"/>
      <c r="AB129" s="208"/>
      <c r="AC129" s="208"/>
      <c r="AK129" s="1"/>
    </row>
    <row r="130" spans="2:37" outlineLevel="1">
      <c r="C130" s="423" t="s">
        <v>988</v>
      </c>
      <c r="D130" s="1"/>
      <c r="E130" s="16" t="s">
        <v>961</v>
      </c>
      <c r="F130" s="530">
        <f t="shared" ref="F130:X130" ca="1" si="64">F129*F$6</f>
        <v>952</v>
      </c>
      <c r="G130" s="529">
        <f t="shared" ca="1" si="64"/>
        <v>1904</v>
      </c>
      <c r="H130" s="529">
        <f t="shared" ca="1" si="64"/>
        <v>952</v>
      </c>
      <c r="I130" s="529">
        <f t="shared" ca="1" si="64"/>
        <v>2261</v>
      </c>
      <c r="J130" s="529">
        <f t="shared" ca="1" si="64"/>
        <v>5712</v>
      </c>
      <c r="K130" s="529">
        <f t="shared" ca="1" si="64"/>
        <v>476</v>
      </c>
      <c r="L130" s="529">
        <f t="shared" ca="1" si="64"/>
        <v>2856</v>
      </c>
      <c r="M130" s="529">
        <f t="shared" ca="1" si="64"/>
        <v>1190</v>
      </c>
      <c r="N130" s="529">
        <f t="shared" ca="1" si="64"/>
        <v>3808</v>
      </c>
      <c r="O130" s="529">
        <f t="shared" ca="1" si="64"/>
        <v>7616</v>
      </c>
      <c r="P130" s="529">
        <f t="shared" ca="1" si="64"/>
        <v>5474</v>
      </c>
      <c r="Q130" s="529">
        <f t="shared" ca="1" si="64"/>
        <v>1904</v>
      </c>
      <c r="R130" s="529">
        <f t="shared" ca="1" si="64"/>
        <v>2856</v>
      </c>
      <c r="S130" s="529">
        <f t="shared" ca="1" si="64"/>
        <v>952</v>
      </c>
      <c r="T130" s="529">
        <f t="shared" ca="1" si="64"/>
        <v>1904</v>
      </c>
      <c r="U130" s="529">
        <f t="shared" ca="1" si="64"/>
        <v>2618</v>
      </c>
      <c r="V130" s="529">
        <f t="shared" si="64"/>
        <v>0</v>
      </c>
      <c r="W130" s="529">
        <f t="shared" si="64"/>
        <v>0</v>
      </c>
      <c r="X130" s="528">
        <f t="shared" si="64"/>
        <v>0</v>
      </c>
      <c r="Y130" s="422">
        <f ca="1">SUM(Y128)</f>
        <v>365</v>
      </c>
      <c r="Z130" s="255"/>
      <c r="AA130" s="527">
        <f ca="1">SUM(F130:X130)</f>
        <v>43435</v>
      </c>
      <c r="AB130" s="208"/>
      <c r="AC130" s="208"/>
      <c r="AK130" s="1"/>
    </row>
    <row r="131" spans="2:37" outlineLevel="1">
      <c r="B131" s="438" t="s">
        <v>976</v>
      </c>
      <c r="C131" s="462" t="s">
        <v>491</v>
      </c>
      <c r="D131" s="940" t="s">
        <v>1224</v>
      </c>
      <c r="E131" s="940"/>
      <c r="F131" s="542"/>
      <c r="G131" s="542"/>
      <c r="H131" s="542"/>
      <c r="I131" s="542"/>
      <c r="J131" s="542"/>
      <c r="K131" s="542"/>
      <c r="L131" s="542"/>
      <c r="M131" s="542"/>
      <c r="N131" s="542"/>
      <c r="O131" s="542"/>
      <c r="P131" s="542"/>
      <c r="Q131" s="542"/>
      <c r="R131" s="542"/>
      <c r="S131" s="542"/>
      <c r="T131" s="542"/>
      <c r="U131" s="542"/>
      <c r="V131" s="542"/>
      <c r="W131" s="542"/>
      <c r="X131" s="542"/>
      <c r="Y131" s="437" t="s">
        <v>948</v>
      </c>
      <c r="Z131" s="92" t="s">
        <v>949</v>
      </c>
      <c r="AA131" s="541" t="s">
        <v>950</v>
      </c>
      <c r="AB131" s="208"/>
      <c r="AC131" s="208"/>
    </row>
    <row r="132" spans="2:37" outlineLevel="2">
      <c r="B132" s="438" t="s">
        <v>977</v>
      </c>
      <c r="D132" s="75"/>
      <c r="E132" s="75" t="s">
        <v>968</v>
      </c>
      <c r="F132" s="575">
        <f t="shared" ref="F132:X132" ca="1" si="65">F9</f>
        <v>1</v>
      </c>
      <c r="G132" s="575">
        <f t="shared" ca="1" si="65"/>
        <v>1</v>
      </c>
      <c r="H132" s="575">
        <f t="shared" ca="1" si="65"/>
        <v>1</v>
      </c>
      <c r="I132" s="575">
        <f t="shared" ca="1" si="65"/>
        <v>1</v>
      </c>
      <c r="J132" s="575">
        <f t="shared" ca="1" si="65"/>
        <v>1</v>
      </c>
      <c r="K132" s="575">
        <f t="shared" ca="1" si="65"/>
        <v>1</v>
      </c>
      <c r="L132" s="575">
        <f t="shared" ca="1" si="65"/>
        <v>1</v>
      </c>
      <c r="M132" s="575">
        <f t="shared" ca="1" si="65"/>
        <v>1</v>
      </c>
      <c r="N132" s="575">
        <f t="shared" ca="1" si="65"/>
        <v>1</v>
      </c>
      <c r="O132" s="575">
        <f t="shared" ca="1" si="65"/>
        <v>1</v>
      </c>
      <c r="P132" s="575">
        <f t="shared" ca="1" si="65"/>
        <v>1</v>
      </c>
      <c r="Q132" s="575">
        <f t="shared" ca="1" si="65"/>
        <v>1</v>
      </c>
      <c r="R132" s="575">
        <f t="shared" ca="1" si="65"/>
        <v>1</v>
      </c>
      <c r="S132" s="575">
        <f t="shared" ca="1" si="65"/>
        <v>1</v>
      </c>
      <c r="T132" s="575">
        <f t="shared" ca="1" si="65"/>
        <v>2</v>
      </c>
      <c r="U132" s="575">
        <f t="shared" ca="1" si="65"/>
        <v>2</v>
      </c>
      <c r="V132" s="575">
        <f t="shared" ca="1" si="65"/>
        <v>0</v>
      </c>
      <c r="W132" s="575">
        <f t="shared" ca="1" si="65"/>
        <v>0</v>
      </c>
      <c r="X132" s="62">
        <f t="shared" ca="1" si="65"/>
        <v>0</v>
      </c>
      <c r="Y132" s="432">
        <f ca="1">SUMPRODUCT($F132:$X132,$F$6:$X$6)</f>
        <v>365</v>
      </c>
      <c r="Z132" s="538">
        <f>'MF Pricing'!F49</f>
        <v>14</v>
      </c>
      <c r="AA132" s="537">
        <f ca="1">Y132*Z132</f>
        <v>5110</v>
      </c>
      <c r="AB132" s="208"/>
      <c r="AC132" s="208"/>
    </row>
    <row r="133" spans="2:37" outlineLevel="2">
      <c r="C133" s="423" t="s">
        <v>1184</v>
      </c>
      <c r="D133" s="1"/>
      <c r="E133" s="536" t="s">
        <v>1185</v>
      </c>
      <c r="F133" s="535">
        <f t="shared" ref="F133:X133" ca="1" si="66">IF(F$6=0,0,F132*$Z132)</f>
        <v>14</v>
      </c>
      <c r="G133" s="534">
        <f t="shared" ca="1" si="66"/>
        <v>14</v>
      </c>
      <c r="H133" s="534">
        <f t="shared" ca="1" si="66"/>
        <v>14</v>
      </c>
      <c r="I133" s="534">
        <f t="shared" ca="1" si="66"/>
        <v>14</v>
      </c>
      <c r="J133" s="534">
        <f t="shared" ca="1" si="66"/>
        <v>14</v>
      </c>
      <c r="K133" s="534">
        <f t="shared" ca="1" si="66"/>
        <v>14</v>
      </c>
      <c r="L133" s="534">
        <f t="shared" ca="1" si="66"/>
        <v>14</v>
      </c>
      <c r="M133" s="534">
        <f t="shared" ca="1" si="66"/>
        <v>14</v>
      </c>
      <c r="N133" s="534">
        <f t="shared" ca="1" si="66"/>
        <v>14</v>
      </c>
      <c r="O133" s="534">
        <f t="shared" ca="1" si="66"/>
        <v>14</v>
      </c>
      <c r="P133" s="534">
        <f t="shared" ca="1" si="66"/>
        <v>14</v>
      </c>
      <c r="Q133" s="534">
        <f t="shared" ca="1" si="66"/>
        <v>14</v>
      </c>
      <c r="R133" s="534">
        <f t="shared" ca="1" si="66"/>
        <v>14</v>
      </c>
      <c r="S133" s="534">
        <f t="shared" ca="1" si="66"/>
        <v>14</v>
      </c>
      <c r="T133" s="534">
        <f t="shared" ca="1" si="66"/>
        <v>28</v>
      </c>
      <c r="U133" s="534">
        <f t="shared" ca="1" si="66"/>
        <v>28</v>
      </c>
      <c r="V133" s="534">
        <f t="shared" si="66"/>
        <v>0</v>
      </c>
      <c r="W133" s="534">
        <f t="shared" si="66"/>
        <v>0</v>
      </c>
      <c r="X133" s="533">
        <f t="shared" si="66"/>
        <v>0</v>
      </c>
      <c r="Y133" s="432"/>
      <c r="Z133" s="532"/>
      <c r="AA133" s="394"/>
      <c r="AB133" s="208"/>
      <c r="AC133" s="208"/>
    </row>
    <row r="134" spans="2:37" outlineLevel="2">
      <c r="C134" s="423" t="s">
        <v>988</v>
      </c>
      <c r="D134" s="1"/>
      <c r="E134" s="16" t="s">
        <v>961</v>
      </c>
      <c r="F134" s="530">
        <f t="shared" ref="F134:X134" ca="1" si="67">F133*F$6</f>
        <v>112</v>
      </c>
      <c r="G134" s="529">
        <f t="shared" ca="1" si="67"/>
        <v>224</v>
      </c>
      <c r="H134" s="529">
        <f t="shared" ca="1" si="67"/>
        <v>112</v>
      </c>
      <c r="I134" s="529">
        <f t="shared" ca="1" si="67"/>
        <v>266</v>
      </c>
      <c r="J134" s="529">
        <f t="shared" ca="1" si="67"/>
        <v>672</v>
      </c>
      <c r="K134" s="529">
        <f t="shared" ca="1" si="67"/>
        <v>56</v>
      </c>
      <c r="L134" s="529">
        <f t="shared" ca="1" si="67"/>
        <v>336</v>
      </c>
      <c r="M134" s="529">
        <f t="shared" ca="1" si="67"/>
        <v>140</v>
      </c>
      <c r="N134" s="529">
        <f t="shared" ca="1" si="67"/>
        <v>448</v>
      </c>
      <c r="O134" s="529">
        <f t="shared" ca="1" si="67"/>
        <v>896</v>
      </c>
      <c r="P134" s="529">
        <f t="shared" ca="1" si="67"/>
        <v>644</v>
      </c>
      <c r="Q134" s="529">
        <f t="shared" ca="1" si="67"/>
        <v>224</v>
      </c>
      <c r="R134" s="529">
        <f t="shared" ca="1" si="67"/>
        <v>336</v>
      </c>
      <c r="S134" s="529">
        <f t="shared" ca="1" si="67"/>
        <v>112</v>
      </c>
      <c r="T134" s="529">
        <f t="shared" ca="1" si="67"/>
        <v>224</v>
      </c>
      <c r="U134" s="529">
        <f t="shared" ca="1" si="67"/>
        <v>308</v>
      </c>
      <c r="V134" s="529">
        <f t="shared" si="67"/>
        <v>0</v>
      </c>
      <c r="W134" s="529">
        <f t="shared" si="67"/>
        <v>0</v>
      </c>
      <c r="X134" s="528">
        <f t="shared" si="67"/>
        <v>0</v>
      </c>
      <c r="Y134" s="422">
        <f ca="1">SUM(Y132)</f>
        <v>365</v>
      </c>
      <c r="Z134" s="255"/>
      <c r="AA134" s="527">
        <f ca="1">SUM(F134:X134)</f>
        <v>5110</v>
      </c>
      <c r="AB134" s="208"/>
      <c r="AC134" s="208"/>
    </row>
    <row r="135" spans="2:37" outlineLevel="1">
      <c r="C135" s="461" t="s">
        <v>976</v>
      </c>
      <c r="D135" s="940" t="s">
        <v>1225</v>
      </c>
      <c r="E135" s="940"/>
      <c r="F135" s="542"/>
      <c r="G135" s="542"/>
      <c r="H135" s="542"/>
      <c r="I135" s="542"/>
      <c r="J135" s="542"/>
      <c r="K135" s="542"/>
      <c r="L135" s="542"/>
      <c r="M135" s="542"/>
      <c r="N135" s="542"/>
      <c r="O135" s="542"/>
      <c r="P135" s="542"/>
      <c r="Q135" s="542"/>
      <c r="R135" s="542"/>
      <c r="S135" s="542"/>
      <c r="T135" s="542"/>
      <c r="U135" s="542"/>
      <c r="V135" s="542"/>
      <c r="W135" s="542"/>
      <c r="X135" s="542"/>
      <c r="Y135" s="437" t="s">
        <v>948</v>
      </c>
      <c r="Z135" s="92" t="s">
        <v>949</v>
      </c>
      <c r="AA135" s="541" t="s">
        <v>950</v>
      </c>
      <c r="AB135" s="208"/>
      <c r="AC135" s="208"/>
    </row>
    <row r="136" spans="2:37" outlineLevel="2">
      <c r="D136" s="101" t="s">
        <v>529</v>
      </c>
      <c r="E136" s="101" t="s">
        <v>686</v>
      </c>
      <c r="F136" s="551">
        <f t="shared" ref="F136:X136" ca="1" si="68">IF(F$6=0,0,F$9*inp_condlen)</f>
        <v>7</v>
      </c>
      <c r="G136" s="551">
        <f t="shared" ca="1" si="68"/>
        <v>7</v>
      </c>
      <c r="H136" s="551">
        <f t="shared" ca="1" si="68"/>
        <v>7</v>
      </c>
      <c r="I136" s="551">
        <f t="shared" ca="1" si="68"/>
        <v>7</v>
      </c>
      <c r="J136" s="551">
        <f t="shared" ca="1" si="68"/>
        <v>7</v>
      </c>
      <c r="K136" s="551">
        <f t="shared" ca="1" si="68"/>
        <v>7</v>
      </c>
      <c r="L136" s="551">
        <f t="shared" ca="1" si="68"/>
        <v>7</v>
      </c>
      <c r="M136" s="551">
        <f t="shared" ca="1" si="68"/>
        <v>7</v>
      </c>
      <c r="N136" s="551">
        <f t="shared" ca="1" si="68"/>
        <v>7</v>
      </c>
      <c r="O136" s="551">
        <f t="shared" ca="1" si="68"/>
        <v>7</v>
      </c>
      <c r="P136" s="551">
        <f t="shared" ca="1" si="68"/>
        <v>7</v>
      </c>
      <c r="Q136" s="551">
        <f t="shared" ca="1" si="68"/>
        <v>7</v>
      </c>
      <c r="R136" s="551">
        <f t="shared" ca="1" si="68"/>
        <v>7</v>
      </c>
      <c r="S136" s="551">
        <f t="shared" ca="1" si="68"/>
        <v>7</v>
      </c>
      <c r="T136" s="551">
        <f t="shared" ca="1" si="68"/>
        <v>14</v>
      </c>
      <c r="U136" s="551">
        <f t="shared" ca="1" si="68"/>
        <v>14</v>
      </c>
      <c r="V136" s="551">
        <f t="shared" si="68"/>
        <v>0</v>
      </c>
      <c r="W136" s="551">
        <f t="shared" si="68"/>
        <v>0</v>
      </c>
      <c r="X136" s="550">
        <f t="shared" si="68"/>
        <v>0</v>
      </c>
      <c r="Y136" s="432">
        <f ca="1">SUMPRODUCT($F136:$X136,$F$6:$X$6)</f>
        <v>2555</v>
      </c>
      <c r="Z136" s="538">
        <f>'MF Pricing'!F51</f>
        <v>6.5</v>
      </c>
      <c r="AA136" s="537">
        <f ca="1">Y136*Z136/10</f>
        <v>1660.75</v>
      </c>
      <c r="AB136" s="208"/>
      <c r="AC136" s="208"/>
    </row>
    <row r="137" spans="2:37" outlineLevel="2">
      <c r="C137" s="423" t="s">
        <v>1184</v>
      </c>
      <c r="D137" s="1"/>
      <c r="E137" s="536" t="s">
        <v>1185</v>
      </c>
      <c r="F137" s="535">
        <f t="shared" ref="F137:X137" ca="1" si="69">F136*$Z136/10</f>
        <v>4.55</v>
      </c>
      <c r="G137" s="534">
        <f t="shared" ca="1" si="69"/>
        <v>4.55</v>
      </c>
      <c r="H137" s="534">
        <f t="shared" ca="1" si="69"/>
        <v>4.55</v>
      </c>
      <c r="I137" s="534">
        <f t="shared" ca="1" si="69"/>
        <v>4.55</v>
      </c>
      <c r="J137" s="534">
        <f t="shared" ca="1" si="69"/>
        <v>4.55</v>
      </c>
      <c r="K137" s="534">
        <f t="shared" ca="1" si="69"/>
        <v>4.55</v>
      </c>
      <c r="L137" s="534">
        <f t="shared" ca="1" si="69"/>
        <v>4.55</v>
      </c>
      <c r="M137" s="534">
        <f t="shared" ca="1" si="69"/>
        <v>4.55</v>
      </c>
      <c r="N137" s="534">
        <f t="shared" ca="1" si="69"/>
        <v>4.55</v>
      </c>
      <c r="O137" s="534">
        <f t="shared" ca="1" si="69"/>
        <v>4.55</v>
      </c>
      <c r="P137" s="534">
        <f t="shared" ca="1" si="69"/>
        <v>4.55</v>
      </c>
      <c r="Q137" s="534">
        <f t="shared" ca="1" si="69"/>
        <v>4.55</v>
      </c>
      <c r="R137" s="534">
        <f t="shared" ca="1" si="69"/>
        <v>4.55</v>
      </c>
      <c r="S137" s="534">
        <f t="shared" ca="1" si="69"/>
        <v>4.55</v>
      </c>
      <c r="T137" s="534">
        <f t="shared" ca="1" si="69"/>
        <v>9.1</v>
      </c>
      <c r="U137" s="534">
        <f t="shared" ca="1" si="69"/>
        <v>9.1</v>
      </c>
      <c r="V137" s="534">
        <f t="shared" si="69"/>
        <v>0</v>
      </c>
      <c r="W137" s="534">
        <f t="shared" si="69"/>
        <v>0</v>
      </c>
      <c r="X137" s="533">
        <f t="shared" si="69"/>
        <v>0</v>
      </c>
      <c r="Y137" s="432"/>
      <c r="Z137" s="532"/>
      <c r="AA137" s="394"/>
      <c r="AB137" s="208"/>
      <c r="AC137" s="208"/>
    </row>
    <row r="138" spans="2:37" outlineLevel="2">
      <c r="C138" s="423" t="s">
        <v>988</v>
      </c>
      <c r="D138" s="1"/>
      <c r="E138" s="16" t="s">
        <v>961</v>
      </c>
      <c r="F138" s="530">
        <f t="shared" ref="F138:X138" ca="1" si="70">F137*F$6</f>
        <v>36.4</v>
      </c>
      <c r="G138" s="529">
        <f t="shared" ca="1" si="70"/>
        <v>72.8</v>
      </c>
      <c r="H138" s="529">
        <f t="shared" ca="1" si="70"/>
        <v>36.4</v>
      </c>
      <c r="I138" s="529">
        <f t="shared" ca="1" si="70"/>
        <v>86.45</v>
      </c>
      <c r="J138" s="529">
        <f t="shared" ca="1" si="70"/>
        <v>218.39999999999998</v>
      </c>
      <c r="K138" s="529">
        <f t="shared" ca="1" si="70"/>
        <v>18.2</v>
      </c>
      <c r="L138" s="529">
        <f t="shared" ca="1" si="70"/>
        <v>109.19999999999999</v>
      </c>
      <c r="M138" s="529">
        <f t="shared" ca="1" si="70"/>
        <v>45.5</v>
      </c>
      <c r="N138" s="529">
        <f t="shared" ca="1" si="70"/>
        <v>145.6</v>
      </c>
      <c r="O138" s="529">
        <f t="shared" ca="1" si="70"/>
        <v>291.2</v>
      </c>
      <c r="P138" s="529">
        <f t="shared" ca="1" si="70"/>
        <v>209.29999999999998</v>
      </c>
      <c r="Q138" s="529">
        <f t="shared" ca="1" si="70"/>
        <v>72.8</v>
      </c>
      <c r="R138" s="529">
        <f t="shared" ca="1" si="70"/>
        <v>109.19999999999999</v>
      </c>
      <c r="S138" s="529">
        <f t="shared" ca="1" si="70"/>
        <v>36.4</v>
      </c>
      <c r="T138" s="529">
        <f t="shared" ca="1" si="70"/>
        <v>72.8</v>
      </c>
      <c r="U138" s="529">
        <f t="shared" ca="1" si="70"/>
        <v>100.1</v>
      </c>
      <c r="V138" s="529">
        <f t="shared" si="70"/>
        <v>0</v>
      </c>
      <c r="W138" s="529">
        <f t="shared" si="70"/>
        <v>0</v>
      </c>
      <c r="X138" s="528">
        <f t="shared" si="70"/>
        <v>0</v>
      </c>
      <c r="Y138" s="422">
        <f ca="1">SUM(Y136)</f>
        <v>2555</v>
      </c>
      <c r="Z138" s="255"/>
      <c r="AA138" s="527">
        <f ca="1">SUM(F138:X138)</f>
        <v>1660.7499999999998</v>
      </c>
      <c r="AB138" s="208"/>
      <c r="AC138" s="208"/>
    </row>
    <row r="139" spans="2:37" outlineLevel="1">
      <c r="C139" s="461" t="s">
        <v>978</v>
      </c>
      <c r="D139" s="940" t="s">
        <v>1226</v>
      </c>
      <c r="E139" s="940"/>
      <c r="F139" s="542"/>
      <c r="G139" s="542"/>
      <c r="H139" s="542"/>
      <c r="I139" s="542"/>
      <c r="J139" s="542"/>
      <c r="K139" s="542"/>
      <c r="L139" s="542"/>
      <c r="M139" s="542"/>
      <c r="N139" s="542"/>
      <c r="O139" s="542"/>
      <c r="P139" s="542"/>
      <c r="Q139" s="542"/>
      <c r="R139" s="542"/>
      <c r="S139" s="542"/>
      <c r="T139" s="542"/>
      <c r="U139" s="542"/>
      <c r="V139" s="542"/>
      <c r="W139" s="542"/>
      <c r="X139" s="542"/>
      <c r="Y139" s="437" t="s">
        <v>948</v>
      </c>
      <c r="Z139" s="92" t="s">
        <v>949</v>
      </c>
      <c r="AA139" s="541" t="s">
        <v>950</v>
      </c>
      <c r="AB139" s="208"/>
      <c r="AC139" s="208"/>
    </row>
    <row r="140" spans="2:37" outlineLevel="2">
      <c r="D140" s="101" t="s">
        <v>529</v>
      </c>
      <c r="E140" s="101" t="s">
        <v>968</v>
      </c>
      <c r="F140" s="551">
        <f t="shared" ref="F140:X140" ca="1" si="71">IF(F$6=0,0,F$9*inp_fittings)</f>
        <v>5</v>
      </c>
      <c r="G140" s="551">
        <f t="shared" ca="1" si="71"/>
        <v>5</v>
      </c>
      <c r="H140" s="551">
        <f t="shared" ca="1" si="71"/>
        <v>5</v>
      </c>
      <c r="I140" s="551">
        <f t="shared" ca="1" si="71"/>
        <v>5</v>
      </c>
      <c r="J140" s="551">
        <f t="shared" ca="1" si="71"/>
        <v>5</v>
      </c>
      <c r="K140" s="551">
        <f t="shared" ca="1" si="71"/>
        <v>5</v>
      </c>
      <c r="L140" s="551">
        <f t="shared" ca="1" si="71"/>
        <v>5</v>
      </c>
      <c r="M140" s="551">
        <f t="shared" ca="1" si="71"/>
        <v>5</v>
      </c>
      <c r="N140" s="551">
        <f t="shared" ca="1" si="71"/>
        <v>5</v>
      </c>
      <c r="O140" s="551">
        <f t="shared" ca="1" si="71"/>
        <v>5</v>
      </c>
      <c r="P140" s="551">
        <f t="shared" ca="1" si="71"/>
        <v>5</v>
      </c>
      <c r="Q140" s="551">
        <f t="shared" ca="1" si="71"/>
        <v>5</v>
      </c>
      <c r="R140" s="551">
        <f t="shared" ca="1" si="71"/>
        <v>5</v>
      </c>
      <c r="S140" s="551">
        <f t="shared" ca="1" si="71"/>
        <v>5</v>
      </c>
      <c r="T140" s="551">
        <f t="shared" ca="1" si="71"/>
        <v>10</v>
      </c>
      <c r="U140" s="551">
        <f t="shared" ca="1" si="71"/>
        <v>10</v>
      </c>
      <c r="V140" s="551">
        <f t="shared" si="71"/>
        <v>0</v>
      </c>
      <c r="W140" s="551">
        <f t="shared" si="71"/>
        <v>0</v>
      </c>
      <c r="X140" s="550">
        <f t="shared" si="71"/>
        <v>0</v>
      </c>
      <c r="Y140" s="432">
        <f ca="1">SUMPRODUCT($F140:$X140,$F$6:$X$6)</f>
        <v>1825</v>
      </c>
      <c r="Z140" s="538">
        <f>'MF Pricing'!F53</f>
        <v>0.25</v>
      </c>
      <c r="AA140" s="537">
        <f ca="1">Y140*Z140</f>
        <v>456.25</v>
      </c>
      <c r="AB140" s="208"/>
      <c r="AC140" s="208"/>
    </row>
    <row r="141" spans="2:37" outlineLevel="2">
      <c r="C141" s="423" t="s">
        <v>1184</v>
      </c>
      <c r="D141" s="1"/>
      <c r="E141" s="536" t="s">
        <v>1185</v>
      </c>
      <c r="F141" s="535">
        <f t="shared" ref="F141:X141" ca="1" si="72">F140*$Z140</f>
        <v>1.25</v>
      </c>
      <c r="G141" s="534">
        <f t="shared" ca="1" si="72"/>
        <v>1.25</v>
      </c>
      <c r="H141" s="534">
        <f t="shared" ca="1" si="72"/>
        <v>1.25</v>
      </c>
      <c r="I141" s="534">
        <f t="shared" ca="1" si="72"/>
        <v>1.25</v>
      </c>
      <c r="J141" s="534">
        <f t="shared" ca="1" si="72"/>
        <v>1.25</v>
      </c>
      <c r="K141" s="534">
        <f t="shared" ca="1" si="72"/>
        <v>1.25</v>
      </c>
      <c r="L141" s="534">
        <f t="shared" ca="1" si="72"/>
        <v>1.25</v>
      </c>
      <c r="M141" s="534">
        <f t="shared" ca="1" si="72"/>
        <v>1.25</v>
      </c>
      <c r="N141" s="534">
        <f t="shared" ca="1" si="72"/>
        <v>1.25</v>
      </c>
      <c r="O141" s="534">
        <f t="shared" ca="1" si="72"/>
        <v>1.25</v>
      </c>
      <c r="P141" s="534">
        <f t="shared" ca="1" si="72"/>
        <v>1.25</v>
      </c>
      <c r="Q141" s="534">
        <f t="shared" ca="1" si="72"/>
        <v>1.25</v>
      </c>
      <c r="R141" s="534">
        <f t="shared" ca="1" si="72"/>
        <v>1.25</v>
      </c>
      <c r="S141" s="534">
        <f t="shared" ca="1" si="72"/>
        <v>1.25</v>
      </c>
      <c r="T141" s="534">
        <f t="shared" ca="1" si="72"/>
        <v>2.5</v>
      </c>
      <c r="U141" s="534">
        <f t="shared" ca="1" si="72"/>
        <v>2.5</v>
      </c>
      <c r="V141" s="534">
        <f t="shared" si="72"/>
        <v>0</v>
      </c>
      <c r="W141" s="534">
        <f t="shared" si="72"/>
        <v>0</v>
      </c>
      <c r="X141" s="533">
        <f t="shared" si="72"/>
        <v>0</v>
      </c>
      <c r="Y141" s="432"/>
      <c r="Z141" s="532"/>
      <c r="AA141" s="394"/>
      <c r="AB141" s="208"/>
      <c r="AC141" s="208"/>
    </row>
    <row r="142" spans="2:37" outlineLevel="2">
      <c r="C142" s="423" t="s">
        <v>988</v>
      </c>
      <c r="D142" s="1"/>
      <c r="E142" s="16" t="s">
        <v>961</v>
      </c>
      <c r="F142" s="530">
        <f t="shared" ref="F142:X142" ca="1" si="73">F141*F$6</f>
        <v>10</v>
      </c>
      <c r="G142" s="529">
        <f t="shared" ca="1" si="73"/>
        <v>20</v>
      </c>
      <c r="H142" s="529">
        <f t="shared" ca="1" si="73"/>
        <v>10</v>
      </c>
      <c r="I142" s="529">
        <f t="shared" ca="1" si="73"/>
        <v>23.75</v>
      </c>
      <c r="J142" s="529">
        <f t="shared" ca="1" si="73"/>
        <v>60</v>
      </c>
      <c r="K142" s="529">
        <f t="shared" ca="1" si="73"/>
        <v>5</v>
      </c>
      <c r="L142" s="529">
        <f t="shared" ca="1" si="73"/>
        <v>30</v>
      </c>
      <c r="M142" s="529">
        <f t="shared" ca="1" si="73"/>
        <v>12.5</v>
      </c>
      <c r="N142" s="529">
        <f t="shared" ca="1" si="73"/>
        <v>40</v>
      </c>
      <c r="O142" s="529">
        <f t="shared" ca="1" si="73"/>
        <v>80</v>
      </c>
      <c r="P142" s="529">
        <f t="shared" ca="1" si="73"/>
        <v>57.5</v>
      </c>
      <c r="Q142" s="529">
        <f t="shared" ca="1" si="73"/>
        <v>20</v>
      </c>
      <c r="R142" s="529">
        <f t="shared" ca="1" si="73"/>
        <v>30</v>
      </c>
      <c r="S142" s="529">
        <f t="shared" ca="1" si="73"/>
        <v>10</v>
      </c>
      <c r="T142" s="529">
        <f t="shared" ca="1" si="73"/>
        <v>20</v>
      </c>
      <c r="U142" s="529">
        <f t="shared" ca="1" si="73"/>
        <v>27.5</v>
      </c>
      <c r="V142" s="529">
        <f t="shared" si="73"/>
        <v>0</v>
      </c>
      <c r="W142" s="529">
        <f t="shared" si="73"/>
        <v>0</v>
      </c>
      <c r="X142" s="528">
        <f t="shared" si="73"/>
        <v>0</v>
      </c>
      <c r="Y142" s="422">
        <f ca="1">SUM(Y140)</f>
        <v>1825</v>
      </c>
      <c r="Z142" s="255"/>
      <c r="AA142" s="527">
        <f ca="1">SUM(F142:X142)</f>
        <v>456.25</v>
      </c>
      <c r="AB142" s="208"/>
      <c r="AC142" s="208"/>
    </row>
    <row r="143" spans="2:37" outlineLevel="1">
      <c r="C143" s="461" t="s">
        <v>979</v>
      </c>
      <c r="D143" s="940" t="s">
        <v>1227</v>
      </c>
      <c r="E143" s="940"/>
      <c r="F143" s="542"/>
      <c r="G143" s="542"/>
      <c r="H143" s="542"/>
      <c r="I143" s="542"/>
      <c r="J143" s="542"/>
      <c r="K143" s="542"/>
      <c r="L143" s="542"/>
      <c r="M143" s="542"/>
      <c r="N143" s="542"/>
      <c r="O143" s="542"/>
      <c r="P143" s="542"/>
      <c r="Q143" s="542"/>
      <c r="R143" s="542"/>
      <c r="S143" s="542"/>
      <c r="T143" s="542"/>
      <c r="U143" s="542"/>
      <c r="V143" s="542"/>
      <c r="W143" s="542"/>
      <c r="X143" s="542"/>
      <c r="Y143" s="437" t="s">
        <v>948</v>
      </c>
      <c r="Z143" s="92" t="s">
        <v>949</v>
      </c>
      <c r="AA143" s="541" t="s">
        <v>950</v>
      </c>
      <c r="AB143" s="208"/>
      <c r="AC143" s="208"/>
    </row>
    <row r="144" spans="2:37" outlineLevel="1">
      <c r="D144" s="101" t="s">
        <v>529</v>
      </c>
      <c r="E144" s="101" t="s">
        <v>968</v>
      </c>
      <c r="F144" s="551">
        <f t="shared" ref="F144:X144" ca="1" si="74">F136</f>
        <v>7</v>
      </c>
      <c r="G144" s="551">
        <f t="shared" ca="1" si="74"/>
        <v>7</v>
      </c>
      <c r="H144" s="551">
        <f t="shared" ca="1" si="74"/>
        <v>7</v>
      </c>
      <c r="I144" s="551">
        <f t="shared" ca="1" si="74"/>
        <v>7</v>
      </c>
      <c r="J144" s="551">
        <f t="shared" ca="1" si="74"/>
        <v>7</v>
      </c>
      <c r="K144" s="551">
        <f t="shared" ca="1" si="74"/>
        <v>7</v>
      </c>
      <c r="L144" s="551">
        <f t="shared" ca="1" si="74"/>
        <v>7</v>
      </c>
      <c r="M144" s="551">
        <f t="shared" ca="1" si="74"/>
        <v>7</v>
      </c>
      <c r="N144" s="551">
        <f t="shared" ca="1" si="74"/>
        <v>7</v>
      </c>
      <c r="O144" s="551">
        <f t="shared" ca="1" si="74"/>
        <v>7</v>
      </c>
      <c r="P144" s="551">
        <f t="shared" ca="1" si="74"/>
        <v>7</v>
      </c>
      <c r="Q144" s="551">
        <f t="shared" ca="1" si="74"/>
        <v>7</v>
      </c>
      <c r="R144" s="551">
        <f t="shared" ca="1" si="74"/>
        <v>7</v>
      </c>
      <c r="S144" s="551">
        <f t="shared" ca="1" si="74"/>
        <v>7</v>
      </c>
      <c r="T144" s="551">
        <f t="shared" ca="1" si="74"/>
        <v>14</v>
      </c>
      <c r="U144" s="551">
        <f t="shared" ca="1" si="74"/>
        <v>14</v>
      </c>
      <c r="V144" s="551">
        <f t="shared" si="74"/>
        <v>0</v>
      </c>
      <c r="W144" s="551">
        <f t="shared" si="74"/>
        <v>0</v>
      </c>
      <c r="X144" s="550">
        <f t="shared" si="74"/>
        <v>0</v>
      </c>
      <c r="Y144" s="432">
        <f ca="1">SUMPRODUCT($F144:$X144,$F$6:$X$6)</f>
        <v>2555</v>
      </c>
      <c r="Z144" s="538">
        <f>'MF Pricing'!F55</f>
        <v>6.25</v>
      </c>
      <c r="AA144" s="537">
        <f ca="1">Y144*Z144/6</f>
        <v>2661.4583333333335</v>
      </c>
      <c r="AB144" s="208"/>
      <c r="AC144" s="208"/>
    </row>
    <row r="145" spans="2:29" outlineLevel="1">
      <c r="C145" s="423" t="s">
        <v>1184</v>
      </c>
      <c r="D145" s="1"/>
      <c r="E145" s="536" t="s">
        <v>1185</v>
      </c>
      <c r="F145" s="535">
        <f t="shared" ref="F145:X145" ca="1" si="75">F144*$Z144/6</f>
        <v>7.291666666666667</v>
      </c>
      <c r="G145" s="534">
        <f t="shared" ca="1" si="75"/>
        <v>7.291666666666667</v>
      </c>
      <c r="H145" s="534">
        <f t="shared" ca="1" si="75"/>
        <v>7.291666666666667</v>
      </c>
      <c r="I145" s="534">
        <f t="shared" ca="1" si="75"/>
        <v>7.291666666666667</v>
      </c>
      <c r="J145" s="534">
        <f t="shared" ca="1" si="75"/>
        <v>7.291666666666667</v>
      </c>
      <c r="K145" s="534">
        <f t="shared" ca="1" si="75"/>
        <v>7.291666666666667</v>
      </c>
      <c r="L145" s="534">
        <f t="shared" ca="1" si="75"/>
        <v>7.291666666666667</v>
      </c>
      <c r="M145" s="534">
        <f t="shared" ca="1" si="75"/>
        <v>7.291666666666667</v>
      </c>
      <c r="N145" s="534">
        <f t="shared" ca="1" si="75"/>
        <v>7.291666666666667</v>
      </c>
      <c r="O145" s="534">
        <f t="shared" ca="1" si="75"/>
        <v>7.291666666666667</v>
      </c>
      <c r="P145" s="534">
        <f t="shared" ca="1" si="75"/>
        <v>7.291666666666667</v>
      </c>
      <c r="Q145" s="534">
        <f t="shared" ca="1" si="75"/>
        <v>7.291666666666667</v>
      </c>
      <c r="R145" s="534">
        <f t="shared" ca="1" si="75"/>
        <v>7.291666666666667</v>
      </c>
      <c r="S145" s="534">
        <f t="shared" ca="1" si="75"/>
        <v>7.291666666666667</v>
      </c>
      <c r="T145" s="534">
        <f t="shared" ca="1" si="75"/>
        <v>14.583333333333334</v>
      </c>
      <c r="U145" s="534">
        <f t="shared" ca="1" si="75"/>
        <v>14.583333333333334</v>
      </c>
      <c r="V145" s="534">
        <f t="shared" si="75"/>
        <v>0</v>
      </c>
      <c r="W145" s="534">
        <f t="shared" si="75"/>
        <v>0</v>
      </c>
      <c r="X145" s="533">
        <f t="shared" si="75"/>
        <v>0</v>
      </c>
      <c r="Y145" s="432"/>
      <c r="Z145" s="532"/>
      <c r="AA145" s="394"/>
      <c r="AB145" s="208"/>
      <c r="AC145" s="208"/>
    </row>
    <row r="146" spans="2:29" outlineLevel="1">
      <c r="C146" s="423" t="s">
        <v>988</v>
      </c>
      <c r="D146" s="1"/>
      <c r="E146" s="16" t="s">
        <v>961</v>
      </c>
      <c r="F146" s="530">
        <f t="shared" ref="F146:X146" ca="1" si="76">F145*F$6</f>
        <v>58.333333333333336</v>
      </c>
      <c r="G146" s="529">
        <f t="shared" ca="1" si="76"/>
        <v>116.66666666666667</v>
      </c>
      <c r="H146" s="529">
        <f t="shared" ca="1" si="76"/>
        <v>58.333333333333336</v>
      </c>
      <c r="I146" s="529">
        <f t="shared" ca="1" si="76"/>
        <v>138.54166666666669</v>
      </c>
      <c r="J146" s="529">
        <f t="shared" ca="1" si="76"/>
        <v>350</v>
      </c>
      <c r="K146" s="529">
        <f t="shared" ca="1" si="76"/>
        <v>29.166666666666668</v>
      </c>
      <c r="L146" s="529">
        <f t="shared" ca="1" si="76"/>
        <v>175</v>
      </c>
      <c r="M146" s="529">
        <f t="shared" ca="1" si="76"/>
        <v>72.916666666666671</v>
      </c>
      <c r="N146" s="529">
        <f t="shared" ca="1" si="76"/>
        <v>233.33333333333334</v>
      </c>
      <c r="O146" s="529">
        <f t="shared" ca="1" si="76"/>
        <v>466.66666666666669</v>
      </c>
      <c r="P146" s="529">
        <f t="shared" ca="1" si="76"/>
        <v>335.41666666666669</v>
      </c>
      <c r="Q146" s="529">
        <f t="shared" ca="1" si="76"/>
        <v>116.66666666666667</v>
      </c>
      <c r="R146" s="529">
        <f t="shared" ca="1" si="76"/>
        <v>175</v>
      </c>
      <c r="S146" s="529">
        <f t="shared" ca="1" si="76"/>
        <v>58.333333333333336</v>
      </c>
      <c r="T146" s="529">
        <f t="shared" ca="1" si="76"/>
        <v>116.66666666666667</v>
      </c>
      <c r="U146" s="529">
        <f t="shared" ca="1" si="76"/>
        <v>160.41666666666669</v>
      </c>
      <c r="V146" s="529">
        <f t="shared" si="76"/>
        <v>0</v>
      </c>
      <c r="W146" s="529">
        <f t="shared" si="76"/>
        <v>0</v>
      </c>
      <c r="X146" s="528">
        <f t="shared" si="76"/>
        <v>0</v>
      </c>
      <c r="Y146" s="422">
        <f ca="1">SUM(Y144)</f>
        <v>2555</v>
      </c>
      <c r="Z146" s="255"/>
      <c r="AA146" s="527">
        <f ca="1">SUM(F146:X146)</f>
        <v>2661.458333333333</v>
      </c>
      <c r="AB146" s="208"/>
      <c r="AC146" s="208"/>
    </row>
    <row r="147" spans="2:29">
      <c r="B147" s="438" t="s">
        <v>753</v>
      </c>
      <c r="C147" s="96" t="s">
        <v>980</v>
      </c>
      <c r="D147" s="940" t="s">
        <v>1228</v>
      </c>
      <c r="E147" s="940"/>
      <c r="F147" s="542"/>
      <c r="G147" s="542"/>
      <c r="H147" s="542"/>
      <c r="I147" s="542"/>
      <c r="J147" s="542"/>
      <c r="K147" s="542"/>
      <c r="L147" s="542"/>
      <c r="M147" s="542"/>
      <c r="N147" s="542"/>
      <c r="O147" s="542"/>
      <c r="P147" s="542"/>
      <c r="Q147" s="542"/>
      <c r="R147" s="542"/>
      <c r="S147" s="542"/>
      <c r="T147" s="542"/>
      <c r="U147" s="542"/>
      <c r="V147" s="542"/>
      <c r="W147" s="542"/>
      <c r="X147" s="542"/>
      <c r="Y147" s="437" t="s">
        <v>948</v>
      </c>
      <c r="Z147" s="92" t="s">
        <v>949</v>
      </c>
      <c r="AA147" s="541" t="s">
        <v>950</v>
      </c>
      <c r="AB147" s="208"/>
      <c r="AC147" s="208"/>
    </row>
    <row r="148" spans="2:29">
      <c r="D148" s="75"/>
      <c r="E148" s="1" t="s">
        <v>968</v>
      </c>
      <c r="F148" s="547">
        <v>1</v>
      </c>
      <c r="G148" s="546">
        <v>1</v>
      </c>
      <c r="H148" s="546">
        <v>1</v>
      </c>
      <c r="I148" s="546">
        <v>1</v>
      </c>
      <c r="J148" s="546">
        <v>1</v>
      </c>
      <c r="K148" s="546">
        <v>1</v>
      </c>
      <c r="L148" s="546">
        <v>1</v>
      </c>
      <c r="M148" s="546">
        <v>1</v>
      </c>
      <c r="N148" s="546">
        <v>1</v>
      </c>
      <c r="O148" s="546">
        <v>1</v>
      </c>
      <c r="P148" s="546">
        <v>1</v>
      </c>
      <c r="Q148" s="546">
        <v>1</v>
      </c>
      <c r="R148" s="546">
        <v>1</v>
      </c>
      <c r="S148" s="546">
        <v>1</v>
      </c>
      <c r="T148" s="546">
        <v>1</v>
      </c>
      <c r="U148" s="546">
        <v>1</v>
      </c>
      <c r="V148" s="546"/>
      <c r="W148" s="546"/>
      <c r="X148" s="545"/>
      <c r="Y148" s="432">
        <f>SUMPRODUCT($F148:$X148,$F$6:$X$6)</f>
        <v>346</v>
      </c>
      <c r="Z148" s="538">
        <f>'MF Pricing'!F57</f>
        <v>49</v>
      </c>
      <c r="AA148" s="537">
        <f>Y148*Z148</f>
        <v>16954</v>
      </c>
      <c r="AB148" s="208"/>
      <c r="AC148" s="208"/>
    </row>
    <row r="149" spans="2:29" outlineLevel="1">
      <c r="C149" s="423" t="s">
        <v>1184</v>
      </c>
      <c r="D149" s="1"/>
      <c r="E149" s="536" t="s">
        <v>1185</v>
      </c>
      <c r="F149" s="535">
        <f t="shared" ref="F149:X149" si="77">IF(F$6=0,0,F148*$Z148)</f>
        <v>49</v>
      </c>
      <c r="G149" s="534">
        <f t="shared" si="77"/>
        <v>49</v>
      </c>
      <c r="H149" s="534">
        <f t="shared" si="77"/>
        <v>49</v>
      </c>
      <c r="I149" s="534">
        <f t="shared" si="77"/>
        <v>49</v>
      </c>
      <c r="J149" s="534">
        <f t="shared" si="77"/>
        <v>49</v>
      </c>
      <c r="K149" s="534">
        <f t="shared" si="77"/>
        <v>49</v>
      </c>
      <c r="L149" s="534">
        <f t="shared" si="77"/>
        <v>49</v>
      </c>
      <c r="M149" s="534">
        <f t="shared" si="77"/>
        <v>49</v>
      </c>
      <c r="N149" s="534">
        <f t="shared" si="77"/>
        <v>49</v>
      </c>
      <c r="O149" s="534">
        <f t="shared" si="77"/>
        <v>49</v>
      </c>
      <c r="P149" s="534">
        <f t="shared" si="77"/>
        <v>49</v>
      </c>
      <c r="Q149" s="534">
        <f t="shared" si="77"/>
        <v>49</v>
      </c>
      <c r="R149" s="534">
        <f t="shared" si="77"/>
        <v>49</v>
      </c>
      <c r="S149" s="534">
        <f t="shared" si="77"/>
        <v>49</v>
      </c>
      <c r="T149" s="534">
        <f t="shared" si="77"/>
        <v>49</v>
      </c>
      <c r="U149" s="534">
        <f t="shared" si="77"/>
        <v>49</v>
      </c>
      <c r="V149" s="534">
        <f t="shared" si="77"/>
        <v>0</v>
      </c>
      <c r="W149" s="534">
        <f t="shared" si="77"/>
        <v>0</v>
      </c>
      <c r="X149" s="533">
        <f t="shared" si="77"/>
        <v>0</v>
      </c>
      <c r="Y149" s="432"/>
      <c r="Z149" s="532"/>
      <c r="AA149" s="394"/>
      <c r="AB149" s="208"/>
      <c r="AC149" s="208"/>
    </row>
    <row r="150" spans="2:29" outlineLevel="1">
      <c r="C150" s="423" t="s">
        <v>988</v>
      </c>
      <c r="D150" s="1"/>
      <c r="E150" s="16" t="s">
        <v>961</v>
      </c>
      <c r="F150" s="530">
        <f t="shared" ref="F150:X150" si="78">F149*F$6</f>
        <v>392</v>
      </c>
      <c r="G150" s="529">
        <f t="shared" si="78"/>
        <v>784</v>
      </c>
      <c r="H150" s="529">
        <f t="shared" si="78"/>
        <v>392</v>
      </c>
      <c r="I150" s="529">
        <f t="shared" si="78"/>
        <v>931</v>
      </c>
      <c r="J150" s="529">
        <f t="shared" si="78"/>
        <v>2352</v>
      </c>
      <c r="K150" s="529">
        <f t="shared" si="78"/>
        <v>196</v>
      </c>
      <c r="L150" s="529">
        <f t="shared" si="78"/>
        <v>1176</v>
      </c>
      <c r="M150" s="529">
        <f t="shared" si="78"/>
        <v>490</v>
      </c>
      <c r="N150" s="529">
        <f t="shared" si="78"/>
        <v>1568</v>
      </c>
      <c r="O150" s="529">
        <f t="shared" si="78"/>
        <v>3136</v>
      </c>
      <c r="P150" s="529">
        <f t="shared" si="78"/>
        <v>2254</v>
      </c>
      <c r="Q150" s="529">
        <f t="shared" si="78"/>
        <v>784</v>
      </c>
      <c r="R150" s="529">
        <f t="shared" si="78"/>
        <v>1176</v>
      </c>
      <c r="S150" s="529">
        <f t="shared" si="78"/>
        <v>392</v>
      </c>
      <c r="T150" s="529">
        <f t="shared" si="78"/>
        <v>392</v>
      </c>
      <c r="U150" s="529">
        <f t="shared" si="78"/>
        <v>539</v>
      </c>
      <c r="V150" s="529">
        <f t="shared" si="78"/>
        <v>0</v>
      </c>
      <c r="W150" s="529">
        <f t="shared" si="78"/>
        <v>0</v>
      </c>
      <c r="X150" s="528">
        <f t="shared" si="78"/>
        <v>0</v>
      </c>
      <c r="Y150" s="422">
        <f>SUM(Y148)</f>
        <v>346</v>
      </c>
      <c r="Z150" s="255"/>
      <c r="AA150" s="527">
        <f>SUM(F150:X150)</f>
        <v>16954</v>
      </c>
      <c r="AB150" s="208"/>
      <c r="AC150" s="208"/>
    </row>
    <row r="151" spans="2:29">
      <c r="C151" s="96" t="s">
        <v>981</v>
      </c>
      <c r="D151" s="940" t="s">
        <v>1229</v>
      </c>
      <c r="E151" s="940"/>
      <c r="F151" s="542"/>
      <c r="G151" s="542"/>
      <c r="H151" s="542"/>
      <c r="I151" s="542"/>
      <c r="J151" s="542"/>
      <c r="K151" s="542"/>
      <c r="L151" s="542"/>
      <c r="M151" s="542"/>
      <c r="N151" s="542"/>
      <c r="O151" s="542"/>
      <c r="P151" s="542"/>
      <c r="Q151" s="542"/>
      <c r="R151" s="542"/>
      <c r="S151" s="542"/>
      <c r="T151" s="542"/>
      <c r="U151" s="542"/>
      <c r="V151" s="542"/>
      <c r="W151" s="542"/>
      <c r="X151" s="542"/>
      <c r="Y151" s="437" t="s">
        <v>948</v>
      </c>
      <c r="Z151" s="92" t="s">
        <v>949</v>
      </c>
      <c r="AA151" s="541" t="s">
        <v>950</v>
      </c>
      <c r="AB151" s="208"/>
      <c r="AC151" s="208"/>
    </row>
    <row r="152" spans="2:29">
      <c r="D152" s="75"/>
      <c r="E152" s="1" t="s">
        <v>968</v>
      </c>
      <c r="F152" s="547">
        <v>1</v>
      </c>
      <c r="G152" s="547">
        <v>1</v>
      </c>
      <c r="H152" s="547">
        <v>1</v>
      </c>
      <c r="I152" s="547">
        <v>1</v>
      </c>
      <c r="J152" s="547">
        <v>1</v>
      </c>
      <c r="K152" s="547">
        <v>1</v>
      </c>
      <c r="L152" s="547">
        <v>1</v>
      </c>
      <c r="M152" s="547">
        <v>1</v>
      </c>
      <c r="N152" s="547">
        <v>1</v>
      </c>
      <c r="O152" s="547">
        <v>1</v>
      </c>
      <c r="P152" s="547">
        <v>1</v>
      </c>
      <c r="Q152" s="547">
        <v>1</v>
      </c>
      <c r="R152" s="547">
        <v>1</v>
      </c>
      <c r="S152" s="547">
        <v>1</v>
      </c>
      <c r="T152" s="547">
        <v>1</v>
      </c>
      <c r="U152" s="547">
        <v>1</v>
      </c>
      <c r="V152" s="547"/>
      <c r="W152" s="547"/>
      <c r="X152" s="548"/>
      <c r="Y152" s="432">
        <f>SUMPRODUCT($F152:$X152,$F$6:$X$6)</f>
        <v>346</v>
      </c>
      <c r="Z152" s="538">
        <f>'MF Pricing'!F59</f>
        <v>60</v>
      </c>
      <c r="AA152" s="537">
        <f>Y152*Z152</f>
        <v>20760</v>
      </c>
      <c r="AB152" s="208"/>
      <c r="AC152" s="208"/>
    </row>
    <row r="153" spans="2:29" outlineLevel="1">
      <c r="C153" s="423" t="s">
        <v>1184</v>
      </c>
      <c r="D153" s="1"/>
      <c r="E153" s="536" t="s">
        <v>1185</v>
      </c>
      <c r="F153" s="535">
        <f t="shared" ref="F153:X153" si="79">IF(F$6=0,0,F152*$Z152)</f>
        <v>60</v>
      </c>
      <c r="G153" s="534">
        <f t="shared" si="79"/>
        <v>60</v>
      </c>
      <c r="H153" s="534">
        <f t="shared" si="79"/>
        <v>60</v>
      </c>
      <c r="I153" s="534">
        <f t="shared" si="79"/>
        <v>60</v>
      </c>
      <c r="J153" s="534">
        <f t="shared" si="79"/>
        <v>60</v>
      </c>
      <c r="K153" s="534">
        <f t="shared" si="79"/>
        <v>60</v>
      </c>
      <c r="L153" s="534">
        <f t="shared" si="79"/>
        <v>60</v>
      </c>
      <c r="M153" s="534">
        <f t="shared" si="79"/>
        <v>60</v>
      </c>
      <c r="N153" s="534">
        <f t="shared" si="79"/>
        <v>60</v>
      </c>
      <c r="O153" s="534">
        <f t="shared" si="79"/>
        <v>60</v>
      </c>
      <c r="P153" s="534">
        <f t="shared" si="79"/>
        <v>60</v>
      </c>
      <c r="Q153" s="534">
        <f t="shared" si="79"/>
        <v>60</v>
      </c>
      <c r="R153" s="534">
        <f t="shared" si="79"/>
        <v>60</v>
      </c>
      <c r="S153" s="534">
        <f t="shared" si="79"/>
        <v>60</v>
      </c>
      <c r="T153" s="534">
        <f t="shared" si="79"/>
        <v>60</v>
      </c>
      <c r="U153" s="534">
        <f t="shared" si="79"/>
        <v>60</v>
      </c>
      <c r="V153" s="534">
        <f t="shared" si="79"/>
        <v>0</v>
      </c>
      <c r="W153" s="534">
        <f t="shared" si="79"/>
        <v>0</v>
      </c>
      <c r="X153" s="533">
        <f t="shared" si="79"/>
        <v>0</v>
      </c>
      <c r="Y153" s="432"/>
      <c r="Z153" s="532"/>
      <c r="AA153" s="394"/>
      <c r="AB153" s="208"/>
      <c r="AC153" s="208"/>
    </row>
    <row r="154" spans="2:29" outlineLevel="1">
      <c r="C154" s="423" t="s">
        <v>988</v>
      </c>
      <c r="D154" s="1"/>
      <c r="E154" s="16" t="s">
        <v>961</v>
      </c>
      <c r="F154" s="530">
        <f t="shared" ref="F154:X154" si="80">F153*F$6</f>
        <v>480</v>
      </c>
      <c r="G154" s="529">
        <f t="shared" si="80"/>
        <v>960</v>
      </c>
      <c r="H154" s="529">
        <f t="shared" si="80"/>
        <v>480</v>
      </c>
      <c r="I154" s="529">
        <f t="shared" si="80"/>
        <v>1140</v>
      </c>
      <c r="J154" s="529">
        <f t="shared" si="80"/>
        <v>2880</v>
      </c>
      <c r="K154" s="529">
        <f t="shared" si="80"/>
        <v>240</v>
      </c>
      <c r="L154" s="529">
        <f t="shared" si="80"/>
        <v>1440</v>
      </c>
      <c r="M154" s="529">
        <f t="shared" si="80"/>
        <v>600</v>
      </c>
      <c r="N154" s="529">
        <f t="shared" si="80"/>
        <v>1920</v>
      </c>
      <c r="O154" s="529">
        <f t="shared" si="80"/>
        <v>3840</v>
      </c>
      <c r="P154" s="529">
        <f t="shared" si="80"/>
        <v>2760</v>
      </c>
      <c r="Q154" s="529">
        <f t="shared" si="80"/>
        <v>960</v>
      </c>
      <c r="R154" s="529">
        <f t="shared" si="80"/>
        <v>1440</v>
      </c>
      <c r="S154" s="529">
        <f t="shared" si="80"/>
        <v>480</v>
      </c>
      <c r="T154" s="529">
        <f t="shared" si="80"/>
        <v>480</v>
      </c>
      <c r="U154" s="529">
        <f t="shared" si="80"/>
        <v>660</v>
      </c>
      <c r="V154" s="529">
        <f t="shared" si="80"/>
        <v>0</v>
      </c>
      <c r="W154" s="529">
        <f t="shared" si="80"/>
        <v>0</v>
      </c>
      <c r="X154" s="528">
        <f t="shared" si="80"/>
        <v>0</v>
      </c>
      <c r="Y154" s="422">
        <f>SUM(Y152)</f>
        <v>346</v>
      </c>
      <c r="Z154" s="255"/>
      <c r="AA154" s="527">
        <f>SUM(F154:X154)</f>
        <v>20760</v>
      </c>
      <c r="AB154" s="208"/>
      <c r="AC154" s="208"/>
    </row>
    <row r="155" spans="2:29">
      <c r="C155" s="96" t="s">
        <v>982</v>
      </c>
      <c r="D155" s="940" t="s">
        <v>1230</v>
      </c>
      <c r="E155" s="940"/>
      <c r="F155" s="542"/>
      <c r="G155" s="542"/>
      <c r="H155" s="542"/>
      <c r="I155" s="542"/>
      <c r="J155" s="542"/>
      <c r="K155" s="542"/>
      <c r="L155" s="542"/>
      <c r="M155" s="542"/>
      <c r="N155" s="542"/>
      <c r="O155" s="542"/>
      <c r="P155" s="542"/>
      <c r="Q155" s="542"/>
      <c r="R155" s="542"/>
      <c r="S155" s="542"/>
      <c r="T155" s="542"/>
      <c r="U155" s="542"/>
      <c r="V155" s="542"/>
      <c r="W155" s="542"/>
      <c r="X155" s="542"/>
      <c r="Y155" s="437" t="s">
        <v>948</v>
      </c>
      <c r="Z155" s="92" t="s">
        <v>949</v>
      </c>
      <c r="AA155" s="541" t="s">
        <v>950</v>
      </c>
      <c r="AB155" s="208"/>
      <c r="AC155" s="208"/>
    </row>
    <row r="156" spans="2:29">
      <c r="D156" s="75"/>
      <c r="E156" s="1" t="s">
        <v>968</v>
      </c>
      <c r="F156" s="547">
        <v>1</v>
      </c>
      <c r="G156" s="546">
        <v>1</v>
      </c>
      <c r="H156" s="546">
        <v>1</v>
      </c>
      <c r="I156" s="546">
        <v>1</v>
      </c>
      <c r="J156" s="546">
        <v>1</v>
      </c>
      <c r="K156" s="546">
        <v>1</v>
      </c>
      <c r="L156" s="546">
        <v>1</v>
      </c>
      <c r="M156" s="546">
        <v>1</v>
      </c>
      <c r="N156" s="546">
        <v>1</v>
      </c>
      <c r="O156" s="546">
        <v>2</v>
      </c>
      <c r="P156" s="546">
        <v>2</v>
      </c>
      <c r="Q156" s="546">
        <v>2</v>
      </c>
      <c r="R156" s="546">
        <v>2</v>
      </c>
      <c r="S156" s="546">
        <v>3</v>
      </c>
      <c r="T156" s="546">
        <v>3</v>
      </c>
      <c r="U156" s="546">
        <v>3</v>
      </c>
      <c r="V156" s="546"/>
      <c r="W156" s="546"/>
      <c r="X156" s="545"/>
      <c r="Y156" s="432">
        <f>SUMPRODUCT($F156:$X156,$F$6:$X$6)</f>
        <v>550</v>
      </c>
      <c r="Z156" s="538">
        <f>'MF Pricing'!F61</f>
        <v>25</v>
      </c>
      <c r="AA156" s="537">
        <f>Y156*Z156</f>
        <v>13750</v>
      </c>
      <c r="AB156" s="208"/>
      <c r="AC156" s="208"/>
    </row>
    <row r="157" spans="2:29" outlineLevel="1">
      <c r="C157" s="423" t="s">
        <v>1184</v>
      </c>
      <c r="D157" s="1"/>
      <c r="E157" s="536" t="s">
        <v>1185</v>
      </c>
      <c r="F157" s="535">
        <f t="shared" ref="F157:X157" si="81">IF(F6=0,0,F156*$Z156)</f>
        <v>25</v>
      </c>
      <c r="G157" s="534">
        <f t="shared" si="81"/>
        <v>25</v>
      </c>
      <c r="H157" s="534">
        <f t="shared" si="81"/>
        <v>25</v>
      </c>
      <c r="I157" s="534">
        <f t="shared" si="81"/>
        <v>25</v>
      </c>
      <c r="J157" s="534">
        <f t="shared" si="81"/>
        <v>25</v>
      </c>
      <c r="K157" s="534">
        <f t="shared" si="81"/>
        <v>25</v>
      </c>
      <c r="L157" s="534">
        <f t="shared" si="81"/>
        <v>25</v>
      </c>
      <c r="M157" s="534">
        <f t="shared" si="81"/>
        <v>25</v>
      </c>
      <c r="N157" s="534">
        <f t="shared" si="81"/>
        <v>25</v>
      </c>
      <c r="O157" s="534">
        <f t="shared" si="81"/>
        <v>50</v>
      </c>
      <c r="P157" s="534">
        <f t="shared" si="81"/>
        <v>50</v>
      </c>
      <c r="Q157" s="534">
        <f t="shared" si="81"/>
        <v>50</v>
      </c>
      <c r="R157" s="534">
        <f t="shared" si="81"/>
        <v>50</v>
      </c>
      <c r="S157" s="534">
        <f t="shared" si="81"/>
        <v>75</v>
      </c>
      <c r="T157" s="534">
        <f t="shared" si="81"/>
        <v>75</v>
      </c>
      <c r="U157" s="534">
        <f t="shared" si="81"/>
        <v>75</v>
      </c>
      <c r="V157" s="534">
        <f t="shared" si="81"/>
        <v>0</v>
      </c>
      <c r="W157" s="534">
        <f t="shared" si="81"/>
        <v>0</v>
      </c>
      <c r="X157" s="533">
        <f t="shared" si="81"/>
        <v>0</v>
      </c>
      <c r="Y157" s="432"/>
      <c r="Z157" s="532"/>
      <c r="AA157" s="394"/>
      <c r="AB157" s="208"/>
      <c r="AC157" s="208"/>
    </row>
    <row r="158" spans="2:29" outlineLevel="1">
      <c r="C158" s="423" t="s">
        <v>988</v>
      </c>
      <c r="D158" s="1"/>
      <c r="E158" s="16" t="s">
        <v>961</v>
      </c>
      <c r="F158" s="530">
        <f t="shared" ref="F158:X158" si="82">F157*F$6</f>
        <v>200</v>
      </c>
      <c r="G158" s="529">
        <f t="shared" si="82"/>
        <v>400</v>
      </c>
      <c r="H158" s="529">
        <f t="shared" si="82"/>
        <v>200</v>
      </c>
      <c r="I158" s="529">
        <f t="shared" si="82"/>
        <v>475</v>
      </c>
      <c r="J158" s="529">
        <f t="shared" si="82"/>
        <v>1200</v>
      </c>
      <c r="K158" s="529">
        <f t="shared" si="82"/>
        <v>100</v>
      </c>
      <c r="L158" s="529">
        <f t="shared" si="82"/>
        <v>600</v>
      </c>
      <c r="M158" s="529">
        <f t="shared" si="82"/>
        <v>250</v>
      </c>
      <c r="N158" s="529">
        <f t="shared" si="82"/>
        <v>800</v>
      </c>
      <c r="O158" s="529">
        <f t="shared" si="82"/>
        <v>3200</v>
      </c>
      <c r="P158" s="529">
        <f t="shared" si="82"/>
        <v>2300</v>
      </c>
      <c r="Q158" s="529">
        <f t="shared" si="82"/>
        <v>800</v>
      </c>
      <c r="R158" s="529">
        <f t="shared" si="82"/>
        <v>1200</v>
      </c>
      <c r="S158" s="529">
        <f t="shared" si="82"/>
        <v>600</v>
      </c>
      <c r="T158" s="529">
        <f t="shared" si="82"/>
        <v>600</v>
      </c>
      <c r="U158" s="529">
        <f t="shared" si="82"/>
        <v>825</v>
      </c>
      <c r="V158" s="529">
        <f t="shared" si="82"/>
        <v>0</v>
      </c>
      <c r="W158" s="529">
        <f t="shared" si="82"/>
        <v>0</v>
      </c>
      <c r="X158" s="528">
        <f t="shared" si="82"/>
        <v>0</v>
      </c>
      <c r="Y158" s="422">
        <f>SUM(Y156)</f>
        <v>550</v>
      </c>
      <c r="Z158" s="255"/>
      <c r="AA158" s="527">
        <f>SUM(F158:X158)</f>
        <v>13750</v>
      </c>
      <c r="AB158" s="208"/>
      <c r="AC158" s="208"/>
    </row>
    <row r="159" spans="2:29">
      <c r="C159" s="96" t="s">
        <v>983</v>
      </c>
      <c r="D159" s="940" t="s">
        <v>1229</v>
      </c>
      <c r="E159" s="940"/>
      <c r="F159" s="542"/>
      <c r="G159" s="542"/>
      <c r="H159" s="542"/>
      <c r="I159" s="542"/>
      <c r="J159" s="542"/>
      <c r="K159" s="542"/>
      <c r="L159" s="542"/>
      <c r="M159" s="542"/>
      <c r="N159" s="542"/>
      <c r="O159" s="542"/>
      <c r="P159" s="542"/>
      <c r="Q159" s="542"/>
      <c r="R159" s="542"/>
      <c r="S159" s="542"/>
      <c r="T159" s="542"/>
      <c r="U159" s="542"/>
      <c r="V159" s="542"/>
      <c r="W159" s="542"/>
      <c r="X159" s="542"/>
      <c r="Y159" s="437" t="s">
        <v>948</v>
      </c>
      <c r="Z159" s="92" t="s">
        <v>949</v>
      </c>
      <c r="AA159" s="541" t="s">
        <v>950</v>
      </c>
      <c r="AB159" s="208"/>
      <c r="AC159" s="208"/>
    </row>
    <row r="160" spans="2:29">
      <c r="D160" s="75"/>
      <c r="E160" s="1" t="s">
        <v>968</v>
      </c>
      <c r="F160" s="547">
        <v>1</v>
      </c>
      <c r="G160" s="547">
        <v>1</v>
      </c>
      <c r="H160" s="547">
        <v>1</v>
      </c>
      <c r="I160" s="547">
        <v>1</v>
      </c>
      <c r="J160" s="547">
        <v>1</v>
      </c>
      <c r="K160" s="547">
        <v>1</v>
      </c>
      <c r="L160" s="547">
        <v>1</v>
      </c>
      <c r="M160" s="547">
        <v>1</v>
      </c>
      <c r="N160" s="547">
        <v>1</v>
      </c>
      <c r="O160" s="547">
        <v>2</v>
      </c>
      <c r="P160" s="547">
        <v>2</v>
      </c>
      <c r="Q160" s="547">
        <v>2</v>
      </c>
      <c r="R160" s="547">
        <v>2</v>
      </c>
      <c r="S160" s="547">
        <v>3</v>
      </c>
      <c r="T160" s="547">
        <v>3</v>
      </c>
      <c r="U160" s="547">
        <v>3</v>
      </c>
      <c r="V160" s="547"/>
      <c r="W160" s="547"/>
      <c r="X160" s="548"/>
      <c r="Y160" s="432">
        <f>SUMPRODUCT($F160:$X160,$F$6:$X$6)</f>
        <v>550</v>
      </c>
      <c r="Z160" s="538">
        <f>'MF Pricing'!F63</f>
        <v>39</v>
      </c>
      <c r="AA160" s="537">
        <f>Y160*Z160</f>
        <v>21450</v>
      </c>
      <c r="AB160" s="208"/>
      <c r="AC160" s="208"/>
    </row>
    <row r="161" spans="3:29" outlineLevel="1">
      <c r="C161" s="423" t="s">
        <v>1184</v>
      </c>
      <c r="D161" s="1"/>
      <c r="E161" s="536" t="s">
        <v>1185</v>
      </c>
      <c r="F161" s="535">
        <f t="shared" ref="F161:X161" si="83">IF(F$6=0,0,F160*$Z160)</f>
        <v>39</v>
      </c>
      <c r="G161" s="534">
        <f t="shared" si="83"/>
        <v>39</v>
      </c>
      <c r="H161" s="534">
        <f t="shared" si="83"/>
        <v>39</v>
      </c>
      <c r="I161" s="534">
        <f t="shared" si="83"/>
        <v>39</v>
      </c>
      <c r="J161" s="534">
        <f t="shared" si="83"/>
        <v>39</v>
      </c>
      <c r="K161" s="534">
        <f t="shared" si="83"/>
        <v>39</v>
      </c>
      <c r="L161" s="534">
        <f t="shared" si="83"/>
        <v>39</v>
      </c>
      <c r="M161" s="534">
        <f t="shared" si="83"/>
        <v>39</v>
      </c>
      <c r="N161" s="534">
        <f t="shared" si="83"/>
        <v>39</v>
      </c>
      <c r="O161" s="534">
        <f t="shared" si="83"/>
        <v>78</v>
      </c>
      <c r="P161" s="534">
        <f t="shared" si="83"/>
        <v>78</v>
      </c>
      <c r="Q161" s="534">
        <f t="shared" si="83"/>
        <v>78</v>
      </c>
      <c r="R161" s="534">
        <f t="shared" si="83"/>
        <v>78</v>
      </c>
      <c r="S161" s="534">
        <f t="shared" si="83"/>
        <v>117</v>
      </c>
      <c r="T161" s="534">
        <f t="shared" si="83"/>
        <v>117</v>
      </c>
      <c r="U161" s="534">
        <f t="shared" si="83"/>
        <v>117</v>
      </c>
      <c r="V161" s="534">
        <f t="shared" si="83"/>
        <v>0</v>
      </c>
      <c r="W161" s="534">
        <f t="shared" si="83"/>
        <v>0</v>
      </c>
      <c r="X161" s="533">
        <f t="shared" si="83"/>
        <v>0</v>
      </c>
      <c r="Y161" s="432"/>
      <c r="Z161" s="532"/>
      <c r="AA161" s="394"/>
      <c r="AB161" s="208"/>
      <c r="AC161" s="208"/>
    </row>
    <row r="162" spans="3:29" outlineLevel="1">
      <c r="C162" s="423" t="s">
        <v>988</v>
      </c>
      <c r="D162" s="1"/>
      <c r="E162" s="16" t="s">
        <v>961</v>
      </c>
      <c r="F162" s="530">
        <f t="shared" ref="F162:X162" si="84">F161*F$6</f>
        <v>312</v>
      </c>
      <c r="G162" s="529">
        <f t="shared" si="84"/>
        <v>624</v>
      </c>
      <c r="H162" s="529">
        <f t="shared" si="84"/>
        <v>312</v>
      </c>
      <c r="I162" s="529">
        <f t="shared" si="84"/>
        <v>741</v>
      </c>
      <c r="J162" s="529">
        <f t="shared" si="84"/>
        <v>1872</v>
      </c>
      <c r="K162" s="529">
        <f t="shared" si="84"/>
        <v>156</v>
      </c>
      <c r="L162" s="529">
        <f t="shared" si="84"/>
        <v>936</v>
      </c>
      <c r="M162" s="529">
        <f t="shared" si="84"/>
        <v>390</v>
      </c>
      <c r="N162" s="529">
        <f t="shared" si="84"/>
        <v>1248</v>
      </c>
      <c r="O162" s="529">
        <f t="shared" si="84"/>
        <v>4992</v>
      </c>
      <c r="P162" s="529">
        <f t="shared" si="84"/>
        <v>3588</v>
      </c>
      <c r="Q162" s="529">
        <f t="shared" si="84"/>
        <v>1248</v>
      </c>
      <c r="R162" s="529">
        <f t="shared" si="84"/>
        <v>1872</v>
      </c>
      <c r="S162" s="529">
        <f t="shared" si="84"/>
        <v>936</v>
      </c>
      <c r="T162" s="529">
        <f t="shared" si="84"/>
        <v>936</v>
      </c>
      <c r="U162" s="529">
        <f t="shared" si="84"/>
        <v>1287</v>
      </c>
      <c r="V162" s="529">
        <f t="shared" si="84"/>
        <v>0</v>
      </c>
      <c r="W162" s="529">
        <f t="shared" si="84"/>
        <v>0</v>
      </c>
      <c r="X162" s="528">
        <f t="shared" si="84"/>
        <v>0</v>
      </c>
      <c r="Y162" s="422">
        <f>SUM(Y160)</f>
        <v>550</v>
      </c>
      <c r="Z162" s="255"/>
      <c r="AA162" s="527">
        <f>SUM(F162:X162)</f>
        <v>21450</v>
      </c>
      <c r="AB162" s="208"/>
      <c r="AC162" s="208"/>
    </row>
    <row r="163" spans="3:29">
      <c r="C163" s="96" t="s">
        <v>984</v>
      </c>
      <c r="D163" s="940" t="s">
        <v>1231</v>
      </c>
      <c r="E163" s="940"/>
      <c r="F163" s="542"/>
      <c r="G163" s="542"/>
      <c r="H163" s="542"/>
      <c r="I163" s="542"/>
      <c r="J163" s="542"/>
      <c r="K163" s="542"/>
      <c r="L163" s="542"/>
      <c r="M163" s="542"/>
      <c r="N163" s="542"/>
      <c r="O163" s="542"/>
      <c r="P163" s="542"/>
      <c r="Q163" s="542"/>
      <c r="R163" s="542"/>
      <c r="S163" s="542"/>
      <c r="T163" s="542"/>
      <c r="U163" s="542"/>
      <c r="V163" s="542"/>
      <c r="W163" s="542"/>
      <c r="X163" s="542"/>
      <c r="Y163" s="437" t="s">
        <v>948</v>
      </c>
      <c r="Z163" s="92" t="s">
        <v>949</v>
      </c>
      <c r="AA163" s="541" t="s">
        <v>950</v>
      </c>
      <c r="AB163" s="208"/>
      <c r="AC163" s="208"/>
    </row>
    <row r="164" spans="3:29">
      <c r="D164" s="75"/>
      <c r="E164" s="1" t="s">
        <v>968</v>
      </c>
      <c r="F164" s="590">
        <v>1</v>
      </c>
      <c r="G164" s="589">
        <v>1</v>
      </c>
      <c r="H164" s="589">
        <v>1</v>
      </c>
      <c r="I164" s="589">
        <v>1</v>
      </c>
      <c r="J164" s="589">
        <v>1</v>
      </c>
      <c r="K164" s="589">
        <v>1</v>
      </c>
      <c r="L164" s="589">
        <v>1</v>
      </c>
      <c r="M164" s="589">
        <v>1</v>
      </c>
      <c r="N164" s="589">
        <v>1</v>
      </c>
      <c r="O164" s="589">
        <v>1</v>
      </c>
      <c r="P164" s="589">
        <v>1</v>
      </c>
      <c r="Q164" s="589">
        <v>1</v>
      </c>
      <c r="R164" s="589">
        <v>1</v>
      </c>
      <c r="S164" s="589">
        <v>1</v>
      </c>
      <c r="T164" s="589">
        <v>1</v>
      </c>
      <c r="U164" s="589">
        <v>1</v>
      </c>
      <c r="V164" s="589"/>
      <c r="W164" s="589"/>
      <c r="X164" s="588"/>
      <c r="Y164" s="432">
        <f>SUMPRODUCT($F164:$X164,$F$6:$X$6)</f>
        <v>346</v>
      </c>
      <c r="Z164" s="538">
        <f>'MF Pricing'!F65</f>
        <v>35</v>
      </c>
      <c r="AA164" s="537">
        <f>Y164*Z164</f>
        <v>12110</v>
      </c>
      <c r="AB164" s="208"/>
      <c r="AC164" s="208"/>
    </row>
    <row r="165" spans="3:29" outlineLevel="1">
      <c r="C165" s="423" t="s">
        <v>1184</v>
      </c>
      <c r="D165" s="1"/>
      <c r="E165" s="536" t="s">
        <v>1185</v>
      </c>
      <c r="F165" s="535">
        <f t="shared" ref="F165:X165" si="85">IF(F6=0,0,F164*$Z164)</f>
        <v>35</v>
      </c>
      <c r="G165" s="534">
        <f t="shared" si="85"/>
        <v>35</v>
      </c>
      <c r="H165" s="534">
        <f t="shared" si="85"/>
        <v>35</v>
      </c>
      <c r="I165" s="534">
        <f t="shared" si="85"/>
        <v>35</v>
      </c>
      <c r="J165" s="534">
        <f t="shared" si="85"/>
        <v>35</v>
      </c>
      <c r="K165" s="534">
        <f t="shared" si="85"/>
        <v>35</v>
      </c>
      <c r="L165" s="534">
        <f t="shared" si="85"/>
        <v>35</v>
      </c>
      <c r="M165" s="534">
        <f t="shared" si="85"/>
        <v>35</v>
      </c>
      <c r="N165" s="534">
        <f t="shared" si="85"/>
        <v>35</v>
      </c>
      <c r="O165" s="534">
        <f t="shared" si="85"/>
        <v>35</v>
      </c>
      <c r="P165" s="534">
        <f t="shared" si="85"/>
        <v>35</v>
      </c>
      <c r="Q165" s="534">
        <f t="shared" si="85"/>
        <v>35</v>
      </c>
      <c r="R165" s="534">
        <f t="shared" si="85"/>
        <v>35</v>
      </c>
      <c r="S165" s="534">
        <f t="shared" si="85"/>
        <v>35</v>
      </c>
      <c r="T165" s="534">
        <f t="shared" si="85"/>
        <v>35</v>
      </c>
      <c r="U165" s="534">
        <f t="shared" si="85"/>
        <v>35</v>
      </c>
      <c r="V165" s="534">
        <f t="shared" si="85"/>
        <v>0</v>
      </c>
      <c r="W165" s="534">
        <f t="shared" si="85"/>
        <v>0</v>
      </c>
      <c r="X165" s="533">
        <f t="shared" si="85"/>
        <v>0</v>
      </c>
      <c r="Y165" s="432"/>
      <c r="Z165" s="532"/>
      <c r="AA165" s="394"/>
      <c r="AB165" s="208"/>
      <c r="AC165" s="208"/>
    </row>
    <row r="166" spans="3:29" outlineLevel="1">
      <c r="C166" s="423" t="s">
        <v>988</v>
      </c>
      <c r="D166" s="1"/>
      <c r="E166" s="16" t="s">
        <v>961</v>
      </c>
      <c r="F166" s="530">
        <f t="shared" ref="F166:X166" si="86">F165*F$6</f>
        <v>280</v>
      </c>
      <c r="G166" s="529">
        <f t="shared" si="86"/>
        <v>560</v>
      </c>
      <c r="H166" s="529">
        <f t="shared" si="86"/>
        <v>280</v>
      </c>
      <c r="I166" s="529">
        <f t="shared" si="86"/>
        <v>665</v>
      </c>
      <c r="J166" s="529">
        <f t="shared" si="86"/>
        <v>1680</v>
      </c>
      <c r="K166" s="529">
        <f t="shared" si="86"/>
        <v>140</v>
      </c>
      <c r="L166" s="529">
        <f t="shared" si="86"/>
        <v>840</v>
      </c>
      <c r="M166" s="529">
        <f t="shared" si="86"/>
        <v>350</v>
      </c>
      <c r="N166" s="529">
        <f t="shared" si="86"/>
        <v>1120</v>
      </c>
      <c r="O166" s="529">
        <f t="shared" si="86"/>
        <v>2240</v>
      </c>
      <c r="P166" s="529">
        <f t="shared" si="86"/>
        <v>1610</v>
      </c>
      <c r="Q166" s="529">
        <f t="shared" si="86"/>
        <v>560</v>
      </c>
      <c r="R166" s="529">
        <f t="shared" si="86"/>
        <v>840</v>
      </c>
      <c r="S166" s="529">
        <f t="shared" si="86"/>
        <v>280</v>
      </c>
      <c r="T166" s="529">
        <f t="shared" si="86"/>
        <v>280</v>
      </c>
      <c r="U166" s="529">
        <f t="shared" si="86"/>
        <v>385</v>
      </c>
      <c r="V166" s="529">
        <f t="shared" si="86"/>
        <v>0</v>
      </c>
      <c r="W166" s="529">
        <f t="shared" si="86"/>
        <v>0</v>
      </c>
      <c r="X166" s="528">
        <f t="shared" si="86"/>
        <v>0</v>
      </c>
      <c r="Y166" s="422">
        <f>SUM(Y164)</f>
        <v>346</v>
      </c>
      <c r="Z166" s="255"/>
      <c r="AA166" s="527">
        <f>SUM(F166:X166)</f>
        <v>12110</v>
      </c>
      <c r="AB166" s="558">
        <v>0.2</v>
      </c>
      <c r="AC166" s="557">
        <f>AA166*AB166</f>
        <v>2422</v>
      </c>
    </row>
    <row r="167" spans="3:29">
      <c r="C167" s="96" t="s">
        <v>985</v>
      </c>
      <c r="D167" s="940" t="s">
        <v>1229</v>
      </c>
      <c r="E167" s="940"/>
      <c r="F167" s="587"/>
      <c r="G167" s="587"/>
      <c r="H167" s="587"/>
      <c r="I167" s="587"/>
      <c r="J167" s="587"/>
      <c r="K167" s="587"/>
      <c r="L167" s="587"/>
      <c r="M167" s="587"/>
      <c r="N167" s="587"/>
      <c r="O167" s="587"/>
      <c r="P167" s="587"/>
      <c r="Q167" s="587"/>
      <c r="R167" s="587"/>
      <c r="S167" s="587"/>
      <c r="T167" s="587"/>
      <c r="U167" s="587"/>
      <c r="V167" s="587"/>
      <c r="W167" s="587"/>
      <c r="X167" s="587"/>
      <c r="Y167" s="437" t="s">
        <v>948</v>
      </c>
      <c r="Z167" s="92" t="s">
        <v>949</v>
      </c>
      <c r="AA167" s="541" t="s">
        <v>950</v>
      </c>
      <c r="AB167" s="208"/>
      <c r="AC167" s="208"/>
    </row>
    <row r="168" spans="3:29">
      <c r="D168" s="75"/>
      <c r="E168" s="1" t="s">
        <v>968</v>
      </c>
      <c r="F168" s="590">
        <v>0</v>
      </c>
      <c r="G168" s="589">
        <v>0</v>
      </c>
      <c r="H168" s="589">
        <v>0</v>
      </c>
      <c r="I168" s="589">
        <v>0</v>
      </c>
      <c r="J168" s="589">
        <v>0</v>
      </c>
      <c r="K168" s="589">
        <v>0</v>
      </c>
      <c r="L168" s="589">
        <v>0</v>
      </c>
      <c r="M168" s="589">
        <v>0</v>
      </c>
      <c r="N168" s="589">
        <v>0</v>
      </c>
      <c r="O168" s="589">
        <v>0</v>
      </c>
      <c r="P168" s="589">
        <v>0</v>
      </c>
      <c r="Q168" s="589">
        <v>0</v>
      </c>
      <c r="R168" s="589">
        <v>0</v>
      </c>
      <c r="S168" s="589">
        <v>0</v>
      </c>
      <c r="T168" s="589">
        <v>0</v>
      </c>
      <c r="U168" s="589">
        <v>0</v>
      </c>
      <c r="V168" s="589"/>
      <c r="W168" s="589"/>
      <c r="X168" s="588"/>
      <c r="Y168" s="432">
        <f>SUMPRODUCT($F168:$X168,$F$6:$X$6)</f>
        <v>0</v>
      </c>
      <c r="Z168" s="538">
        <f>'MF Pricing'!F67</f>
        <v>29</v>
      </c>
      <c r="AA168" s="537">
        <f>Y168*Z168</f>
        <v>0</v>
      </c>
      <c r="AB168" s="208"/>
      <c r="AC168" s="208"/>
    </row>
    <row r="169" spans="3:29" outlineLevel="1">
      <c r="C169" s="423" t="s">
        <v>1184</v>
      </c>
      <c r="D169" s="1"/>
      <c r="E169" s="536" t="s">
        <v>1185</v>
      </c>
      <c r="F169" s="535">
        <f t="shared" ref="F169:X169" si="87">IF(F6=0,0,F168*$Z168)</f>
        <v>0</v>
      </c>
      <c r="G169" s="534">
        <f t="shared" si="87"/>
        <v>0</v>
      </c>
      <c r="H169" s="534">
        <f t="shared" si="87"/>
        <v>0</v>
      </c>
      <c r="I169" s="534">
        <f t="shared" si="87"/>
        <v>0</v>
      </c>
      <c r="J169" s="534">
        <f t="shared" si="87"/>
        <v>0</v>
      </c>
      <c r="K169" s="534">
        <f t="shared" si="87"/>
        <v>0</v>
      </c>
      <c r="L169" s="534">
        <f t="shared" si="87"/>
        <v>0</v>
      </c>
      <c r="M169" s="534">
        <f t="shared" si="87"/>
        <v>0</v>
      </c>
      <c r="N169" s="534">
        <f t="shared" si="87"/>
        <v>0</v>
      </c>
      <c r="O169" s="534">
        <f t="shared" si="87"/>
        <v>0</v>
      </c>
      <c r="P169" s="534">
        <f t="shared" si="87"/>
        <v>0</v>
      </c>
      <c r="Q169" s="534">
        <f t="shared" si="87"/>
        <v>0</v>
      </c>
      <c r="R169" s="534">
        <f t="shared" si="87"/>
        <v>0</v>
      </c>
      <c r="S169" s="534">
        <f t="shared" si="87"/>
        <v>0</v>
      </c>
      <c r="T169" s="534">
        <f t="shared" si="87"/>
        <v>0</v>
      </c>
      <c r="U169" s="534">
        <f t="shared" si="87"/>
        <v>0</v>
      </c>
      <c r="V169" s="534">
        <f t="shared" si="87"/>
        <v>0</v>
      </c>
      <c r="W169" s="534">
        <f t="shared" si="87"/>
        <v>0</v>
      </c>
      <c r="X169" s="533">
        <f t="shared" si="87"/>
        <v>0</v>
      </c>
      <c r="Y169" s="432"/>
      <c r="Z169" s="532"/>
      <c r="AA169" s="394"/>
      <c r="AB169" s="208"/>
      <c r="AC169" s="208"/>
    </row>
    <row r="170" spans="3:29" outlineLevel="1">
      <c r="C170" s="423" t="s">
        <v>988</v>
      </c>
      <c r="D170" s="1"/>
      <c r="E170" s="16" t="s">
        <v>961</v>
      </c>
      <c r="F170" s="530">
        <f t="shared" ref="F170:X170" si="88">F169*F$6</f>
        <v>0</v>
      </c>
      <c r="G170" s="529">
        <f t="shared" si="88"/>
        <v>0</v>
      </c>
      <c r="H170" s="529">
        <f t="shared" si="88"/>
        <v>0</v>
      </c>
      <c r="I170" s="529">
        <f t="shared" si="88"/>
        <v>0</v>
      </c>
      <c r="J170" s="529">
        <f t="shared" si="88"/>
        <v>0</v>
      </c>
      <c r="K170" s="529">
        <f t="shared" si="88"/>
        <v>0</v>
      </c>
      <c r="L170" s="529">
        <f t="shared" si="88"/>
        <v>0</v>
      </c>
      <c r="M170" s="529">
        <f t="shared" si="88"/>
        <v>0</v>
      </c>
      <c r="N170" s="529">
        <f t="shared" si="88"/>
        <v>0</v>
      </c>
      <c r="O170" s="529">
        <f t="shared" si="88"/>
        <v>0</v>
      </c>
      <c r="P170" s="529">
        <f t="shared" si="88"/>
        <v>0</v>
      </c>
      <c r="Q170" s="529">
        <f t="shared" si="88"/>
        <v>0</v>
      </c>
      <c r="R170" s="529">
        <f t="shared" si="88"/>
        <v>0</v>
      </c>
      <c r="S170" s="529">
        <f t="shared" si="88"/>
        <v>0</v>
      </c>
      <c r="T170" s="529">
        <f t="shared" si="88"/>
        <v>0</v>
      </c>
      <c r="U170" s="529">
        <f t="shared" si="88"/>
        <v>0</v>
      </c>
      <c r="V170" s="529">
        <f t="shared" si="88"/>
        <v>0</v>
      </c>
      <c r="W170" s="529">
        <f t="shared" si="88"/>
        <v>0</v>
      </c>
      <c r="X170" s="528">
        <f t="shared" si="88"/>
        <v>0</v>
      </c>
      <c r="Y170" s="422">
        <f>SUM(Y168)</f>
        <v>0</v>
      </c>
      <c r="Z170" s="255"/>
      <c r="AA170" s="527">
        <f>SUM(F170:X170)</f>
        <v>0</v>
      </c>
      <c r="AB170" s="208"/>
      <c r="AC170" s="208"/>
    </row>
    <row r="171" spans="3:29">
      <c r="C171" s="96" t="s">
        <v>986</v>
      </c>
      <c r="D171" s="940" t="s">
        <v>1232</v>
      </c>
      <c r="E171" s="940"/>
      <c r="F171" s="587"/>
      <c r="G171" s="587"/>
      <c r="H171" s="587"/>
      <c r="I171" s="587"/>
      <c r="J171" s="587"/>
      <c r="K171" s="587"/>
      <c r="L171" s="587"/>
      <c r="M171" s="587"/>
      <c r="N171" s="587"/>
      <c r="O171" s="587"/>
      <c r="P171" s="587"/>
      <c r="Q171" s="587"/>
      <c r="R171" s="587"/>
      <c r="S171" s="587"/>
      <c r="T171" s="587"/>
      <c r="U171" s="587"/>
      <c r="V171" s="587"/>
      <c r="W171" s="587"/>
      <c r="X171" s="587"/>
      <c r="Y171" s="437" t="s">
        <v>948</v>
      </c>
      <c r="Z171" s="92" t="s">
        <v>949</v>
      </c>
      <c r="AA171" s="541" t="s">
        <v>950</v>
      </c>
      <c r="AB171" s="208"/>
      <c r="AC171" s="208"/>
    </row>
    <row r="172" spans="3:29">
      <c r="D172" s="75"/>
      <c r="E172" s="1" t="s">
        <v>968</v>
      </c>
      <c r="F172" s="590">
        <v>1</v>
      </c>
      <c r="G172" s="589">
        <v>1</v>
      </c>
      <c r="H172" s="589">
        <v>1</v>
      </c>
      <c r="I172" s="589">
        <v>1</v>
      </c>
      <c r="J172" s="589">
        <v>1</v>
      </c>
      <c r="K172" s="589">
        <v>1</v>
      </c>
      <c r="L172" s="589">
        <v>1</v>
      </c>
      <c r="M172" s="589">
        <v>1</v>
      </c>
      <c r="N172" s="589">
        <v>2</v>
      </c>
      <c r="O172" s="589">
        <v>2</v>
      </c>
      <c r="P172" s="589">
        <v>1</v>
      </c>
      <c r="Q172" s="589">
        <v>3</v>
      </c>
      <c r="R172" s="589">
        <v>1</v>
      </c>
      <c r="S172" s="589">
        <v>1</v>
      </c>
      <c r="T172" s="589">
        <v>3</v>
      </c>
      <c r="U172" s="589">
        <v>3</v>
      </c>
      <c r="V172" s="589"/>
      <c r="W172" s="589"/>
      <c r="X172" s="588"/>
      <c r="Y172" s="432">
        <f>SUMPRODUCT($F172:$X172,$F$6:$X$6)</f>
        <v>512</v>
      </c>
      <c r="Z172" s="538">
        <f>'MF Pricing'!F69</f>
        <v>19</v>
      </c>
      <c r="AA172" s="537">
        <f>Y172*Z172</f>
        <v>9728</v>
      </c>
      <c r="AB172" s="208"/>
      <c r="AC172" s="208"/>
    </row>
    <row r="173" spans="3:29" outlineLevel="1">
      <c r="C173" s="423" t="s">
        <v>1184</v>
      </c>
      <c r="D173" s="1"/>
      <c r="E173" s="536" t="s">
        <v>1185</v>
      </c>
      <c r="F173" s="535">
        <f t="shared" ref="F173:X173" si="89">IF(F$6=0,0,F172*$Z172)</f>
        <v>19</v>
      </c>
      <c r="G173" s="534">
        <f t="shared" si="89"/>
        <v>19</v>
      </c>
      <c r="H173" s="534">
        <f t="shared" si="89"/>
        <v>19</v>
      </c>
      <c r="I173" s="534">
        <f t="shared" si="89"/>
        <v>19</v>
      </c>
      <c r="J173" s="534">
        <f t="shared" si="89"/>
        <v>19</v>
      </c>
      <c r="K173" s="534">
        <f t="shared" si="89"/>
        <v>19</v>
      </c>
      <c r="L173" s="534">
        <f t="shared" si="89"/>
        <v>19</v>
      </c>
      <c r="M173" s="534">
        <f t="shared" si="89"/>
        <v>19</v>
      </c>
      <c r="N173" s="534">
        <f t="shared" si="89"/>
        <v>38</v>
      </c>
      <c r="O173" s="534">
        <f t="shared" si="89"/>
        <v>38</v>
      </c>
      <c r="P173" s="534">
        <f t="shared" si="89"/>
        <v>19</v>
      </c>
      <c r="Q173" s="534">
        <f t="shared" si="89"/>
        <v>57</v>
      </c>
      <c r="R173" s="534">
        <f t="shared" si="89"/>
        <v>19</v>
      </c>
      <c r="S173" s="534">
        <f t="shared" si="89"/>
        <v>19</v>
      </c>
      <c r="T173" s="534">
        <f t="shared" si="89"/>
        <v>57</v>
      </c>
      <c r="U173" s="534">
        <f t="shared" si="89"/>
        <v>57</v>
      </c>
      <c r="V173" s="534">
        <f t="shared" si="89"/>
        <v>0</v>
      </c>
      <c r="W173" s="534">
        <f t="shared" si="89"/>
        <v>0</v>
      </c>
      <c r="X173" s="533">
        <f t="shared" si="89"/>
        <v>0</v>
      </c>
      <c r="Y173" s="432"/>
      <c r="Z173" s="532"/>
      <c r="AA173" s="394"/>
      <c r="AB173" s="208"/>
      <c r="AC173" s="208"/>
    </row>
    <row r="174" spans="3:29" outlineLevel="1">
      <c r="C174" s="423" t="s">
        <v>988</v>
      </c>
      <c r="D174" s="1"/>
      <c r="E174" s="16" t="s">
        <v>961</v>
      </c>
      <c r="F174" s="530">
        <f t="shared" ref="F174:X174" si="90">F173*F$6</f>
        <v>152</v>
      </c>
      <c r="G174" s="529">
        <f t="shared" si="90"/>
        <v>304</v>
      </c>
      <c r="H174" s="529">
        <f t="shared" si="90"/>
        <v>152</v>
      </c>
      <c r="I174" s="529">
        <f t="shared" si="90"/>
        <v>361</v>
      </c>
      <c r="J174" s="529">
        <f t="shared" si="90"/>
        <v>912</v>
      </c>
      <c r="K174" s="529">
        <f t="shared" si="90"/>
        <v>76</v>
      </c>
      <c r="L174" s="529">
        <f t="shared" si="90"/>
        <v>456</v>
      </c>
      <c r="M174" s="529">
        <f t="shared" si="90"/>
        <v>190</v>
      </c>
      <c r="N174" s="529">
        <f t="shared" si="90"/>
        <v>1216</v>
      </c>
      <c r="O174" s="529">
        <f t="shared" si="90"/>
        <v>2432</v>
      </c>
      <c r="P174" s="529">
        <f t="shared" si="90"/>
        <v>874</v>
      </c>
      <c r="Q174" s="529">
        <f t="shared" si="90"/>
        <v>912</v>
      </c>
      <c r="R174" s="529">
        <f t="shared" si="90"/>
        <v>456</v>
      </c>
      <c r="S174" s="529">
        <f t="shared" si="90"/>
        <v>152</v>
      </c>
      <c r="T174" s="529">
        <f t="shared" si="90"/>
        <v>456</v>
      </c>
      <c r="U174" s="529">
        <f t="shared" si="90"/>
        <v>627</v>
      </c>
      <c r="V174" s="529">
        <f t="shared" si="90"/>
        <v>0</v>
      </c>
      <c r="W174" s="529">
        <f t="shared" si="90"/>
        <v>0</v>
      </c>
      <c r="X174" s="528">
        <f t="shared" si="90"/>
        <v>0</v>
      </c>
      <c r="Y174" s="422">
        <f>SUM(Y172)</f>
        <v>512</v>
      </c>
      <c r="Z174" s="255"/>
      <c r="AA174" s="527">
        <f>SUM(F174:X174)</f>
        <v>9728</v>
      </c>
      <c r="AB174" s="208"/>
      <c r="AC174" s="208"/>
    </row>
    <row r="175" spans="3:29">
      <c r="C175" s="96" t="s">
        <v>987</v>
      </c>
      <c r="D175" s="940" t="s">
        <v>1229</v>
      </c>
      <c r="E175" s="940"/>
      <c r="F175" s="587"/>
      <c r="G175" s="587"/>
      <c r="H175" s="587"/>
      <c r="I175" s="587"/>
      <c r="J175" s="587"/>
      <c r="K175" s="587"/>
      <c r="L175" s="587"/>
      <c r="M175" s="587"/>
      <c r="N175" s="587"/>
      <c r="O175" s="587"/>
      <c r="P175" s="587"/>
      <c r="Q175" s="587"/>
      <c r="R175" s="587"/>
      <c r="S175" s="587"/>
      <c r="T175" s="587"/>
      <c r="U175" s="587"/>
      <c r="V175" s="587"/>
      <c r="W175" s="587"/>
      <c r="X175" s="587"/>
      <c r="Y175" s="437" t="s">
        <v>948</v>
      </c>
      <c r="Z175" s="92" t="s">
        <v>949</v>
      </c>
      <c r="AA175" s="541" t="s">
        <v>950</v>
      </c>
      <c r="AB175" s="208"/>
      <c r="AC175" s="208"/>
    </row>
    <row r="176" spans="3:29">
      <c r="D176" s="75"/>
      <c r="E176" s="1" t="s">
        <v>968</v>
      </c>
      <c r="F176" s="590">
        <v>1</v>
      </c>
      <c r="G176" s="589">
        <v>1</v>
      </c>
      <c r="H176" s="589">
        <v>1</v>
      </c>
      <c r="I176" s="589">
        <v>1</v>
      </c>
      <c r="J176" s="589">
        <v>1</v>
      </c>
      <c r="K176" s="589">
        <v>1</v>
      </c>
      <c r="L176" s="589">
        <v>1</v>
      </c>
      <c r="M176" s="589">
        <v>1</v>
      </c>
      <c r="N176" s="589">
        <v>2</v>
      </c>
      <c r="O176" s="589">
        <v>2</v>
      </c>
      <c r="P176" s="589">
        <v>1</v>
      </c>
      <c r="Q176" s="589">
        <v>3</v>
      </c>
      <c r="R176" s="589">
        <v>1</v>
      </c>
      <c r="S176" s="589">
        <v>1</v>
      </c>
      <c r="T176" s="589">
        <v>3</v>
      </c>
      <c r="U176" s="589">
        <v>3</v>
      </c>
      <c r="V176" s="589"/>
      <c r="W176" s="589"/>
      <c r="X176" s="588"/>
      <c r="Y176" s="432">
        <f>SUMPRODUCT($F176:$X176,$F$6:$X$6)</f>
        <v>512</v>
      </c>
      <c r="Z176" s="538">
        <f>'MF Pricing'!F71</f>
        <v>24</v>
      </c>
      <c r="AA176" s="537">
        <f>Y176*Z176</f>
        <v>12288</v>
      </c>
      <c r="AB176" s="208"/>
      <c r="AC176" s="208"/>
    </row>
    <row r="177" spans="3:29" outlineLevel="1">
      <c r="C177" s="423" t="s">
        <v>1184</v>
      </c>
      <c r="D177" s="1"/>
      <c r="E177" s="536" t="s">
        <v>1185</v>
      </c>
      <c r="F177" s="535">
        <f t="shared" ref="F177:X177" si="91">IF(F$6=0,0,F176*$Z176)</f>
        <v>24</v>
      </c>
      <c r="G177" s="534">
        <f t="shared" si="91"/>
        <v>24</v>
      </c>
      <c r="H177" s="534">
        <f t="shared" si="91"/>
        <v>24</v>
      </c>
      <c r="I177" s="534">
        <f t="shared" si="91"/>
        <v>24</v>
      </c>
      <c r="J177" s="534">
        <f t="shared" si="91"/>
        <v>24</v>
      </c>
      <c r="K177" s="534">
        <f t="shared" si="91"/>
        <v>24</v>
      </c>
      <c r="L177" s="534">
        <f t="shared" si="91"/>
        <v>24</v>
      </c>
      <c r="M177" s="534">
        <f t="shared" si="91"/>
        <v>24</v>
      </c>
      <c r="N177" s="534">
        <f t="shared" si="91"/>
        <v>48</v>
      </c>
      <c r="O177" s="534">
        <f t="shared" si="91"/>
        <v>48</v>
      </c>
      <c r="P177" s="534">
        <f t="shared" si="91"/>
        <v>24</v>
      </c>
      <c r="Q177" s="534">
        <f t="shared" si="91"/>
        <v>72</v>
      </c>
      <c r="R177" s="534">
        <f t="shared" si="91"/>
        <v>24</v>
      </c>
      <c r="S177" s="534">
        <f t="shared" si="91"/>
        <v>24</v>
      </c>
      <c r="T177" s="534">
        <f t="shared" si="91"/>
        <v>72</v>
      </c>
      <c r="U177" s="534">
        <f t="shared" si="91"/>
        <v>72</v>
      </c>
      <c r="V177" s="534">
        <f t="shared" si="91"/>
        <v>0</v>
      </c>
      <c r="W177" s="534">
        <f t="shared" si="91"/>
        <v>0</v>
      </c>
      <c r="X177" s="533">
        <f t="shared" si="91"/>
        <v>0</v>
      </c>
      <c r="Y177" s="432"/>
      <c r="Z177" s="532"/>
      <c r="AA177" s="394"/>
      <c r="AB177" s="208"/>
      <c r="AC177" s="208"/>
    </row>
    <row r="178" spans="3:29" outlineLevel="1">
      <c r="C178" s="423" t="s">
        <v>988</v>
      </c>
      <c r="D178" s="1"/>
      <c r="E178" s="16" t="s">
        <v>961</v>
      </c>
      <c r="F178" s="530">
        <f t="shared" ref="F178:X178" si="92">F177*F$6</f>
        <v>192</v>
      </c>
      <c r="G178" s="529">
        <f t="shared" si="92"/>
        <v>384</v>
      </c>
      <c r="H178" s="529">
        <f t="shared" si="92"/>
        <v>192</v>
      </c>
      <c r="I178" s="529">
        <f t="shared" si="92"/>
        <v>456</v>
      </c>
      <c r="J178" s="529">
        <f t="shared" si="92"/>
        <v>1152</v>
      </c>
      <c r="K178" s="529">
        <f t="shared" si="92"/>
        <v>96</v>
      </c>
      <c r="L178" s="529">
        <f t="shared" si="92"/>
        <v>576</v>
      </c>
      <c r="M178" s="529">
        <f t="shared" si="92"/>
        <v>240</v>
      </c>
      <c r="N178" s="529">
        <f t="shared" si="92"/>
        <v>1536</v>
      </c>
      <c r="O178" s="529">
        <f t="shared" si="92"/>
        <v>3072</v>
      </c>
      <c r="P178" s="529">
        <f t="shared" si="92"/>
        <v>1104</v>
      </c>
      <c r="Q178" s="529">
        <f t="shared" si="92"/>
        <v>1152</v>
      </c>
      <c r="R178" s="529">
        <f t="shared" si="92"/>
        <v>576</v>
      </c>
      <c r="S178" s="529">
        <f t="shared" si="92"/>
        <v>192</v>
      </c>
      <c r="T178" s="529">
        <f t="shared" si="92"/>
        <v>576</v>
      </c>
      <c r="U178" s="529">
        <f t="shared" si="92"/>
        <v>792</v>
      </c>
      <c r="V178" s="529">
        <f t="shared" si="92"/>
        <v>0</v>
      </c>
      <c r="W178" s="529">
        <f t="shared" si="92"/>
        <v>0</v>
      </c>
      <c r="X178" s="528">
        <f t="shared" si="92"/>
        <v>0</v>
      </c>
      <c r="Y178" s="422">
        <f>SUM(Y176)</f>
        <v>512</v>
      </c>
      <c r="Z178" s="255"/>
      <c r="AA178" s="527">
        <f>SUM(F178:X178)</f>
        <v>12288</v>
      </c>
      <c r="AB178" s="208"/>
      <c r="AC178" s="208"/>
    </row>
    <row r="179" spans="3:29">
      <c r="C179" s="96" t="s">
        <v>989</v>
      </c>
      <c r="D179" s="940" t="s">
        <v>1233</v>
      </c>
      <c r="E179" s="940"/>
      <c r="F179" s="587"/>
      <c r="G179" s="587"/>
      <c r="H179" s="587"/>
      <c r="I179" s="587"/>
      <c r="J179" s="587"/>
      <c r="K179" s="587"/>
      <c r="L179" s="587"/>
      <c r="M179" s="587"/>
      <c r="N179" s="587"/>
      <c r="O179" s="587"/>
      <c r="P179" s="587"/>
      <c r="Q179" s="587"/>
      <c r="R179" s="587"/>
      <c r="S179" s="587"/>
      <c r="T179" s="587"/>
      <c r="U179" s="587"/>
      <c r="V179" s="587"/>
      <c r="W179" s="587"/>
      <c r="X179" s="587"/>
      <c r="Y179" s="437" t="s">
        <v>948</v>
      </c>
      <c r="Z179" s="92" t="s">
        <v>949</v>
      </c>
      <c r="AA179" s="541" t="s">
        <v>950</v>
      </c>
      <c r="AB179" s="208"/>
      <c r="AC179" s="208"/>
    </row>
    <row r="180" spans="3:29" outlineLevel="1">
      <c r="D180" s="75"/>
      <c r="E180" s="1" t="s">
        <v>968</v>
      </c>
      <c r="F180" s="586">
        <f t="shared" ref="F180:X180" si="93">F172</f>
        <v>1</v>
      </c>
      <c r="G180" s="585">
        <f t="shared" si="93"/>
        <v>1</v>
      </c>
      <c r="H180" s="585">
        <f t="shared" si="93"/>
        <v>1</v>
      </c>
      <c r="I180" s="585">
        <f t="shared" si="93"/>
        <v>1</v>
      </c>
      <c r="J180" s="585">
        <f t="shared" si="93"/>
        <v>1</v>
      </c>
      <c r="K180" s="585">
        <f t="shared" si="93"/>
        <v>1</v>
      </c>
      <c r="L180" s="585">
        <f t="shared" si="93"/>
        <v>1</v>
      </c>
      <c r="M180" s="585">
        <f t="shared" si="93"/>
        <v>1</v>
      </c>
      <c r="N180" s="585">
        <f t="shared" si="93"/>
        <v>2</v>
      </c>
      <c r="O180" s="585">
        <f t="shared" si="93"/>
        <v>2</v>
      </c>
      <c r="P180" s="585">
        <f t="shared" si="93"/>
        <v>1</v>
      </c>
      <c r="Q180" s="585">
        <f t="shared" si="93"/>
        <v>3</v>
      </c>
      <c r="R180" s="585">
        <f t="shared" si="93"/>
        <v>1</v>
      </c>
      <c r="S180" s="585">
        <f t="shared" si="93"/>
        <v>1</v>
      </c>
      <c r="T180" s="585">
        <f t="shared" si="93"/>
        <v>3</v>
      </c>
      <c r="U180" s="585">
        <f t="shared" si="93"/>
        <v>3</v>
      </c>
      <c r="V180" s="585">
        <f t="shared" si="93"/>
        <v>0</v>
      </c>
      <c r="W180" s="585">
        <f t="shared" si="93"/>
        <v>0</v>
      </c>
      <c r="X180" s="584">
        <f t="shared" si="93"/>
        <v>0</v>
      </c>
      <c r="Y180" s="432">
        <f>SUMPRODUCT($F180:$X180,$F$6:$X$6)</f>
        <v>512</v>
      </c>
      <c r="Z180" s="538">
        <f>'MF Pricing'!F73</f>
        <v>4.5</v>
      </c>
      <c r="AA180" s="537">
        <f>Y180*Z180</f>
        <v>2304</v>
      </c>
      <c r="AB180" s="208"/>
      <c r="AC180" s="208"/>
    </row>
    <row r="181" spans="3:29" outlineLevel="1">
      <c r="C181" s="423" t="s">
        <v>1184</v>
      </c>
      <c r="D181" s="1"/>
      <c r="E181" s="536" t="s">
        <v>1185</v>
      </c>
      <c r="F181" s="535">
        <f t="shared" ref="F181:X181" si="94">IF(F$6=0,0,F180*$Z180)</f>
        <v>4.5</v>
      </c>
      <c r="G181" s="534">
        <f t="shared" si="94"/>
        <v>4.5</v>
      </c>
      <c r="H181" s="534">
        <f t="shared" si="94"/>
        <v>4.5</v>
      </c>
      <c r="I181" s="534">
        <f t="shared" si="94"/>
        <v>4.5</v>
      </c>
      <c r="J181" s="534">
        <f t="shared" si="94"/>
        <v>4.5</v>
      </c>
      <c r="K181" s="534">
        <f t="shared" si="94"/>
        <v>4.5</v>
      </c>
      <c r="L181" s="534">
        <f t="shared" si="94"/>
        <v>4.5</v>
      </c>
      <c r="M181" s="534">
        <f t="shared" si="94"/>
        <v>4.5</v>
      </c>
      <c r="N181" s="534">
        <f t="shared" si="94"/>
        <v>9</v>
      </c>
      <c r="O181" s="534">
        <f t="shared" si="94"/>
        <v>9</v>
      </c>
      <c r="P181" s="534">
        <f t="shared" si="94"/>
        <v>4.5</v>
      </c>
      <c r="Q181" s="534">
        <f t="shared" si="94"/>
        <v>13.5</v>
      </c>
      <c r="R181" s="534">
        <f t="shared" si="94"/>
        <v>4.5</v>
      </c>
      <c r="S181" s="534">
        <f t="shared" si="94"/>
        <v>4.5</v>
      </c>
      <c r="T181" s="534">
        <f t="shared" si="94"/>
        <v>13.5</v>
      </c>
      <c r="U181" s="534">
        <f t="shared" si="94"/>
        <v>13.5</v>
      </c>
      <c r="V181" s="534">
        <f t="shared" si="94"/>
        <v>0</v>
      </c>
      <c r="W181" s="534">
        <f t="shared" si="94"/>
        <v>0</v>
      </c>
      <c r="X181" s="533">
        <f t="shared" si="94"/>
        <v>0</v>
      </c>
      <c r="Y181" s="432"/>
      <c r="Z181" s="532"/>
      <c r="AA181" s="394"/>
      <c r="AB181" s="208"/>
      <c r="AC181" s="208"/>
    </row>
    <row r="182" spans="3:29" outlineLevel="1">
      <c r="C182" s="423" t="s">
        <v>988</v>
      </c>
      <c r="D182" s="1"/>
      <c r="E182" s="16" t="s">
        <v>961</v>
      </c>
      <c r="F182" s="530">
        <f t="shared" ref="F182:X182" si="95">F181*F$6</f>
        <v>36</v>
      </c>
      <c r="G182" s="529">
        <f t="shared" si="95"/>
        <v>72</v>
      </c>
      <c r="H182" s="529">
        <f t="shared" si="95"/>
        <v>36</v>
      </c>
      <c r="I182" s="529">
        <f t="shared" si="95"/>
        <v>85.5</v>
      </c>
      <c r="J182" s="529">
        <f t="shared" si="95"/>
        <v>216</v>
      </c>
      <c r="K182" s="529">
        <f t="shared" si="95"/>
        <v>18</v>
      </c>
      <c r="L182" s="529">
        <f t="shared" si="95"/>
        <v>108</v>
      </c>
      <c r="M182" s="529">
        <f t="shared" si="95"/>
        <v>45</v>
      </c>
      <c r="N182" s="529">
        <f t="shared" si="95"/>
        <v>288</v>
      </c>
      <c r="O182" s="529">
        <f t="shared" si="95"/>
        <v>576</v>
      </c>
      <c r="P182" s="529">
        <f t="shared" si="95"/>
        <v>207</v>
      </c>
      <c r="Q182" s="529">
        <f t="shared" si="95"/>
        <v>216</v>
      </c>
      <c r="R182" s="529">
        <f t="shared" si="95"/>
        <v>108</v>
      </c>
      <c r="S182" s="529">
        <f t="shared" si="95"/>
        <v>36</v>
      </c>
      <c r="T182" s="529">
        <f t="shared" si="95"/>
        <v>108</v>
      </c>
      <c r="U182" s="529">
        <f t="shared" si="95"/>
        <v>148.5</v>
      </c>
      <c r="V182" s="529">
        <f t="shared" si="95"/>
        <v>0</v>
      </c>
      <c r="W182" s="529">
        <f t="shared" si="95"/>
        <v>0</v>
      </c>
      <c r="X182" s="528">
        <f t="shared" si="95"/>
        <v>0</v>
      </c>
      <c r="Y182" s="422">
        <f>SUM(Y180)</f>
        <v>512</v>
      </c>
      <c r="Z182" s="255"/>
      <c r="AA182" s="527">
        <f>SUM(F182:X182)</f>
        <v>2304</v>
      </c>
      <c r="AB182" s="208"/>
      <c r="AC182" s="208"/>
    </row>
    <row r="183" spans="3:29">
      <c r="C183" s="96" t="s">
        <v>990</v>
      </c>
      <c r="D183" s="940" t="s">
        <v>1234</v>
      </c>
      <c r="E183" s="940"/>
      <c r="F183" s="62"/>
      <c r="G183" s="62"/>
      <c r="H183" s="62"/>
      <c r="I183" s="62"/>
      <c r="J183" s="62"/>
      <c r="K183" s="62"/>
      <c r="L183" s="62"/>
      <c r="M183" s="62"/>
      <c r="N183" s="62"/>
      <c r="O183" s="62"/>
      <c r="P183" s="62"/>
      <c r="Q183" s="62"/>
      <c r="R183" s="62"/>
      <c r="S183" s="62"/>
      <c r="T183" s="62"/>
      <c r="U183" s="62"/>
      <c r="V183" s="62"/>
      <c r="W183" s="62"/>
      <c r="X183" s="62"/>
      <c r="Y183" s="437" t="s">
        <v>948</v>
      </c>
      <c r="Z183" s="92" t="s">
        <v>949</v>
      </c>
      <c r="AA183" s="541" t="s">
        <v>950</v>
      </c>
      <c r="AB183" s="208"/>
      <c r="AC183" s="208"/>
    </row>
    <row r="184" spans="3:29">
      <c r="D184" s="75"/>
      <c r="E184" s="1" t="s">
        <v>968</v>
      </c>
      <c r="F184" s="547">
        <v>2</v>
      </c>
      <c r="G184" s="546">
        <v>2</v>
      </c>
      <c r="H184" s="546">
        <v>2</v>
      </c>
      <c r="I184" s="546">
        <v>2</v>
      </c>
      <c r="J184" s="546">
        <v>2</v>
      </c>
      <c r="K184" s="546">
        <v>2</v>
      </c>
      <c r="L184" s="546">
        <v>2</v>
      </c>
      <c r="M184" s="546">
        <v>2</v>
      </c>
      <c r="N184" s="546">
        <v>2</v>
      </c>
      <c r="O184" s="546">
        <v>2</v>
      </c>
      <c r="P184" s="546">
        <v>3</v>
      </c>
      <c r="Q184" s="546">
        <v>1</v>
      </c>
      <c r="R184" s="546">
        <v>3</v>
      </c>
      <c r="S184" s="546">
        <v>3</v>
      </c>
      <c r="T184" s="546">
        <v>3</v>
      </c>
      <c r="U184" s="546">
        <v>3</v>
      </c>
      <c r="V184" s="546"/>
      <c r="W184" s="546"/>
      <c r="X184" s="545"/>
      <c r="Y184" s="432">
        <f>SUMPRODUCT($F184:$X184,$F$6:$X$6)</f>
        <v>773</v>
      </c>
      <c r="Z184" s="538">
        <f>'MF Pricing'!F75</f>
        <v>9</v>
      </c>
      <c r="AA184" s="537">
        <f>Y184*Z184</f>
        <v>6957</v>
      </c>
      <c r="AB184" s="208"/>
      <c r="AC184" s="208"/>
    </row>
    <row r="185" spans="3:29" outlineLevel="1">
      <c r="C185" s="423" t="s">
        <v>1184</v>
      </c>
      <c r="D185" s="1"/>
      <c r="E185" s="536" t="s">
        <v>1185</v>
      </c>
      <c r="F185" s="535">
        <f t="shared" ref="F185:X185" si="96">IF(F$6=0,0,F184*$Z184)</f>
        <v>18</v>
      </c>
      <c r="G185" s="534">
        <f t="shared" si="96"/>
        <v>18</v>
      </c>
      <c r="H185" s="534">
        <f t="shared" si="96"/>
        <v>18</v>
      </c>
      <c r="I185" s="534">
        <f t="shared" si="96"/>
        <v>18</v>
      </c>
      <c r="J185" s="534">
        <f t="shared" si="96"/>
        <v>18</v>
      </c>
      <c r="K185" s="534">
        <f t="shared" si="96"/>
        <v>18</v>
      </c>
      <c r="L185" s="534">
        <f t="shared" si="96"/>
        <v>18</v>
      </c>
      <c r="M185" s="534">
        <f t="shared" si="96"/>
        <v>18</v>
      </c>
      <c r="N185" s="534">
        <f t="shared" si="96"/>
        <v>18</v>
      </c>
      <c r="O185" s="534">
        <f t="shared" si="96"/>
        <v>18</v>
      </c>
      <c r="P185" s="534">
        <f t="shared" si="96"/>
        <v>27</v>
      </c>
      <c r="Q185" s="534">
        <f t="shared" si="96"/>
        <v>9</v>
      </c>
      <c r="R185" s="534">
        <f t="shared" si="96"/>
        <v>27</v>
      </c>
      <c r="S185" s="534">
        <f t="shared" si="96"/>
        <v>27</v>
      </c>
      <c r="T185" s="534">
        <f t="shared" si="96"/>
        <v>27</v>
      </c>
      <c r="U185" s="534">
        <f t="shared" si="96"/>
        <v>27</v>
      </c>
      <c r="V185" s="534">
        <f t="shared" si="96"/>
        <v>0</v>
      </c>
      <c r="W185" s="534">
        <f t="shared" si="96"/>
        <v>0</v>
      </c>
      <c r="X185" s="533">
        <f t="shared" si="96"/>
        <v>0</v>
      </c>
      <c r="Y185" s="432"/>
      <c r="Z185" s="532"/>
      <c r="AA185" s="394"/>
      <c r="AB185" s="208"/>
      <c r="AC185" s="208"/>
    </row>
    <row r="186" spans="3:29" outlineLevel="1">
      <c r="C186" s="423" t="s">
        <v>988</v>
      </c>
      <c r="D186" s="1"/>
      <c r="E186" s="16" t="s">
        <v>961</v>
      </c>
      <c r="F186" s="530">
        <f t="shared" ref="F186:X186" si="97">F185*F$6</f>
        <v>144</v>
      </c>
      <c r="G186" s="529">
        <f t="shared" si="97"/>
        <v>288</v>
      </c>
      <c r="H186" s="529">
        <f t="shared" si="97"/>
        <v>144</v>
      </c>
      <c r="I186" s="529">
        <f t="shared" si="97"/>
        <v>342</v>
      </c>
      <c r="J186" s="529">
        <f t="shared" si="97"/>
        <v>864</v>
      </c>
      <c r="K186" s="529">
        <f t="shared" si="97"/>
        <v>72</v>
      </c>
      <c r="L186" s="529">
        <f t="shared" si="97"/>
        <v>432</v>
      </c>
      <c r="M186" s="529">
        <f t="shared" si="97"/>
        <v>180</v>
      </c>
      <c r="N186" s="529">
        <f t="shared" si="97"/>
        <v>576</v>
      </c>
      <c r="O186" s="529">
        <f t="shared" si="97"/>
        <v>1152</v>
      </c>
      <c r="P186" s="529">
        <f t="shared" si="97"/>
        <v>1242</v>
      </c>
      <c r="Q186" s="529">
        <f t="shared" si="97"/>
        <v>144</v>
      </c>
      <c r="R186" s="529">
        <f t="shared" si="97"/>
        <v>648</v>
      </c>
      <c r="S186" s="529">
        <f t="shared" si="97"/>
        <v>216</v>
      </c>
      <c r="T186" s="529">
        <f t="shared" si="97"/>
        <v>216</v>
      </c>
      <c r="U186" s="529">
        <f t="shared" si="97"/>
        <v>297</v>
      </c>
      <c r="V186" s="529">
        <f t="shared" si="97"/>
        <v>0</v>
      </c>
      <c r="W186" s="529">
        <f t="shared" si="97"/>
        <v>0</v>
      </c>
      <c r="X186" s="528">
        <f t="shared" si="97"/>
        <v>0</v>
      </c>
      <c r="Y186" s="422">
        <f>SUM(Y184)</f>
        <v>773</v>
      </c>
      <c r="Z186" s="255"/>
      <c r="AA186" s="527">
        <f>SUM(F186:X186)</f>
        <v>6957</v>
      </c>
      <c r="AB186" s="208"/>
      <c r="AC186" s="208"/>
    </row>
    <row r="187" spans="3:29">
      <c r="C187" s="96" t="s">
        <v>991</v>
      </c>
      <c r="D187" s="940" t="s">
        <v>1235</v>
      </c>
      <c r="E187" s="940"/>
      <c r="F187" s="62"/>
      <c r="G187" s="62"/>
      <c r="H187" s="62"/>
      <c r="I187" s="62"/>
      <c r="J187" s="62"/>
      <c r="K187" s="62"/>
      <c r="L187" s="62"/>
      <c r="M187" s="62"/>
      <c r="N187" s="62"/>
      <c r="O187" s="62"/>
      <c r="P187" s="62"/>
      <c r="Q187" s="62"/>
      <c r="R187" s="62"/>
      <c r="S187" s="62"/>
      <c r="T187" s="62"/>
      <c r="U187" s="62"/>
      <c r="V187" s="62"/>
      <c r="W187" s="62"/>
      <c r="X187" s="62"/>
      <c r="Y187" s="437" t="s">
        <v>948</v>
      </c>
      <c r="Z187" s="92" t="s">
        <v>949</v>
      </c>
      <c r="AA187" s="541" t="s">
        <v>950</v>
      </c>
      <c r="AB187" s="208"/>
      <c r="AC187" s="208"/>
    </row>
    <row r="188" spans="3:29">
      <c r="D188" s="75"/>
      <c r="E188" s="1" t="s">
        <v>992</v>
      </c>
      <c r="F188" s="547">
        <v>43</v>
      </c>
      <c r="G188" s="546">
        <v>46</v>
      </c>
      <c r="H188" s="546">
        <v>34</v>
      </c>
      <c r="I188" s="546">
        <v>45</v>
      </c>
      <c r="J188" s="546">
        <v>49</v>
      </c>
      <c r="K188" s="546">
        <v>50</v>
      </c>
      <c r="L188" s="546">
        <v>63</v>
      </c>
      <c r="M188" s="546">
        <v>66</v>
      </c>
      <c r="N188" s="546">
        <v>83</v>
      </c>
      <c r="O188" s="546">
        <v>68</v>
      </c>
      <c r="P188" s="546">
        <v>73</v>
      </c>
      <c r="Q188" s="546">
        <v>99</v>
      </c>
      <c r="R188" s="546">
        <v>70</v>
      </c>
      <c r="S188" s="546">
        <v>92</v>
      </c>
      <c r="T188" s="546">
        <v>141</v>
      </c>
      <c r="U188" s="546">
        <v>106</v>
      </c>
      <c r="V188" s="546"/>
      <c r="W188" s="546"/>
      <c r="X188" s="545"/>
      <c r="Y188" s="432">
        <f>SUMPRODUCT($F188:$X188,$F$6:$X$6)</f>
        <v>23591</v>
      </c>
      <c r="Z188" s="538">
        <f>'MF Pricing'!F77</f>
        <v>12</v>
      </c>
      <c r="AA188" s="537">
        <f>Y188*Z188/10</f>
        <v>28309.200000000001</v>
      </c>
      <c r="AB188" s="208"/>
      <c r="AC188" s="208"/>
    </row>
    <row r="189" spans="3:29" outlineLevel="1">
      <c r="C189" s="423" t="s">
        <v>1184</v>
      </c>
      <c r="D189" s="1"/>
      <c r="E189" s="536" t="s">
        <v>1185</v>
      </c>
      <c r="F189" s="535">
        <f t="shared" ref="F189:X189" si="98">IF(F$6=0,0,F188*$Z188/10*$L$2)</f>
        <v>51.6</v>
      </c>
      <c r="G189" s="535">
        <f t="shared" si="98"/>
        <v>55.2</v>
      </c>
      <c r="H189" s="535">
        <f t="shared" si="98"/>
        <v>40.799999999999997</v>
      </c>
      <c r="I189" s="535">
        <f t="shared" si="98"/>
        <v>54</v>
      </c>
      <c r="J189" s="535">
        <f t="shared" si="98"/>
        <v>58.8</v>
      </c>
      <c r="K189" s="535">
        <f t="shared" si="98"/>
        <v>60</v>
      </c>
      <c r="L189" s="535">
        <f t="shared" si="98"/>
        <v>75.599999999999994</v>
      </c>
      <c r="M189" s="535">
        <f t="shared" si="98"/>
        <v>79.2</v>
      </c>
      <c r="N189" s="535">
        <f t="shared" si="98"/>
        <v>99.6</v>
      </c>
      <c r="O189" s="535">
        <f t="shared" si="98"/>
        <v>81.599999999999994</v>
      </c>
      <c r="P189" s="535">
        <f t="shared" si="98"/>
        <v>87.6</v>
      </c>
      <c r="Q189" s="535">
        <f t="shared" si="98"/>
        <v>118.8</v>
      </c>
      <c r="R189" s="535">
        <f t="shared" si="98"/>
        <v>84</v>
      </c>
      <c r="S189" s="535">
        <f t="shared" si="98"/>
        <v>110.4</v>
      </c>
      <c r="T189" s="535">
        <f t="shared" si="98"/>
        <v>169.2</v>
      </c>
      <c r="U189" s="535">
        <f t="shared" si="98"/>
        <v>127.2</v>
      </c>
      <c r="V189" s="535">
        <f t="shared" si="98"/>
        <v>0</v>
      </c>
      <c r="W189" s="535">
        <f t="shared" si="98"/>
        <v>0</v>
      </c>
      <c r="X189" s="535">
        <f t="shared" si="98"/>
        <v>0</v>
      </c>
      <c r="Y189" s="432"/>
      <c r="Z189" s="532"/>
      <c r="AA189" s="394"/>
      <c r="AB189" s="208"/>
      <c r="AC189" s="208"/>
    </row>
    <row r="190" spans="3:29" outlineLevel="1">
      <c r="C190" s="423" t="s">
        <v>988</v>
      </c>
      <c r="D190" s="1"/>
      <c r="E190" s="16" t="s">
        <v>961</v>
      </c>
      <c r="F190" s="530">
        <f t="shared" ref="F190:X190" si="99">F189*F$6</f>
        <v>412.8</v>
      </c>
      <c r="G190" s="529">
        <f t="shared" si="99"/>
        <v>883.2</v>
      </c>
      <c r="H190" s="529">
        <f t="shared" si="99"/>
        <v>326.39999999999998</v>
      </c>
      <c r="I190" s="529">
        <f t="shared" si="99"/>
        <v>1026</v>
      </c>
      <c r="J190" s="529">
        <f t="shared" si="99"/>
        <v>2822.3999999999996</v>
      </c>
      <c r="K190" s="529">
        <f t="shared" si="99"/>
        <v>240</v>
      </c>
      <c r="L190" s="529">
        <f t="shared" si="99"/>
        <v>1814.3999999999999</v>
      </c>
      <c r="M190" s="529">
        <f t="shared" si="99"/>
        <v>792</v>
      </c>
      <c r="N190" s="529">
        <f t="shared" si="99"/>
        <v>3187.2</v>
      </c>
      <c r="O190" s="529">
        <f t="shared" si="99"/>
        <v>5222.3999999999996</v>
      </c>
      <c r="P190" s="529">
        <f t="shared" si="99"/>
        <v>4029.6</v>
      </c>
      <c r="Q190" s="529">
        <f t="shared" si="99"/>
        <v>1900.8</v>
      </c>
      <c r="R190" s="529">
        <f t="shared" si="99"/>
        <v>2016</v>
      </c>
      <c r="S190" s="529">
        <f t="shared" si="99"/>
        <v>883.2</v>
      </c>
      <c r="T190" s="529">
        <f t="shared" si="99"/>
        <v>1353.6</v>
      </c>
      <c r="U190" s="529">
        <f t="shared" si="99"/>
        <v>1399.2</v>
      </c>
      <c r="V190" s="529">
        <f t="shared" si="99"/>
        <v>0</v>
      </c>
      <c r="W190" s="529">
        <f t="shared" si="99"/>
        <v>0</v>
      </c>
      <c r="X190" s="528">
        <f t="shared" si="99"/>
        <v>0</v>
      </c>
      <c r="Y190" s="422">
        <f>SUM(Y188)</f>
        <v>23591</v>
      </c>
      <c r="Z190" s="255"/>
      <c r="AA190" s="527">
        <f>SUM(F190:X190)</f>
        <v>28309.199999999993</v>
      </c>
      <c r="AB190" s="208"/>
      <c r="AC190" s="208"/>
    </row>
    <row r="191" spans="3:29">
      <c r="C191" s="96" t="s">
        <v>993</v>
      </c>
      <c r="D191" s="940" t="s">
        <v>1236</v>
      </c>
      <c r="E191" s="940"/>
      <c r="F191" s="62"/>
      <c r="G191" s="62"/>
      <c r="H191" s="62"/>
      <c r="I191" s="62"/>
      <c r="J191" s="62"/>
      <c r="K191" s="62"/>
      <c r="L191" s="62"/>
      <c r="M191" s="62"/>
      <c r="N191" s="62"/>
      <c r="O191" s="62"/>
      <c r="P191" s="62"/>
      <c r="Q191" s="62"/>
      <c r="R191" s="62"/>
      <c r="S191" s="62"/>
      <c r="T191" s="62"/>
      <c r="U191" s="62"/>
      <c r="V191" s="62"/>
      <c r="W191" s="62"/>
      <c r="X191" s="62"/>
      <c r="Y191" s="437" t="s">
        <v>948</v>
      </c>
      <c r="Z191" s="92" t="s">
        <v>949</v>
      </c>
      <c r="AA191" s="541" t="s">
        <v>950</v>
      </c>
      <c r="AB191" s="208"/>
      <c r="AC191" s="208"/>
    </row>
    <row r="192" spans="3:29">
      <c r="D192" s="75"/>
      <c r="E192" s="1" t="s">
        <v>686</v>
      </c>
      <c r="F192" s="547">
        <v>42</v>
      </c>
      <c r="G192" s="546">
        <v>42</v>
      </c>
      <c r="H192" s="546">
        <v>20</v>
      </c>
      <c r="I192" s="546">
        <v>14</v>
      </c>
      <c r="J192" s="546">
        <v>16</v>
      </c>
      <c r="K192" s="546">
        <v>16</v>
      </c>
      <c r="L192" s="546">
        <v>16</v>
      </c>
      <c r="M192" s="546">
        <v>20</v>
      </c>
      <c r="N192" s="546">
        <v>1.5</v>
      </c>
      <c r="O192" s="546">
        <v>17</v>
      </c>
      <c r="P192" s="546">
        <v>15</v>
      </c>
      <c r="Q192" s="546">
        <v>8</v>
      </c>
      <c r="R192" s="546">
        <v>3</v>
      </c>
      <c r="S192" s="546">
        <v>31</v>
      </c>
      <c r="T192" s="546">
        <v>43</v>
      </c>
      <c r="U192" s="546">
        <v>46</v>
      </c>
      <c r="V192" s="546"/>
      <c r="W192" s="546"/>
      <c r="X192" s="545"/>
      <c r="Y192" s="432">
        <f>SUMPRODUCT($F192:$X192,$F$6:$X$6)</f>
        <v>5974</v>
      </c>
      <c r="Z192" s="538">
        <f>'MF Pricing'!F79</f>
        <v>8</v>
      </c>
      <c r="AA192" s="537">
        <f>Y192*Z192/5</f>
        <v>9558.4</v>
      </c>
      <c r="AB192" s="208"/>
      <c r="AC192" s="208"/>
    </row>
    <row r="193" spans="1:29" outlineLevel="1">
      <c r="C193" s="423" t="s">
        <v>1184</v>
      </c>
      <c r="D193" s="1"/>
      <c r="E193" s="536" t="s">
        <v>1185</v>
      </c>
      <c r="F193" s="535">
        <f t="shared" ref="F193:X193" si="100">IF(F$6=0,0,F192*$Z192/5*$L$2)</f>
        <v>67.2</v>
      </c>
      <c r="G193" s="535">
        <f t="shared" si="100"/>
        <v>67.2</v>
      </c>
      <c r="H193" s="535">
        <f t="shared" si="100"/>
        <v>32</v>
      </c>
      <c r="I193" s="535">
        <f t="shared" si="100"/>
        <v>22.4</v>
      </c>
      <c r="J193" s="535">
        <f t="shared" si="100"/>
        <v>25.6</v>
      </c>
      <c r="K193" s="535">
        <f t="shared" si="100"/>
        <v>25.6</v>
      </c>
      <c r="L193" s="535">
        <f t="shared" si="100"/>
        <v>25.6</v>
      </c>
      <c r="M193" s="535">
        <f t="shared" si="100"/>
        <v>32</v>
      </c>
      <c r="N193" s="535">
        <f t="shared" si="100"/>
        <v>2.4</v>
      </c>
      <c r="O193" s="535">
        <f t="shared" si="100"/>
        <v>27.2</v>
      </c>
      <c r="P193" s="535">
        <f t="shared" si="100"/>
        <v>24</v>
      </c>
      <c r="Q193" s="535">
        <f t="shared" si="100"/>
        <v>12.8</v>
      </c>
      <c r="R193" s="535">
        <f t="shared" si="100"/>
        <v>4.8</v>
      </c>
      <c r="S193" s="535">
        <f t="shared" si="100"/>
        <v>49.6</v>
      </c>
      <c r="T193" s="535">
        <f t="shared" si="100"/>
        <v>68.8</v>
      </c>
      <c r="U193" s="535">
        <f t="shared" si="100"/>
        <v>73.599999999999994</v>
      </c>
      <c r="V193" s="535">
        <f t="shared" si="100"/>
        <v>0</v>
      </c>
      <c r="W193" s="535">
        <f t="shared" si="100"/>
        <v>0</v>
      </c>
      <c r="X193" s="535">
        <f t="shared" si="100"/>
        <v>0</v>
      </c>
      <c r="Y193" s="432"/>
      <c r="Z193" s="532"/>
      <c r="AA193" s="394"/>
      <c r="AB193" s="208"/>
      <c r="AC193" s="208"/>
    </row>
    <row r="194" spans="1:29" outlineLevel="1">
      <c r="C194" s="423" t="s">
        <v>988</v>
      </c>
      <c r="D194" s="1"/>
      <c r="E194" s="16" t="s">
        <v>961</v>
      </c>
      <c r="F194" s="530">
        <f t="shared" ref="F194:X194" si="101">F193*F$6</f>
        <v>537.6</v>
      </c>
      <c r="G194" s="529">
        <f t="shared" si="101"/>
        <v>1075.2</v>
      </c>
      <c r="H194" s="529">
        <f t="shared" si="101"/>
        <v>256</v>
      </c>
      <c r="I194" s="529">
        <f t="shared" si="101"/>
        <v>425.59999999999997</v>
      </c>
      <c r="J194" s="529">
        <f t="shared" si="101"/>
        <v>1228.8000000000002</v>
      </c>
      <c r="K194" s="529">
        <f t="shared" si="101"/>
        <v>102.4</v>
      </c>
      <c r="L194" s="529">
        <f t="shared" si="101"/>
        <v>614.40000000000009</v>
      </c>
      <c r="M194" s="529">
        <f t="shared" si="101"/>
        <v>320</v>
      </c>
      <c r="N194" s="529">
        <f t="shared" si="101"/>
        <v>76.8</v>
      </c>
      <c r="O194" s="529">
        <f t="shared" si="101"/>
        <v>1740.8</v>
      </c>
      <c r="P194" s="529">
        <f t="shared" si="101"/>
        <v>1104</v>
      </c>
      <c r="Q194" s="529">
        <f t="shared" si="101"/>
        <v>204.8</v>
      </c>
      <c r="R194" s="529">
        <f t="shared" si="101"/>
        <v>115.19999999999999</v>
      </c>
      <c r="S194" s="529">
        <f t="shared" si="101"/>
        <v>396.8</v>
      </c>
      <c r="T194" s="529">
        <f t="shared" si="101"/>
        <v>550.4</v>
      </c>
      <c r="U194" s="529">
        <f t="shared" si="101"/>
        <v>809.59999999999991</v>
      </c>
      <c r="V194" s="529">
        <f t="shared" si="101"/>
        <v>0</v>
      </c>
      <c r="W194" s="529">
        <f t="shared" si="101"/>
        <v>0</v>
      </c>
      <c r="X194" s="528">
        <f t="shared" si="101"/>
        <v>0</v>
      </c>
      <c r="Y194" s="422">
        <f>SUM(Y192)</f>
        <v>5974</v>
      </c>
      <c r="Z194" s="255"/>
      <c r="AA194" s="527">
        <f>SUM(F194:X194)</f>
        <v>9558.4</v>
      </c>
      <c r="AB194" s="208"/>
      <c r="AC194" s="208"/>
    </row>
    <row r="195" spans="1:29">
      <c r="C195" s="96" t="s">
        <v>995</v>
      </c>
      <c r="D195" s="940" t="s">
        <v>1237</v>
      </c>
      <c r="E195" s="940"/>
      <c r="F195" s="62"/>
      <c r="G195" s="62"/>
      <c r="H195" s="62"/>
      <c r="I195" s="62"/>
      <c r="J195" s="62"/>
      <c r="K195" s="62"/>
      <c r="L195" s="62"/>
      <c r="M195" s="62"/>
      <c r="N195" s="62"/>
      <c r="O195" s="62"/>
      <c r="P195" s="62"/>
      <c r="Q195" s="62"/>
      <c r="R195" s="62"/>
      <c r="S195" s="62"/>
      <c r="T195" s="62"/>
      <c r="U195" s="62"/>
      <c r="V195" s="62"/>
      <c r="W195" s="62"/>
      <c r="X195" s="62"/>
      <c r="Y195" s="437" t="s">
        <v>948</v>
      </c>
      <c r="Z195" s="92" t="s">
        <v>949</v>
      </c>
      <c r="AA195" s="541" t="s">
        <v>950</v>
      </c>
      <c r="AB195" s="208"/>
      <c r="AC195" s="208"/>
    </row>
    <row r="196" spans="1:29">
      <c r="D196" s="75"/>
      <c r="E196" s="1" t="s">
        <v>686</v>
      </c>
      <c r="F196" s="547">
        <v>0</v>
      </c>
      <c r="G196" s="546">
        <v>0</v>
      </c>
      <c r="H196" s="546">
        <v>0</v>
      </c>
      <c r="I196" s="546">
        <v>0</v>
      </c>
      <c r="J196" s="546">
        <v>0</v>
      </c>
      <c r="K196" s="546">
        <v>0</v>
      </c>
      <c r="L196" s="546">
        <v>0</v>
      </c>
      <c r="M196" s="546">
        <v>0</v>
      </c>
      <c r="N196" s="546">
        <v>0</v>
      </c>
      <c r="O196" s="546">
        <v>0</v>
      </c>
      <c r="P196" s="546">
        <v>0</v>
      </c>
      <c r="Q196" s="546">
        <v>0</v>
      </c>
      <c r="R196" s="546">
        <v>0</v>
      </c>
      <c r="S196" s="546">
        <v>0</v>
      </c>
      <c r="T196" s="546">
        <v>0</v>
      </c>
      <c r="U196" s="546">
        <v>0</v>
      </c>
      <c r="V196" s="546"/>
      <c r="W196" s="546"/>
      <c r="X196" s="545"/>
      <c r="Y196" s="432">
        <f>SUMPRODUCT($F196:$X196,$F$6:$X$6)</f>
        <v>0</v>
      </c>
      <c r="Z196" s="538">
        <f>'MF Pricing'!F81</f>
        <v>10</v>
      </c>
      <c r="AA196" s="537">
        <f>Y196*Z196/5</f>
        <v>0</v>
      </c>
      <c r="AB196" s="208"/>
      <c r="AC196" s="208"/>
    </row>
    <row r="197" spans="1:29" outlineLevel="1">
      <c r="C197" s="423" t="s">
        <v>1184</v>
      </c>
      <c r="D197" s="1"/>
      <c r="E197" s="536" t="s">
        <v>1185</v>
      </c>
      <c r="F197" s="534">
        <f t="shared" ref="F197:X197" si="102">IF(F$6=0,0,F196*$Z196/5*$L$2)</f>
        <v>0</v>
      </c>
      <c r="G197" s="534">
        <f t="shared" si="102"/>
        <v>0</v>
      </c>
      <c r="H197" s="534">
        <f t="shared" si="102"/>
        <v>0</v>
      </c>
      <c r="I197" s="534">
        <f t="shared" si="102"/>
        <v>0</v>
      </c>
      <c r="J197" s="534">
        <f t="shared" si="102"/>
        <v>0</v>
      </c>
      <c r="K197" s="534">
        <f t="shared" si="102"/>
        <v>0</v>
      </c>
      <c r="L197" s="534">
        <f t="shared" si="102"/>
        <v>0</v>
      </c>
      <c r="M197" s="534">
        <f t="shared" si="102"/>
        <v>0</v>
      </c>
      <c r="N197" s="534">
        <f t="shared" si="102"/>
        <v>0</v>
      </c>
      <c r="O197" s="534">
        <f t="shared" si="102"/>
        <v>0</v>
      </c>
      <c r="P197" s="534">
        <f t="shared" si="102"/>
        <v>0</v>
      </c>
      <c r="Q197" s="534">
        <f t="shared" si="102"/>
        <v>0</v>
      </c>
      <c r="R197" s="534">
        <f t="shared" si="102"/>
        <v>0</v>
      </c>
      <c r="S197" s="534">
        <f t="shared" si="102"/>
        <v>0</v>
      </c>
      <c r="T197" s="534">
        <f t="shared" si="102"/>
        <v>0</v>
      </c>
      <c r="U197" s="534">
        <f t="shared" si="102"/>
        <v>0</v>
      </c>
      <c r="V197" s="534">
        <f t="shared" si="102"/>
        <v>0</v>
      </c>
      <c r="W197" s="534">
        <f t="shared" si="102"/>
        <v>0</v>
      </c>
      <c r="X197" s="534">
        <f t="shared" si="102"/>
        <v>0</v>
      </c>
      <c r="Y197" s="432"/>
      <c r="Z197" s="532"/>
      <c r="AA197" s="394"/>
      <c r="AB197" s="208"/>
      <c r="AC197" s="208"/>
    </row>
    <row r="198" spans="1:29" outlineLevel="1">
      <c r="C198" s="423" t="s">
        <v>988</v>
      </c>
      <c r="D198" s="1"/>
      <c r="E198" s="16" t="s">
        <v>961</v>
      </c>
      <c r="F198" s="530">
        <f t="shared" ref="F198:X198" si="103">F197*F$6</f>
        <v>0</v>
      </c>
      <c r="G198" s="529">
        <f t="shared" si="103"/>
        <v>0</v>
      </c>
      <c r="H198" s="529">
        <f t="shared" si="103"/>
        <v>0</v>
      </c>
      <c r="I198" s="529">
        <f t="shared" si="103"/>
        <v>0</v>
      </c>
      <c r="J198" s="529">
        <f t="shared" si="103"/>
        <v>0</v>
      </c>
      <c r="K198" s="529">
        <f t="shared" si="103"/>
        <v>0</v>
      </c>
      <c r="L198" s="529">
        <f t="shared" si="103"/>
        <v>0</v>
      </c>
      <c r="M198" s="529">
        <f t="shared" si="103"/>
        <v>0</v>
      </c>
      <c r="N198" s="529">
        <f t="shared" si="103"/>
        <v>0</v>
      </c>
      <c r="O198" s="529">
        <f t="shared" si="103"/>
        <v>0</v>
      </c>
      <c r="P198" s="529">
        <f t="shared" si="103"/>
        <v>0</v>
      </c>
      <c r="Q198" s="529">
        <f t="shared" si="103"/>
        <v>0</v>
      </c>
      <c r="R198" s="529">
        <f t="shared" si="103"/>
        <v>0</v>
      </c>
      <c r="S198" s="529">
        <f t="shared" si="103"/>
        <v>0</v>
      </c>
      <c r="T198" s="529">
        <f t="shared" si="103"/>
        <v>0</v>
      </c>
      <c r="U198" s="529">
        <f t="shared" si="103"/>
        <v>0</v>
      </c>
      <c r="V198" s="529">
        <f t="shared" si="103"/>
        <v>0</v>
      </c>
      <c r="W198" s="529">
        <f t="shared" si="103"/>
        <v>0</v>
      </c>
      <c r="X198" s="528">
        <f t="shared" si="103"/>
        <v>0</v>
      </c>
      <c r="Y198" s="422">
        <f>SUM(Y196)</f>
        <v>0</v>
      </c>
      <c r="Z198" s="255"/>
      <c r="AA198" s="527">
        <f>SUM(F198:X198)</f>
        <v>0</v>
      </c>
      <c r="AB198" s="208"/>
      <c r="AC198" s="208"/>
    </row>
    <row r="199" spans="1:29">
      <c r="C199" s="96" t="s">
        <v>996</v>
      </c>
      <c r="D199" s="940" t="s">
        <v>1238</v>
      </c>
      <c r="E199" s="940"/>
      <c r="F199" s="62"/>
      <c r="G199" s="62"/>
      <c r="H199" s="62"/>
      <c r="I199" s="62"/>
      <c r="J199" s="62"/>
      <c r="K199" s="62"/>
      <c r="L199" s="62"/>
      <c r="M199" s="62"/>
      <c r="N199" s="62"/>
      <c r="O199" s="62"/>
      <c r="P199" s="62"/>
      <c r="Q199" s="62"/>
      <c r="R199" s="62"/>
      <c r="S199" s="62"/>
      <c r="T199" s="62"/>
      <c r="U199" s="62"/>
      <c r="V199" s="62"/>
      <c r="W199" s="62"/>
      <c r="X199" s="62"/>
      <c r="Y199" s="437" t="s">
        <v>948</v>
      </c>
      <c r="Z199" s="92" t="s">
        <v>949</v>
      </c>
      <c r="AA199" s="541" t="s">
        <v>950</v>
      </c>
      <c r="AB199" s="208"/>
      <c r="AC199" s="208"/>
    </row>
    <row r="200" spans="1:29">
      <c r="A200">
        <v>1</v>
      </c>
      <c r="D200" s="75"/>
      <c r="E200" s="1" t="s">
        <v>968</v>
      </c>
      <c r="F200" s="547">
        <v>1</v>
      </c>
      <c r="G200" s="546">
        <v>1</v>
      </c>
      <c r="H200" s="546">
        <v>1</v>
      </c>
      <c r="I200" s="546">
        <v>1</v>
      </c>
      <c r="J200" s="546">
        <v>1</v>
      </c>
      <c r="K200" s="546">
        <v>1</v>
      </c>
      <c r="L200" s="546">
        <v>1</v>
      </c>
      <c r="M200" s="546">
        <v>1</v>
      </c>
      <c r="N200" s="546">
        <v>0</v>
      </c>
      <c r="O200" s="546">
        <v>1</v>
      </c>
      <c r="P200" s="546">
        <v>1</v>
      </c>
      <c r="Q200" s="546">
        <v>1</v>
      </c>
      <c r="R200" s="546">
        <v>1</v>
      </c>
      <c r="S200" s="546">
        <v>2</v>
      </c>
      <c r="T200" s="546">
        <v>1</v>
      </c>
      <c r="U200" s="546">
        <v>1</v>
      </c>
      <c r="V200" s="546"/>
      <c r="W200" s="546"/>
      <c r="X200" s="545"/>
      <c r="Y200" s="432">
        <f>SUMPRODUCT($F200:$X200,$F$6:$X$6)</f>
        <v>322</v>
      </c>
      <c r="Z200" s="538">
        <f>'MF Pricing'!F83</f>
        <v>7.5</v>
      </c>
      <c r="AA200" s="537">
        <f>Y200*Z200</f>
        <v>2415</v>
      </c>
      <c r="AB200" s="208"/>
      <c r="AC200" s="208"/>
    </row>
    <row r="201" spans="1:29" outlineLevel="1">
      <c r="C201" s="423" t="s">
        <v>1184</v>
      </c>
      <c r="D201" s="1"/>
      <c r="E201" s="536" t="s">
        <v>1185</v>
      </c>
      <c r="F201" s="535">
        <f t="shared" ref="F201:X201" si="104">IF(F$6=0,0,F200*$Z200)</f>
        <v>7.5</v>
      </c>
      <c r="G201" s="534">
        <f t="shared" si="104"/>
        <v>7.5</v>
      </c>
      <c r="H201" s="534">
        <f t="shared" si="104"/>
        <v>7.5</v>
      </c>
      <c r="I201" s="534">
        <f t="shared" si="104"/>
        <v>7.5</v>
      </c>
      <c r="J201" s="534">
        <f t="shared" si="104"/>
        <v>7.5</v>
      </c>
      <c r="K201" s="534">
        <f t="shared" si="104"/>
        <v>7.5</v>
      </c>
      <c r="L201" s="534">
        <f t="shared" si="104"/>
        <v>7.5</v>
      </c>
      <c r="M201" s="534">
        <f t="shared" si="104"/>
        <v>7.5</v>
      </c>
      <c r="N201" s="534">
        <f t="shared" si="104"/>
        <v>0</v>
      </c>
      <c r="O201" s="534">
        <f t="shared" si="104"/>
        <v>7.5</v>
      </c>
      <c r="P201" s="534">
        <f t="shared" si="104"/>
        <v>7.5</v>
      </c>
      <c r="Q201" s="534">
        <f t="shared" si="104"/>
        <v>7.5</v>
      </c>
      <c r="R201" s="534">
        <f t="shared" si="104"/>
        <v>7.5</v>
      </c>
      <c r="S201" s="534">
        <f t="shared" si="104"/>
        <v>15</v>
      </c>
      <c r="T201" s="534">
        <f t="shared" si="104"/>
        <v>7.5</v>
      </c>
      <c r="U201" s="534">
        <f t="shared" si="104"/>
        <v>7.5</v>
      </c>
      <c r="V201" s="534">
        <f t="shared" si="104"/>
        <v>0</v>
      </c>
      <c r="W201" s="534">
        <f t="shared" si="104"/>
        <v>0</v>
      </c>
      <c r="X201" s="533">
        <f t="shared" si="104"/>
        <v>0</v>
      </c>
      <c r="Y201" s="432"/>
      <c r="Z201" s="532"/>
      <c r="AA201" s="394"/>
      <c r="AB201" s="208"/>
      <c r="AC201" s="208"/>
    </row>
    <row r="202" spans="1:29" outlineLevel="1">
      <c r="C202" s="423" t="s">
        <v>988</v>
      </c>
      <c r="D202" s="1"/>
      <c r="E202" s="16" t="s">
        <v>961</v>
      </c>
      <c r="F202" s="530">
        <f t="shared" ref="F202:X202" si="105">F201*F$6</f>
        <v>60</v>
      </c>
      <c r="G202" s="529">
        <f t="shared" si="105"/>
        <v>120</v>
      </c>
      <c r="H202" s="529">
        <f t="shared" si="105"/>
        <v>60</v>
      </c>
      <c r="I202" s="529">
        <f t="shared" si="105"/>
        <v>142.5</v>
      </c>
      <c r="J202" s="529">
        <f t="shared" si="105"/>
        <v>360</v>
      </c>
      <c r="K202" s="529">
        <f t="shared" si="105"/>
        <v>30</v>
      </c>
      <c r="L202" s="529">
        <f t="shared" si="105"/>
        <v>180</v>
      </c>
      <c r="M202" s="529">
        <f t="shared" si="105"/>
        <v>75</v>
      </c>
      <c r="N202" s="529">
        <f t="shared" si="105"/>
        <v>0</v>
      </c>
      <c r="O202" s="529">
        <f t="shared" si="105"/>
        <v>480</v>
      </c>
      <c r="P202" s="529">
        <f t="shared" si="105"/>
        <v>345</v>
      </c>
      <c r="Q202" s="529">
        <f t="shared" si="105"/>
        <v>120</v>
      </c>
      <c r="R202" s="529">
        <f t="shared" si="105"/>
        <v>180</v>
      </c>
      <c r="S202" s="529">
        <f t="shared" si="105"/>
        <v>120</v>
      </c>
      <c r="T202" s="529">
        <f t="shared" si="105"/>
        <v>60</v>
      </c>
      <c r="U202" s="529">
        <f t="shared" si="105"/>
        <v>82.5</v>
      </c>
      <c r="V202" s="529">
        <f t="shared" si="105"/>
        <v>0</v>
      </c>
      <c r="W202" s="529">
        <f t="shared" si="105"/>
        <v>0</v>
      </c>
      <c r="X202" s="528">
        <f t="shared" si="105"/>
        <v>0</v>
      </c>
      <c r="Y202" s="422">
        <f>SUM(Y200)</f>
        <v>322</v>
      </c>
      <c r="Z202" s="255"/>
      <c r="AA202" s="527">
        <f>SUM(F202:X202)</f>
        <v>2415</v>
      </c>
      <c r="AB202" s="208"/>
      <c r="AC202" s="208"/>
    </row>
    <row r="203" spans="1:29">
      <c r="C203" s="96" t="s">
        <v>997</v>
      </c>
      <c r="D203" s="940" t="s">
        <v>1235</v>
      </c>
      <c r="E203" s="940"/>
      <c r="F203" s="62"/>
      <c r="G203" s="62"/>
      <c r="H203" s="62"/>
      <c r="I203" s="62"/>
      <c r="J203" s="62"/>
      <c r="K203" s="62"/>
      <c r="L203" s="62"/>
      <c r="M203" s="62"/>
      <c r="N203" s="62"/>
      <c r="O203" s="62"/>
      <c r="P203" s="62"/>
      <c r="Q203" s="62"/>
      <c r="R203" s="62"/>
      <c r="S203" s="62"/>
      <c r="T203" s="62"/>
      <c r="U203" s="62"/>
      <c r="V203" s="62"/>
      <c r="W203" s="62"/>
      <c r="X203" s="62"/>
      <c r="Y203" s="437" t="s">
        <v>948</v>
      </c>
      <c r="Z203" s="92" t="s">
        <v>949</v>
      </c>
      <c r="AA203" s="541" t="s">
        <v>950</v>
      </c>
      <c r="AB203" s="208"/>
      <c r="AC203" s="208"/>
    </row>
    <row r="204" spans="1:29">
      <c r="D204" s="75"/>
      <c r="E204" s="1" t="s">
        <v>968</v>
      </c>
      <c r="F204" s="547">
        <v>6</v>
      </c>
      <c r="G204" s="546">
        <v>5</v>
      </c>
      <c r="H204" s="546">
        <v>5</v>
      </c>
      <c r="I204" s="546">
        <v>6</v>
      </c>
      <c r="J204" s="546">
        <v>5</v>
      </c>
      <c r="K204" s="546">
        <v>6</v>
      </c>
      <c r="L204" s="546">
        <v>5</v>
      </c>
      <c r="M204" s="546">
        <v>6</v>
      </c>
      <c r="N204" s="546">
        <v>6</v>
      </c>
      <c r="O204" s="546">
        <v>7</v>
      </c>
      <c r="P204" s="546">
        <v>7</v>
      </c>
      <c r="Q204" s="546">
        <v>7</v>
      </c>
      <c r="R204" s="546">
        <v>5</v>
      </c>
      <c r="S204" s="546">
        <v>8</v>
      </c>
      <c r="T204" s="546">
        <v>8</v>
      </c>
      <c r="U204" s="546">
        <v>7</v>
      </c>
      <c r="V204" s="546"/>
      <c r="W204" s="546"/>
      <c r="X204" s="545"/>
      <c r="Y204" s="432">
        <f>SUMPRODUCT($F204:$X204,$F$6:$X$6)</f>
        <v>2125</v>
      </c>
      <c r="Z204" s="538">
        <f>'MF Pricing'!F85</f>
        <v>2.93</v>
      </c>
      <c r="AA204" s="537">
        <f>Y204*Z204</f>
        <v>6226.25</v>
      </c>
      <c r="AB204" s="208"/>
      <c r="AC204" s="208"/>
    </row>
    <row r="205" spans="1:29" outlineLevel="1">
      <c r="C205" s="423" t="s">
        <v>1184</v>
      </c>
      <c r="D205" s="1"/>
      <c r="E205" s="536" t="s">
        <v>1185</v>
      </c>
      <c r="F205" s="535">
        <f t="shared" ref="F205:X205" si="106">IF(F$6=0,0,F204*$Z204)</f>
        <v>17.580000000000002</v>
      </c>
      <c r="G205" s="534">
        <f t="shared" si="106"/>
        <v>14.65</v>
      </c>
      <c r="H205" s="534">
        <f t="shared" si="106"/>
        <v>14.65</v>
      </c>
      <c r="I205" s="534">
        <f t="shared" si="106"/>
        <v>17.580000000000002</v>
      </c>
      <c r="J205" s="534">
        <f t="shared" si="106"/>
        <v>14.65</v>
      </c>
      <c r="K205" s="534">
        <f t="shared" si="106"/>
        <v>17.580000000000002</v>
      </c>
      <c r="L205" s="534">
        <f t="shared" si="106"/>
        <v>14.65</v>
      </c>
      <c r="M205" s="534">
        <f t="shared" si="106"/>
        <v>17.580000000000002</v>
      </c>
      <c r="N205" s="534">
        <f t="shared" si="106"/>
        <v>17.580000000000002</v>
      </c>
      <c r="O205" s="534">
        <f t="shared" si="106"/>
        <v>20.51</v>
      </c>
      <c r="P205" s="534">
        <f t="shared" si="106"/>
        <v>20.51</v>
      </c>
      <c r="Q205" s="534">
        <f t="shared" si="106"/>
        <v>20.51</v>
      </c>
      <c r="R205" s="534">
        <f t="shared" si="106"/>
        <v>14.65</v>
      </c>
      <c r="S205" s="534">
        <f t="shared" si="106"/>
        <v>23.44</v>
      </c>
      <c r="T205" s="534">
        <f t="shared" si="106"/>
        <v>23.44</v>
      </c>
      <c r="U205" s="534">
        <f t="shared" si="106"/>
        <v>20.51</v>
      </c>
      <c r="V205" s="534">
        <f t="shared" si="106"/>
        <v>0</v>
      </c>
      <c r="W205" s="534">
        <f t="shared" si="106"/>
        <v>0</v>
      </c>
      <c r="X205" s="533">
        <f t="shared" si="106"/>
        <v>0</v>
      </c>
      <c r="Y205" s="432"/>
      <c r="Z205" s="532"/>
      <c r="AA205" s="394"/>
      <c r="AB205" s="208"/>
      <c r="AC205" s="208"/>
    </row>
    <row r="206" spans="1:29" outlineLevel="1">
      <c r="C206" s="423" t="s">
        <v>988</v>
      </c>
      <c r="D206" s="1"/>
      <c r="E206" s="16" t="s">
        <v>961</v>
      </c>
      <c r="F206" s="530">
        <f t="shared" ref="F206:X206" si="107">F205*F$6</f>
        <v>140.64000000000001</v>
      </c>
      <c r="G206" s="529">
        <f t="shared" si="107"/>
        <v>234.4</v>
      </c>
      <c r="H206" s="529">
        <f t="shared" si="107"/>
        <v>117.2</v>
      </c>
      <c r="I206" s="529">
        <f t="shared" si="107"/>
        <v>334.02000000000004</v>
      </c>
      <c r="J206" s="529">
        <f t="shared" si="107"/>
        <v>703.2</v>
      </c>
      <c r="K206" s="529">
        <f t="shared" si="107"/>
        <v>70.320000000000007</v>
      </c>
      <c r="L206" s="529">
        <f t="shared" si="107"/>
        <v>351.6</v>
      </c>
      <c r="M206" s="529">
        <f t="shared" si="107"/>
        <v>175.8</v>
      </c>
      <c r="N206" s="529">
        <f t="shared" si="107"/>
        <v>562.56000000000006</v>
      </c>
      <c r="O206" s="529">
        <f t="shared" si="107"/>
        <v>1312.64</v>
      </c>
      <c r="P206" s="529">
        <f t="shared" si="107"/>
        <v>943.46</v>
      </c>
      <c r="Q206" s="529">
        <f t="shared" si="107"/>
        <v>328.16</v>
      </c>
      <c r="R206" s="529">
        <f t="shared" si="107"/>
        <v>351.6</v>
      </c>
      <c r="S206" s="529">
        <f t="shared" si="107"/>
        <v>187.52</v>
      </c>
      <c r="T206" s="529">
        <f t="shared" si="107"/>
        <v>187.52</v>
      </c>
      <c r="U206" s="529">
        <f t="shared" si="107"/>
        <v>225.61</v>
      </c>
      <c r="V206" s="529">
        <f t="shared" si="107"/>
        <v>0</v>
      </c>
      <c r="W206" s="529">
        <f t="shared" si="107"/>
        <v>0</v>
      </c>
      <c r="X206" s="528">
        <f t="shared" si="107"/>
        <v>0</v>
      </c>
      <c r="Y206" s="422">
        <f>SUM(Y204)</f>
        <v>2125</v>
      </c>
      <c r="Z206" s="255"/>
      <c r="AA206" s="527">
        <f>SUM(F206:X206)</f>
        <v>6226.2500000000009</v>
      </c>
      <c r="AB206" s="208"/>
      <c r="AC206" s="208"/>
    </row>
    <row r="207" spans="1:29">
      <c r="C207" s="96" t="s">
        <v>998</v>
      </c>
      <c r="D207" s="940" t="s">
        <v>1236</v>
      </c>
      <c r="E207" s="940"/>
      <c r="F207" s="62"/>
      <c r="G207" s="62"/>
      <c r="H207" s="62"/>
      <c r="I207" s="62"/>
      <c r="J207" s="62"/>
      <c r="K207" s="62"/>
      <c r="L207" s="62"/>
      <c r="M207" s="62"/>
      <c r="N207" s="62"/>
      <c r="O207" s="62"/>
      <c r="P207" s="62"/>
      <c r="Q207" s="62"/>
      <c r="R207" s="62"/>
      <c r="S207" s="62"/>
      <c r="T207" s="62"/>
      <c r="U207" s="62"/>
      <c r="V207" s="62"/>
      <c r="W207" s="62"/>
      <c r="X207" s="62"/>
      <c r="Y207" s="437" t="s">
        <v>948</v>
      </c>
      <c r="Z207" s="92" t="s">
        <v>949</v>
      </c>
      <c r="AA207" s="541" t="s">
        <v>950</v>
      </c>
      <c r="AB207" s="208"/>
      <c r="AC207" s="208"/>
    </row>
    <row r="208" spans="1:29">
      <c r="D208" s="75"/>
      <c r="E208" s="1" t="s">
        <v>968</v>
      </c>
      <c r="F208" s="547">
        <v>2</v>
      </c>
      <c r="G208" s="546">
        <v>3</v>
      </c>
      <c r="H208" s="546">
        <v>1</v>
      </c>
      <c r="I208" s="546">
        <v>1</v>
      </c>
      <c r="J208" s="546">
        <v>1</v>
      </c>
      <c r="K208" s="546">
        <v>1</v>
      </c>
      <c r="L208" s="546">
        <v>1</v>
      </c>
      <c r="M208" s="546">
        <v>1</v>
      </c>
      <c r="N208" s="546">
        <v>1</v>
      </c>
      <c r="O208" s="546">
        <v>1</v>
      </c>
      <c r="P208" s="546">
        <v>1</v>
      </c>
      <c r="Q208" s="546">
        <v>1</v>
      </c>
      <c r="R208" s="546">
        <v>1</v>
      </c>
      <c r="S208" s="546">
        <v>1</v>
      </c>
      <c r="T208" s="546">
        <v>2</v>
      </c>
      <c r="U208" s="546">
        <v>3</v>
      </c>
      <c r="V208" s="546"/>
      <c r="W208" s="546"/>
      <c r="X208" s="545"/>
      <c r="Y208" s="432">
        <f>SUMPRODUCT($F208:$X208,$F$6:$X$6)</f>
        <v>416</v>
      </c>
      <c r="Z208" s="538">
        <f>'MF Pricing'!F87</f>
        <v>3.5</v>
      </c>
      <c r="AA208" s="537">
        <f>Y208*Z208</f>
        <v>1456</v>
      </c>
      <c r="AB208" s="208"/>
      <c r="AC208" s="208"/>
    </row>
    <row r="209" spans="3:29" outlineLevel="1">
      <c r="C209" s="423" t="s">
        <v>1184</v>
      </c>
      <c r="D209" s="1"/>
      <c r="E209" s="536" t="s">
        <v>1185</v>
      </c>
      <c r="F209" s="535">
        <f t="shared" ref="F209:X209" si="108">IF(F$6=0,0,F208*$Z208)</f>
        <v>7</v>
      </c>
      <c r="G209" s="534">
        <f t="shared" si="108"/>
        <v>10.5</v>
      </c>
      <c r="H209" s="534">
        <f t="shared" si="108"/>
        <v>3.5</v>
      </c>
      <c r="I209" s="534">
        <f t="shared" si="108"/>
        <v>3.5</v>
      </c>
      <c r="J209" s="534">
        <f t="shared" si="108"/>
        <v>3.5</v>
      </c>
      <c r="K209" s="534">
        <f t="shared" si="108"/>
        <v>3.5</v>
      </c>
      <c r="L209" s="534">
        <f t="shared" si="108"/>
        <v>3.5</v>
      </c>
      <c r="M209" s="534">
        <f t="shared" si="108"/>
        <v>3.5</v>
      </c>
      <c r="N209" s="534">
        <f t="shared" si="108"/>
        <v>3.5</v>
      </c>
      <c r="O209" s="534">
        <f t="shared" si="108"/>
        <v>3.5</v>
      </c>
      <c r="P209" s="534">
        <f t="shared" si="108"/>
        <v>3.5</v>
      </c>
      <c r="Q209" s="534">
        <f t="shared" si="108"/>
        <v>3.5</v>
      </c>
      <c r="R209" s="534">
        <f t="shared" si="108"/>
        <v>3.5</v>
      </c>
      <c r="S209" s="534">
        <f t="shared" si="108"/>
        <v>3.5</v>
      </c>
      <c r="T209" s="534">
        <f t="shared" si="108"/>
        <v>7</v>
      </c>
      <c r="U209" s="534">
        <f t="shared" si="108"/>
        <v>10.5</v>
      </c>
      <c r="V209" s="534">
        <f t="shared" si="108"/>
        <v>0</v>
      </c>
      <c r="W209" s="534">
        <f t="shared" si="108"/>
        <v>0</v>
      </c>
      <c r="X209" s="533">
        <f t="shared" si="108"/>
        <v>0</v>
      </c>
      <c r="Y209" s="432"/>
      <c r="Z209" s="532"/>
      <c r="AA209" s="394"/>
      <c r="AB209" s="208"/>
      <c r="AC209" s="208"/>
    </row>
    <row r="210" spans="3:29" outlineLevel="1">
      <c r="C210" s="423" t="s">
        <v>988</v>
      </c>
      <c r="D210" s="1"/>
      <c r="E210" s="16" t="s">
        <v>961</v>
      </c>
      <c r="F210" s="530">
        <f t="shared" ref="F210:X210" si="109">F209*F$6</f>
        <v>56</v>
      </c>
      <c r="G210" s="529">
        <f t="shared" si="109"/>
        <v>168</v>
      </c>
      <c r="H210" s="529">
        <f t="shared" si="109"/>
        <v>28</v>
      </c>
      <c r="I210" s="529">
        <f t="shared" si="109"/>
        <v>66.5</v>
      </c>
      <c r="J210" s="529">
        <f t="shared" si="109"/>
        <v>168</v>
      </c>
      <c r="K210" s="529">
        <f t="shared" si="109"/>
        <v>14</v>
      </c>
      <c r="L210" s="529">
        <f t="shared" si="109"/>
        <v>84</v>
      </c>
      <c r="M210" s="529">
        <f t="shared" si="109"/>
        <v>35</v>
      </c>
      <c r="N210" s="529">
        <f t="shared" si="109"/>
        <v>112</v>
      </c>
      <c r="O210" s="529">
        <f t="shared" si="109"/>
        <v>224</v>
      </c>
      <c r="P210" s="529">
        <f t="shared" si="109"/>
        <v>161</v>
      </c>
      <c r="Q210" s="529">
        <f t="shared" si="109"/>
        <v>56</v>
      </c>
      <c r="R210" s="529">
        <f t="shared" si="109"/>
        <v>84</v>
      </c>
      <c r="S210" s="529">
        <f t="shared" si="109"/>
        <v>28</v>
      </c>
      <c r="T210" s="529">
        <f t="shared" si="109"/>
        <v>56</v>
      </c>
      <c r="U210" s="529">
        <f t="shared" si="109"/>
        <v>115.5</v>
      </c>
      <c r="V210" s="529">
        <f t="shared" si="109"/>
        <v>0</v>
      </c>
      <c r="W210" s="529">
        <f t="shared" si="109"/>
        <v>0</v>
      </c>
      <c r="X210" s="528">
        <f t="shared" si="109"/>
        <v>0</v>
      </c>
      <c r="Y210" s="422">
        <f>SUM(Y208)</f>
        <v>416</v>
      </c>
      <c r="Z210" s="255"/>
      <c r="AA210" s="527">
        <f>SUM(F210:X210)</f>
        <v>1456</v>
      </c>
      <c r="AB210" s="208"/>
      <c r="AC210" s="208"/>
    </row>
    <row r="211" spans="3:29">
      <c r="C211" s="96" t="s">
        <v>999</v>
      </c>
      <c r="D211" s="940" t="s">
        <v>1237</v>
      </c>
      <c r="E211" s="940"/>
      <c r="F211" s="62"/>
      <c r="G211" s="62"/>
      <c r="H211" s="62"/>
      <c r="I211" s="62"/>
      <c r="J211" s="62"/>
      <c r="K211" s="62"/>
      <c r="L211" s="62"/>
      <c r="M211" s="62"/>
      <c r="N211" s="62"/>
      <c r="O211" s="62"/>
      <c r="P211" s="62"/>
      <c r="Q211" s="62"/>
      <c r="R211" s="62"/>
      <c r="S211" s="62"/>
      <c r="T211" s="62"/>
      <c r="U211" s="62"/>
      <c r="V211" s="62"/>
      <c r="W211" s="62"/>
      <c r="X211" s="62"/>
      <c r="Y211" s="437" t="s">
        <v>948</v>
      </c>
      <c r="Z211" s="92" t="s">
        <v>949</v>
      </c>
      <c r="AA211" s="541" t="s">
        <v>950</v>
      </c>
      <c r="AB211" s="208"/>
      <c r="AC211" s="208"/>
    </row>
    <row r="212" spans="3:29">
      <c r="D212" s="75"/>
      <c r="E212" s="1" t="s">
        <v>968</v>
      </c>
      <c r="F212" s="547">
        <v>0</v>
      </c>
      <c r="G212" s="546">
        <v>0</v>
      </c>
      <c r="H212" s="546">
        <v>0</v>
      </c>
      <c r="I212" s="546">
        <v>0</v>
      </c>
      <c r="J212" s="546">
        <v>0</v>
      </c>
      <c r="K212" s="546">
        <v>0</v>
      </c>
      <c r="L212" s="546">
        <v>0</v>
      </c>
      <c r="M212" s="546">
        <v>0</v>
      </c>
      <c r="N212" s="546">
        <v>0</v>
      </c>
      <c r="O212" s="546">
        <v>0</v>
      </c>
      <c r="P212" s="546">
        <v>0</v>
      </c>
      <c r="Q212" s="546">
        <v>0</v>
      </c>
      <c r="R212" s="546">
        <v>0</v>
      </c>
      <c r="S212" s="546">
        <v>0</v>
      </c>
      <c r="T212" s="546">
        <v>0</v>
      </c>
      <c r="U212" s="546">
        <v>0</v>
      </c>
      <c r="V212" s="546"/>
      <c r="W212" s="546"/>
      <c r="X212" s="545"/>
      <c r="Y212" s="432">
        <f>SUMPRODUCT($F212:$X212,$F$6:$X$6)</f>
        <v>0</v>
      </c>
      <c r="Z212" s="538">
        <f>'MF Pricing'!F89</f>
        <v>4.5</v>
      </c>
      <c r="AA212" s="537">
        <f>Y212*Z212</f>
        <v>0</v>
      </c>
      <c r="AB212" s="208"/>
      <c r="AC212" s="208"/>
    </row>
    <row r="213" spans="3:29" outlineLevel="1">
      <c r="C213" s="423" t="s">
        <v>1184</v>
      </c>
      <c r="D213" s="1"/>
      <c r="E213" s="536" t="s">
        <v>1185</v>
      </c>
      <c r="F213" s="535">
        <f t="shared" ref="F213:X213" si="110">IF(F$6=0,0,F212*$Z212)</f>
        <v>0</v>
      </c>
      <c r="G213" s="534">
        <f t="shared" si="110"/>
        <v>0</v>
      </c>
      <c r="H213" s="534">
        <f t="shared" si="110"/>
        <v>0</v>
      </c>
      <c r="I213" s="534">
        <f t="shared" si="110"/>
        <v>0</v>
      </c>
      <c r="J213" s="534">
        <f t="shared" si="110"/>
        <v>0</v>
      </c>
      <c r="K213" s="534">
        <f t="shared" si="110"/>
        <v>0</v>
      </c>
      <c r="L213" s="534">
        <f t="shared" si="110"/>
        <v>0</v>
      </c>
      <c r="M213" s="534">
        <f t="shared" si="110"/>
        <v>0</v>
      </c>
      <c r="N213" s="534">
        <f t="shared" si="110"/>
        <v>0</v>
      </c>
      <c r="O213" s="534">
        <f t="shared" si="110"/>
        <v>0</v>
      </c>
      <c r="P213" s="534">
        <f t="shared" si="110"/>
        <v>0</v>
      </c>
      <c r="Q213" s="534">
        <f t="shared" si="110"/>
        <v>0</v>
      </c>
      <c r="R213" s="534">
        <f t="shared" si="110"/>
        <v>0</v>
      </c>
      <c r="S213" s="534">
        <f t="shared" si="110"/>
        <v>0</v>
      </c>
      <c r="T213" s="534">
        <f t="shared" si="110"/>
        <v>0</v>
      </c>
      <c r="U213" s="534">
        <f t="shared" si="110"/>
        <v>0</v>
      </c>
      <c r="V213" s="534">
        <f t="shared" si="110"/>
        <v>0</v>
      </c>
      <c r="W213" s="534">
        <f t="shared" si="110"/>
        <v>0</v>
      </c>
      <c r="X213" s="533">
        <f t="shared" si="110"/>
        <v>0</v>
      </c>
      <c r="Y213" s="432"/>
      <c r="Z213" s="532"/>
      <c r="AA213" s="394"/>
      <c r="AB213" s="208"/>
      <c r="AC213" s="208"/>
    </row>
    <row r="214" spans="3:29" outlineLevel="1">
      <c r="C214" s="423" t="s">
        <v>988</v>
      </c>
      <c r="D214" s="1"/>
      <c r="E214" s="16" t="s">
        <v>961</v>
      </c>
      <c r="F214" s="530">
        <f t="shared" ref="F214:X214" si="111">F213*F$6</f>
        <v>0</v>
      </c>
      <c r="G214" s="529">
        <f t="shared" si="111"/>
        <v>0</v>
      </c>
      <c r="H214" s="529">
        <f t="shared" si="111"/>
        <v>0</v>
      </c>
      <c r="I214" s="529">
        <f t="shared" si="111"/>
        <v>0</v>
      </c>
      <c r="J214" s="529">
        <f t="shared" si="111"/>
        <v>0</v>
      </c>
      <c r="K214" s="529">
        <f t="shared" si="111"/>
        <v>0</v>
      </c>
      <c r="L214" s="529">
        <f t="shared" si="111"/>
        <v>0</v>
      </c>
      <c r="M214" s="529">
        <f t="shared" si="111"/>
        <v>0</v>
      </c>
      <c r="N214" s="529">
        <f t="shared" si="111"/>
        <v>0</v>
      </c>
      <c r="O214" s="529">
        <f t="shared" si="111"/>
        <v>0</v>
      </c>
      <c r="P214" s="529">
        <f t="shared" si="111"/>
        <v>0</v>
      </c>
      <c r="Q214" s="529">
        <f t="shared" si="111"/>
        <v>0</v>
      </c>
      <c r="R214" s="529">
        <f t="shared" si="111"/>
        <v>0</v>
      </c>
      <c r="S214" s="529">
        <f t="shared" si="111"/>
        <v>0</v>
      </c>
      <c r="T214" s="529">
        <f t="shared" si="111"/>
        <v>0</v>
      </c>
      <c r="U214" s="529">
        <f t="shared" si="111"/>
        <v>0</v>
      </c>
      <c r="V214" s="529">
        <f t="shared" si="111"/>
        <v>0</v>
      </c>
      <c r="W214" s="529">
        <f t="shared" si="111"/>
        <v>0</v>
      </c>
      <c r="X214" s="528">
        <f t="shared" si="111"/>
        <v>0</v>
      </c>
      <c r="Y214" s="422">
        <f>SUM(Y212)</f>
        <v>0</v>
      </c>
      <c r="Z214" s="255"/>
      <c r="AA214" s="527">
        <f>SUM(F214:X214)</f>
        <v>0</v>
      </c>
      <c r="AB214" s="208"/>
      <c r="AC214" s="208"/>
    </row>
    <row r="215" spans="3:29" outlineLevel="1" collapsed="1">
      <c r="C215" s="96" t="s">
        <v>1000</v>
      </c>
      <c r="D215" s="940" t="s">
        <v>1239</v>
      </c>
      <c r="E215" s="940"/>
      <c r="F215" s="62"/>
      <c r="G215" s="62"/>
      <c r="H215" s="62"/>
      <c r="I215" s="62"/>
      <c r="J215" s="62"/>
      <c r="K215" s="62"/>
      <c r="L215" s="62"/>
      <c r="M215" s="62"/>
      <c r="N215" s="62"/>
      <c r="O215" s="62"/>
      <c r="P215" s="62"/>
      <c r="Q215" s="62"/>
      <c r="R215" s="62"/>
      <c r="S215" s="62"/>
      <c r="T215" s="62"/>
      <c r="U215" s="62"/>
      <c r="V215" s="62"/>
      <c r="W215" s="62"/>
      <c r="X215" s="62"/>
      <c r="Y215" s="437" t="s">
        <v>948</v>
      </c>
      <c r="Z215" s="92" t="s">
        <v>949</v>
      </c>
      <c r="AA215" s="541" t="s">
        <v>950</v>
      </c>
      <c r="AB215" s="208"/>
      <c r="AC215" s="208"/>
    </row>
    <row r="216" spans="3:29" outlineLevel="1">
      <c r="D216" s="75"/>
      <c r="E216" s="1" t="s">
        <v>1001</v>
      </c>
      <c r="F216" s="583">
        <f t="shared" ref="F216:X216" si="112">IF(F$6=0,0,(F188+F192+F196)*inp_metstrap/100)</f>
        <v>0.42499999999999999</v>
      </c>
      <c r="G216" s="583">
        <f t="shared" si="112"/>
        <v>0.44</v>
      </c>
      <c r="H216" s="583">
        <f t="shared" si="112"/>
        <v>0.27</v>
      </c>
      <c r="I216" s="583">
        <f t="shared" si="112"/>
        <v>0.29499999999999998</v>
      </c>
      <c r="J216" s="583">
        <f t="shared" si="112"/>
        <v>0.32500000000000001</v>
      </c>
      <c r="K216" s="583">
        <f t="shared" si="112"/>
        <v>0.33</v>
      </c>
      <c r="L216" s="583">
        <f t="shared" si="112"/>
        <v>0.39500000000000002</v>
      </c>
      <c r="M216" s="583">
        <f t="shared" si="112"/>
        <v>0.43</v>
      </c>
      <c r="N216" s="583">
        <f t="shared" si="112"/>
        <v>0.42249999999999999</v>
      </c>
      <c r="O216" s="583">
        <f t="shared" si="112"/>
        <v>0.42499999999999999</v>
      </c>
      <c r="P216" s="583">
        <f t="shared" si="112"/>
        <v>0.44</v>
      </c>
      <c r="Q216" s="583">
        <f t="shared" si="112"/>
        <v>0.53500000000000003</v>
      </c>
      <c r="R216" s="583">
        <f t="shared" si="112"/>
        <v>0.36499999999999999</v>
      </c>
      <c r="S216" s="583">
        <f t="shared" si="112"/>
        <v>0.61499999999999999</v>
      </c>
      <c r="T216" s="583">
        <f t="shared" si="112"/>
        <v>0.92</v>
      </c>
      <c r="U216" s="583">
        <f t="shared" si="112"/>
        <v>0.76</v>
      </c>
      <c r="V216" s="583">
        <f t="shared" si="112"/>
        <v>0</v>
      </c>
      <c r="W216" s="583">
        <f t="shared" si="112"/>
        <v>0</v>
      </c>
      <c r="X216" s="582">
        <f t="shared" si="112"/>
        <v>0</v>
      </c>
      <c r="Y216" s="432">
        <f>SUMPRODUCT($F216:$X216,$F$6:$X$6)</f>
        <v>147.82499999999999</v>
      </c>
      <c r="Z216" s="538">
        <f>'MF Pricing'!F91</f>
        <v>9</v>
      </c>
      <c r="AA216" s="537">
        <f>Y216*Z216</f>
        <v>1330.425</v>
      </c>
      <c r="AB216" s="208"/>
      <c r="AC216" s="208"/>
    </row>
    <row r="217" spans="3:29" outlineLevel="1">
      <c r="C217" s="423" t="s">
        <v>1184</v>
      </c>
      <c r="D217" s="1"/>
      <c r="E217" s="536" t="s">
        <v>1185</v>
      </c>
      <c r="F217" s="535">
        <f t="shared" ref="F217:X217" si="113">F216*$Z216</f>
        <v>3.8249999999999997</v>
      </c>
      <c r="G217" s="534">
        <f t="shared" si="113"/>
        <v>3.96</v>
      </c>
      <c r="H217" s="534">
        <f t="shared" si="113"/>
        <v>2.4300000000000002</v>
      </c>
      <c r="I217" s="534">
        <f t="shared" si="113"/>
        <v>2.6549999999999998</v>
      </c>
      <c r="J217" s="534">
        <f t="shared" si="113"/>
        <v>2.9250000000000003</v>
      </c>
      <c r="K217" s="534">
        <f t="shared" si="113"/>
        <v>2.97</v>
      </c>
      <c r="L217" s="534">
        <f t="shared" si="113"/>
        <v>3.5550000000000002</v>
      </c>
      <c r="M217" s="534">
        <f t="shared" si="113"/>
        <v>3.87</v>
      </c>
      <c r="N217" s="534">
        <f t="shared" si="113"/>
        <v>3.8024999999999998</v>
      </c>
      <c r="O217" s="534">
        <f t="shared" si="113"/>
        <v>3.8249999999999997</v>
      </c>
      <c r="P217" s="534">
        <f t="shared" si="113"/>
        <v>3.96</v>
      </c>
      <c r="Q217" s="534">
        <f t="shared" si="113"/>
        <v>4.8150000000000004</v>
      </c>
      <c r="R217" s="534">
        <f t="shared" si="113"/>
        <v>3.2850000000000001</v>
      </c>
      <c r="S217" s="534">
        <f t="shared" si="113"/>
        <v>5.5350000000000001</v>
      </c>
      <c r="T217" s="534">
        <f t="shared" si="113"/>
        <v>8.2800000000000011</v>
      </c>
      <c r="U217" s="534">
        <f t="shared" si="113"/>
        <v>6.84</v>
      </c>
      <c r="V217" s="534">
        <f t="shared" si="113"/>
        <v>0</v>
      </c>
      <c r="W217" s="534">
        <f t="shared" si="113"/>
        <v>0</v>
      </c>
      <c r="X217" s="533">
        <f t="shared" si="113"/>
        <v>0</v>
      </c>
      <c r="Y217" s="432"/>
      <c r="Z217" s="532"/>
      <c r="AA217" s="394"/>
      <c r="AB217" s="208"/>
      <c r="AC217" s="208"/>
    </row>
    <row r="218" spans="3:29" outlineLevel="1">
      <c r="C218" s="423" t="s">
        <v>988</v>
      </c>
      <c r="D218" s="1"/>
      <c r="E218" s="16" t="s">
        <v>961</v>
      </c>
      <c r="F218" s="530">
        <f t="shared" ref="F218:X218" si="114">F217*F$6</f>
        <v>30.599999999999998</v>
      </c>
      <c r="G218" s="529">
        <f t="shared" si="114"/>
        <v>63.36</v>
      </c>
      <c r="H218" s="529">
        <f t="shared" si="114"/>
        <v>19.440000000000001</v>
      </c>
      <c r="I218" s="529">
        <f t="shared" si="114"/>
        <v>50.444999999999993</v>
      </c>
      <c r="J218" s="529">
        <f t="shared" si="114"/>
        <v>140.4</v>
      </c>
      <c r="K218" s="529">
        <f t="shared" si="114"/>
        <v>11.88</v>
      </c>
      <c r="L218" s="529">
        <f t="shared" si="114"/>
        <v>85.320000000000007</v>
      </c>
      <c r="M218" s="529">
        <f t="shared" si="114"/>
        <v>38.700000000000003</v>
      </c>
      <c r="N218" s="529">
        <f t="shared" si="114"/>
        <v>121.67999999999999</v>
      </c>
      <c r="O218" s="529">
        <f t="shared" si="114"/>
        <v>244.79999999999998</v>
      </c>
      <c r="P218" s="529">
        <f t="shared" si="114"/>
        <v>182.16</v>
      </c>
      <c r="Q218" s="529">
        <f t="shared" si="114"/>
        <v>77.040000000000006</v>
      </c>
      <c r="R218" s="529">
        <f t="shared" si="114"/>
        <v>78.84</v>
      </c>
      <c r="S218" s="529">
        <f t="shared" si="114"/>
        <v>44.28</v>
      </c>
      <c r="T218" s="529">
        <f t="shared" si="114"/>
        <v>66.240000000000009</v>
      </c>
      <c r="U218" s="529">
        <f t="shared" si="114"/>
        <v>75.239999999999995</v>
      </c>
      <c r="V218" s="529">
        <f t="shared" si="114"/>
        <v>0</v>
      </c>
      <c r="W218" s="529">
        <f t="shared" si="114"/>
        <v>0</v>
      </c>
      <c r="X218" s="528">
        <f t="shared" si="114"/>
        <v>0</v>
      </c>
      <c r="Y218" s="422">
        <f>SUM(Y216)</f>
        <v>147.82499999999999</v>
      </c>
      <c r="Z218" s="255"/>
      <c r="AA218" s="527">
        <f>SUM(F218:X218)</f>
        <v>1330.4249999999997</v>
      </c>
      <c r="AB218" s="208"/>
      <c r="AC218" s="208"/>
    </row>
    <row r="219" spans="3:29" outlineLevel="1">
      <c r="C219" s="96" t="s">
        <v>1002</v>
      </c>
      <c r="D219" s="940" t="s">
        <v>1240</v>
      </c>
      <c r="E219" s="940"/>
      <c r="F219" s="62"/>
      <c r="G219" s="62"/>
      <c r="H219" s="62"/>
      <c r="I219" s="62"/>
      <c r="J219" s="62"/>
      <c r="K219" s="62"/>
      <c r="L219" s="62"/>
      <c r="M219" s="62"/>
      <c r="N219" s="62"/>
      <c r="O219" s="62"/>
      <c r="P219" s="62"/>
      <c r="Q219" s="62"/>
      <c r="R219" s="62"/>
      <c r="S219" s="62"/>
      <c r="T219" s="62"/>
      <c r="U219" s="62"/>
      <c r="V219" s="62"/>
      <c r="W219" s="62"/>
      <c r="X219" s="62"/>
      <c r="Y219" s="437" t="s">
        <v>948</v>
      </c>
      <c r="Z219" s="92" t="s">
        <v>949</v>
      </c>
      <c r="AA219" s="541" t="s">
        <v>950</v>
      </c>
      <c r="AB219" s="208"/>
      <c r="AC219" s="208"/>
    </row>
    <row r="220" spans="3:29" outlineLevel="1">
      <c r="D220" s="75"/>
      <c r="E220" s="1" t="s">
        <v>1003</v>
      </c>
      <c r="F220" s="551">
        <f t="shared" ref="F220:X220" si="115">IF(F$6=0,0,(F184*inp_caulkratio))</f>
        <v>1</v>
      </c>
      <c r="G220" s="551">
        <f t="shared" si="115"/>
        <v>1</v>
      </c>
      <c r="H220" s="551">
        <f t="shared" si="115"/>
        <v>1</v>
      </c>
      <c r="I220" s="551">
        <f t="shared" si="115"/>
        <v>1</v>
      </c>
      <c r="J220" s="551">
        <f t="shared" si="115"/>
        <v>1</v>
      </c>
      <c r="K220" s="551">
        <f t="shared" si="115"/>
        <v>1</v>
      </c>
      <c r="L220" s="551">
        <f t="shared" si="115"/>
        <v>1</v>
      </c>
      <c r="M220" s="551">
        <f t="shared" si="115"/>
        <v>1</v>
      </c>
      <c r="N220" s="551">
        <f t="shared" si="115"/>
        <v>1</v>
      </c>
      <c r="O220" s="551">
        <f t="shared" si="115"/>
        <v>1</v>
      </c>
      <c r="P220" s="551">
        <f t="shared" si="115"/>
        <v>1.5</v>
      </c>
      <c r="Q220" s="551">
        <f t="shared" si="115"/>
        <v>0.5</v>
      </c>
      <c r="R220" s="551">
        <f t="shared" si="115"/>
        <v>1.5</v>
      </c>
      <c r="S220" s="551">
        <f t="shared" si="115"/>
        <v>1.5</v>
      </c>
      <c r="T220" s="551">
        <f t="shared" si="115"/>
        <v>1.5</v>
      </c>
      <c r="U220" s="551">
        <f t="shared" si="115"/>
        <v>1.5</v>
      </c>
      <c r="V220" s="551">
        <f t="shared" si="115"/>
        <v>0</v>
      </c>
      <c r="W220" s="551">
        <f t="shared" si="115"/>
        <v>0</v>
      </c>
      <c r="X220" s="550">
        <f t="shared" si="115"/>
        <v>0</v>
      </c>
      <c r="Y220" s="432">
        <f>SUMPRODUCT($F220:$X220,$F$6:$X$6)</f>
        <v>386.5</v>
      </c>
      <c r="Z220" s="538">
        <f>'MF Pricing'!F93</f>
        <v>6.5</v>
      </c>
      <c r="AA220" s="537">
        <f>Y220*Z220</f>
        <v>2512.25</v>
      </c>
      <c r="AB220" s="208"/>
      <c r="AC220" s="208"/>
    </row>
    <row r="221" spans="3:29" outlineLevel="1">
      <c r="C221" s="423" t="s">
        <v>1184</v>
      </c>
      <c r="D221" s="1"/>
      <c r="E221" s="536" t="s">
        <v>1185</v>
      </c>
      <c r="F221" s="535">
        <f t="shared" ref="F221:X221" si="116">F220*$Z220</f>
        <v>6.5</v>
      </c>
      <c r="G221" s="534">
        <f t="shared" si="116"/>
        <v>6.5</v>
      </c>
      <c r="H221" s="534">
        <f t="shared" si="116"/>
        <v>6.5</v>
      </c>
      <c r="I221" s="534">
        <f t="shared" si="116"/>
        <v>6.5</v>
      </c>
      <c r="J221" s="534">
        <f t="shared" si="116"/>
        <v>6.5</v>
      </c>
      <c r="K221" s="534">
        <f t="shared" si="116"/>
        <v>6.5</v>
      </c>
      <c r="L221" s="534">
        <f t="shared" si="116"/>
        <v>6.5</v>
      </c>
      <c r="M221" s="534">
        <f t="shared" si="116"/>
        <v>6.5</v>
      </c>
      <c r="N221" s="534">
        <f t="shared" si="116"/>
        <v>6.5</v>
      </c>
      <c r="O221" s="534">
        <f t="shared" si="116"/>
        <v>6.5</v>
      </c>
      <c r="P221" s="534">
        <f t="shared" si="116"/>
        <v>9.75</v>
      </c>
      <c r="Q221" s="534">
        <f t="shared" si="116"/>
        <v>3.25</v>
      </c>
      <c r="R221" s="534">
        <f t="shared" si="116"/>
        <v>9.75</v>
      </c>
      <c r="S221" s="534">
        <f t="shared" si="116"/>
        <v>9.75</v>
      </c>
      <c r="T221" s="534">
        <f t="shared" si="116"/>
        <v>9.75</v>
      </c>
      <c r="U221" s="534">
        <f t="shared" si="116"/>
        <v>9.75</v>
      </c>
      <c r="V221" s="534">
        <f t="shared" si="116"/>
        <v>0</v>
      </c>
      <c r="W221" s="534">
        <f t="shared" si="116"/>
        <v>0</v>
      </c>
      <c r="X221" s="533">
        <f t="shared" si="116"/>
        <v>0</v>
      </c>
      <c r="Y221" s="432"/>
      <c r="Z221" s="532"/>
      <c r="AA221" s="394"/>
      <c r="AB221" s="208"/>
      <c r="AC221" s="208"/>
    </row>
    <row r="222" spans="3:29" outlineLevel="1">
      <c r="C222" s="423" t="s">
        <v>988</v>
      </c>
      <c r="D222" s="1"/>
      <c r="E222" s="16" t="s">
        <v>961</v>
      </c>
      <c r="F222" s="530">
        <f t="shared" ref="F222:X222" si="117">F221*F$6</f>
        <v>52</v>
      </c>
      <c r="G222" s="529">
        <f t="shared" si="117"/>
        <v>104</v>
      </c>
      <c r="H222" s="529">
        <f t="shared" si="117"/>
        <v>52</v>
      </c>
      <c r="I222" s="529">
        <f t="shared" si="117"/>
        <v>123.5</v>
      </c>
      <c r="J222" s="529">
        <f t="shared" si="117"/>
        <v>312</v>
      </c>
      <c r="K222" s="529">
        <f t="shared" si="117"/>
        <v>26</v>
      </c>
      <c r="L222" s="529">
        <f t="shared" si="117"/>
        <v>156</v>
      </c>
      <c r="M222" s="529">
        <f t="shared" si="117"/>
        <v>65</v>
      </c>
      <c r="N222" s="529">
        <f t="shared" si="117"/>
        <v>208</v>
      </c>
      <c r="O222" s="529">
        <f t="shared" si="117"/>
        <v>416</v>
      </c>
      <c r="P222" s="529">
        <f t="shared" si="117"/>
        <v>448.5</v>
      </c>
      <c r="Q222" s="529">
        <f t="shared" si="117"/>
        <v>52</v>
      </c>
      <c r="R222" s="529">
        <f t="shared" si="117"/>
        <v>234</v>
      </c>
      <c r="S222" s="529">
        <f t="shared" si="117"/>
        <v>78</v>
      </c>
      <c r="T222" s="529">
        <f t="shared" si="117"/>
        <v>78</v>
      </c>
      <c r="U222" s="529">
        <f t="shared" si="117"/>
        <v>107.25</v>
      </c>
      <c r="V222" s="529">
        <f t="shared" si="117"/>
        <v>0</v>
      </c>
      <c r="W222" s="529">
        <f t="shared" si="117"/>
        <v>0</v>
      </c>
      <c r="X222" s="528">
        <f t="shared" si="117"/>
        <v>0</v>
      </c>
      <c r="Y222" s="422">
        <f>SUM(Y220)</f>
        <v>386.5</v>
      </c>
      <c r="Z222" s="255"/>
      <c r="AA222" s="527">
        <f>SUM(F222:X222)</f>
        <v>2512.25</v>
      </c>
      <c r="AB222" s="208"/>
      <c r="AC222" s="208"/>
    </row>
    <row r="223" spans="3:29" outlineLevel="1">
      <c r="C223" s="462" t="s">
        <v>1241</v>
      </c>
      <c r="D223" s="942" t="s">
        <v>1242</v>
      </c>
      <c r="E223" s="942"/>
      <c r="F223" s="542"/>
      <c r="G223" s="542"/>
      <c r="H223" s="542"/>
      <c r="I223" s="542"/>
      <c r="J223" s="542"/>
      <c r="K223" s="542"/>
      <c r="L223" s="542"/>
      <c r="M223" s="542"/>
      <c r="N223" s="542"/>
      <c r="O223" s="542"/>
      <c r="P223" s="542"/>
      <c r="Q223" s="542"/>
      <c r="R223" s="542"/>
      <c r="S223" s="542"/>
      <c r="T223" s="542"/>
      <c r="U223" s="542"/>
      <c r="V223" s="542"/>
      <c r="W223" s="542"/>
      <c r="X223" s="542"/>
      <c r="Y223" s="437" t="s">
        <v>948</v>
      </c>
      <c r="Z223" s="92" t="s">
        <v>949</v>
      </c>
      <c r="AA223" s="541" t="s">
        <v>950</v>
      </c>
      <c r="AB223" s="208"/>
      <c r="AC223" s="208"/>
    </row>
    <row r="224" spans="3:29" outlineLevel="1">
      <c r="D224" s="75"/>
      <c r="E224" s="75" t="s">
        <v>1214</v>
      </c>
      <c r="F224" s="549">
        <f t="shared" ref="F224:X224" ca="1" si="118">IF(F$6=0,0,(F148+F156)*inp_labexh+F164*inp_labdry+F184*inp_labpen+F128*inp_labpatio+(F188+F192+F196)*inp_labpipe)</f>
        <v>9.6125000000000007</v>
      </c>
      <c r="G224" s="549">
        <f t="shared" ca="1" si="118"/>
        <v>9.74</v>
      </c>
      <c r="H224" s="549">
        <f t="shared" ca="1" si="118"/>
        <v>8.2949999999999999</v>
      </c>
      <c r="I224" s="549">
        <f t="shared" ca="1" si="118"/>
        <v>8.5075000000000003</v>
      </c>
      <c r="J224" s="549">
        <f t="shared" ca="1" si="118"/>
        <v>8.7624999999999993</v>
      </c>
      <c r="K224" s="549">
        <f t="shared" ca="1" si="118"/>
        <v>8.8049999999999997</v>
      </c>
      <c r="L224" s="549">
        <f t="shared" ca="1" si="118"/>
        <v>9.3574999999999999</v>
      </c>
      <c r="M224" s="549">
        <f t="shared" ca="1" si="118"/>
        <v>9.6550000000000011</v>
      </c>
      <c r="N224" s="549">
        <f t="shared" ca="1" si="118"/>
        <v>9.5912500000000005</v>
      </c>
      <c r="O224" s="549">
        <f t="shared" ca="1" si="118"/>
        <v>10.362500000000001</v>
      </c>
      <c r="P224" s="549">
        <f t="shared" ca="1" si="118"/>
        <v>11.99</v>
      </c>
      <c r="Q224" s="549">
        <f t="shared" ca="1" si="118"/>
        <v>9.7974999999999994</v>
      </c>
      <c r="R224" s="549">
        <f t="shared" ca="1" si="118"/>
        <v>11.352499999999999</v>
      </c>
      <c r="S224" s="549">
        <f t="shared" ca="1" si="118"/>
        <v>14.227499999999999</v>
      </c>
      <c r="T224" s="549">
        <f t="shared" ca="1" si="118"/>
        <v>17.57</v>
      </c>
      <c r="U224" s="549">
        <f t="shared" ca="1" si="118"/>
        <v>16.21</v>
      </c>
      <c r="V224" s="549">
        <f t="shared" si="118"/>
        <v>0</v>
      </c>
      <c r="W224" s="549">
        <f t="shared" si="118"/>
        <v>0</v>
      </c>
      <c r="X224" s="61">
        <f t="shared" si="118"/>
        <v>0</v>
      </c>
      <c r="Y224" s="432">
        <f ca="1">SUMPRODUCT($F224:$X224,$F$6:$X$6)</f>
        <v>3621.2625000000003</v>
      </c>
      <c r="Z224" s="538">
        <f>'MF Pricing'!F226</f>
        <v>23</v>
      </c>
      <c r="AA224" s="537">
        <f ca="1">Y224*Z224</f>
        <v>83289.037500000006</v>
      </c>
      <c r="AB224" s="208"/>
      <c r="AC224" s="208"/>
    </row>
    <row r="225" spans="2:36" outlineLevel="1">
      <c r="C225" s="423" t="s">
        <v>1215</v>
      </c>
      <c r="D225" s="1"/>
      <c r="E225" s="536" t="s">
        <v>1185</v>
      </c>
      <c r="F225" s="535">
        <f t="shared" ref="F225:X225" ca="1" si="119">F224*$Z224</f>
        <v>221.08750000000001</v>
      </c>
      <c r="G225" s="534">
        <f t="shared" ca="1" si="119"/>
        <v>224.02</v>
      </c>
      <c r="H225" s="534">
        <f t="shared" ca="1" si="119"/>
        <v>190.785</v>
      </c>
      <c r="I225" s="534">
        <f t="shared" ca="1" si="119"/>
        <v>195.67250000000001</v>
      </c>
      <c r="J225" s="534">
        <f t="shared" ca="1" si="119"/>
        <v>201.53749999999999</v>
      </c>
      <c r="K225" s="534">
        <f t="shared" ca="1" si="119"/>
        <v>202.51499999999999</v>
      </c>
      <c r="L225" s="534">
        <f t="shared" ca="1" si="119"/>
        <v>215.2225</v>
      </c>
      <c r="M225" s="534">
        <f t="shared" ca="1" si="119"/>
        <v>222.06500000000003</v>
      </c>
      <c r="N225" s="534">
        <f t="shared" ca="1" si="119"/>
        <v>220.59875000000002</v>
      </c>
      <c r="O225" s="534">
        <f t="shared" ca="1" si="119"/>
        <v>238.33750000000001</v>
      </c>
      <c r="P225" s="534">
        <f t="shared" ca="1" si="119"/>
        <v>275.77</v>
      </c>
      <c r="Q225" s="534">
        <f t="shared" ca="1" si="119"/>
        <v>225.34249999999997</v>
      </c>
      <c r="R225" s="534">
        <f t="shared" ca="1" si="119"/>
        <v>261.10749999999996</v>
      </c>
      <c r="S225" s="534">
        <f t="shared" ca="1" si="119"/>
        <v>327.23249999999996</v>
      </c>
      <c r="T225" s="534">
        <f t="shared" ca="1" si="119"/>
        <v>404.11</v>
      </c>
      <c r="U225" s="534">
        <f t="shared" ca="1" si="119"/>
        <v>372.83000000000004</v>
      </c>
      <c r="V225" s="534">
        <f t="shared" si="119"/>
        <v>0</v>
      </c>
      <c r="W225" s="534">
        <f t="shared" si="119"/>
        <v>0</v>
      </c>
      <c r="X225" s="533">
        <f t="shared" si="119"/>
        <v>0</v>
      </c>
      <c r="Y225" s="432"/>
      <c r="Z225" s="532"/>
      <c r="AA225" s="394"/>
      <c r="AB225" s="208"/>
      <c r="AC225" s="208"/>
    </row>
    <row r="226" spans="2:36" outlineLevel="1">
      <c r="C226" s="423" t="s">
        <v>1216</v>
      </c>
      <c r="D226" s="1"/>
      <c r="E226" s="16" t="s">
        <v>961</v>
      </c>
      <c r="F226" s="530">
        <f t="shared" ref="F226:X226" ca="1" si="120">F225*F$6</f>
        <v>1768.7</v>
      </c>
      <c r="G226" s="529">
        <f t="shared" ca="1" si="120"/>
        <v>3584.32</v>
      </c>
      <c r="H226" s="529">
        <f t="shared" ca="1" si="120"/>
        <v>1526.28</v>
      </c>
      <c r="I226" s="529">
        <f t="shared" ca="1" si="120"/>
        <v>3717.7775000000001</v>
      </c>
      <c r="J226" s="529">
        <f t="shared" ca="1" si="120"/>
        <v>9673.7999999999993</v>
      </c>
      <c r="K226" s="529">
        <f t="shared" ca="1" si="120"/>
        <v>810.06</v>
      </c>
      <c r="L226" s="529">
        <f t="shared" ca="1" si="120"/>
        <v>5165.34</v>
      </c>
      <c r="M226" s="529">
        <f t="shared" ca="1" si="120"/>
        <v>2220.65</v>
      </c>
      <c r="N226" s="529">
        <f t="shared" ca="1" si="120"/>
        <v>7059.1600000000008</v>
      </c>
      <c r="O226" s="529">
        <f t="shared" ca="1" si="120"/>
        <v>15253.6</v>
      </c>
      <c r="P226" s="529">
        <f t="shared" ca="1" si="120"/>
        <v>12685.419999999998</v>
      </c>
      <c r="Q226" s="529">
        <f t="shared" ca="1" si="120"/>
        <v>3605.4799999999996</v>
      </c>
      <c r="R226" s="529">
        <f t="shared" ca="1" si="120"/>
        <v>6266.579999999999</v>
      </c>
      <c r="S226" s="529">
        <f t="shared" ca="1" si="120"/>
        <v>2617.8599999999997</v>
      </c>
      <c r="T226" s="529">
        <f t="shared" ca="1" si="120"/>
        <v>3232.88</v>
      </c>
      <c r="U226" s="529">
        <f t="shared" ca="1" si="120"/>
        <v>4101.13</v>
      </c>
      <c r="V226" s="529">
        <f t="shared" si="120"/>
        <v>0</v>
      </c>
      <c r="W226" s="529">
        <f t="shared" si="120"/>
        <v>0</v>
      </c>
      <c r="X226" s="528">
        <f t="shared" si="120"/>
        <v>0</v>
      </c>
      <c r="Y226" s="422">
        <f ca="1">SUM(Y224)</f>
        <v>3621.2625000000003</v>
      </c>
      <c r="Z226" s="255"/>
      <c r="AA226" s="527">
        <f ca="1">SUM(F226:X226)</f>
        <v>83289.037500000006</v>
      </c>
      <c r="AB226" s="208"/>
      <c r="AC226" s="208"/>
    </row>
    <row r="227" spans="2:36">
      <c r="B227" s="438" t="s">
        <v>1004</v>
      </c>
      <c r="C227" s="96" t="s">
        <v>1005</v>
      </c>
      <c r="D227" s="941" t="s">
        <v>1243</v>
      </c>
      <c r="E227" s="941"/>
      <c r="F227" s="542"/>
      <c r="G227" s="542"/>
      <c r="H227" s="542"/>
      <c r="I227" s="542"/>
      <c r="J227" s="542"/>
      <c r="K227" s="542"/>
      <c r="L227" s="542"/>
      <c r="M227" s="542"/>
      <c r="N227" s="542"/>
      <c r="O227" s="542"/>
      <c r="P227" s="542"/>
      <c r="Q227" s="542"/>
      <c r="R227" s="542"/>
      <c r="S227" s="542"/>
      <c r="T227" s="542"/>
      <c r="U227" s="542"/>
      <c r="V227" s="542"/>
      <c r="W227" s="542"/>
      <c r="X227" s="542"/>
      <c r="Y227" s="432"/>
      <c r="Z227" s="532"/>
      <c r="AA227" s="394"/>
      <c r="AB227" s="208"/>
      <c r="AC227" s="208"/>
    </row>
    <row r="228" spans="2:36">
      <c r="C228" s="198" t="s">
        <v>1012</v>
      </c>
      <c r="D228" s="581" t="s">
        <v>1244</v>
      </c>
      <c r="E228" s="198" t="s">
        <v>1245</v>
      </c>
      <c r="F228" s="547"/>
      <c r="G228" s="546"/>
      <c r="H228" s="546"/>
      <c r="I228" s="546"/>
      <c r="J228" s="546"/>
      <c r="K228" s="546"/>
      <c r="L228" s="546"/>
      <c r="M228" s="546"/>
      <c r="N228" s="546"/>
      <c r="O228" s="546"/>
      <c r="P228" s="546"/>
      <c r="Q228" s="546"/>
      <c r="R228" s="546"/>
      <c r="S228" s="546">
        <v>7.6</v>
      </c>
      <c r="T228" s="546"/>
      <c r="U228" s="546"/>
      <c r="V228" s="546"/>
      <c r="W228" s="546"/>
      <c r="X228" s="545"/>
      <c r="Y228" s="432"/>
      <c r="Z228" s="532"/>
      <c r="AA228" s="394"/>
      <c r="AB228" s="208"/>
      <c r="AC228" s="208"/>
      <c r="AH228" s="546"/>
      <c r="AI228" s="546"/>
      <c r="AJ228" s="546"/>
    </row>
    <row r="229" spans="2:36">
      <c r="C229" s="200" t="s">
        <v>1014</v>
      </c>
      <c r="D229" s="580" t="s">
        <v>1246</v>
      </c>
      <c r="E229" s="200" t="s">
        <v>1245</v>
      </c>
      <c r="F229" s="547"/>
      <c r="G229" s="546"/>
      <c r="H229" s="546"/>
      <c r="I229" s="546"/>
      <c r="J229" s="546"/>
      <c r="K229" s="546"/>
      <c r="L229" s="546"/>
      <c r="M229" s="546"/>
      <c r="N229" s="546"/>
      <c r="O229" s="546"/>
      <c r="P229" s="546"/>
      <c r="Q229" s="546"/>
      <c r="R229" s="546"/>
      <c r="S229" s="546"/>
      <c r="T229" s="546"/>
      <c r="U229" s="546"/>
      <c r="V229" s="546"/>
      <c r="W229" s="546"/>
      <c r="X229" s="545"/>
      <c r="Y229" s="432"/>
      <c r="Z229" s="532"/>
      <c r="AA229" s="394"/>
      <c r="AB229" s="208"/>
      <c r="AC229" s="208"/>
      <c r="AH229" s="546"/>
      <c r="AI229" s="546"/>
      <c r="AJ229" s="546"/>
    </row>
    <row r="230" spans="2:36">
      <c r="C230" s="200" t="s">
        <v>1016</v>
      </c>
      <c r="D230" s="580" t="s">
        <v>1247</v>
      </c>
      <c r="E230" s="200" t="s">
        <v>1245</v>
      </c>
      <c r="F230" s="547"/>
      <c r="G230" s="546"/>
      <c r="H230" s="546"/>
      <c r="I230" s="546"/>
      <c r="J230" s="546"/>
      <c r="K230" s="546"/>
      <c r="L230" s="546"/>
      <c r="M230" s="546"/>
      <c r="N230" s="546"/>
      <c r="O230" s="546"/>
      <c r="P230" s="546"/>
      <c r="Q230" s="546"/>
      <c r="R230" s="546"/>
      <c r="S230" s="546"/>
      <c r="T230" s="546"/>
      <c r="U230" s="546"/>
      <c r="V230" s="546"/>
      <c r="W230" s="546"/>
      <c r="X230" s="545"/>
      <c r="Y230" s="432"/>
      <c r="Z230" s="532"/>
      <c r="AA230" s="394"/>
      <c r="AB230" s="208"/>
      <c r="AC230" s="208"/>
      <c r="AH230" s="546"/>
      <c r="AI230" s="546"/>
      <c r="AJ230" s="546"/>
    </row>
    <row r="231" spans="2:36">
      <c r="C231" s="200" t="s">
        <v>1018</v>
      </c>
      <c r="D231" s="580" t="s">
        <v>1248</v>
      </c>
      <c r="E231" s="200" t="s">
        <v>1245</v>
      </c>
      <c r="F231" s="547"/>
      <c r="G231" s="546"/>
      <c r="H231" s="546"/>
      <c r="I231" s="546"/>
      <c r="J231" s="546"/>
      <c r="K231" s="546"/>
      <c r="L231" s="546"/>
      <c r="M231" s="546"/>
      <c r="N231" s="546"/>
      <c r="O231" s="546"/>
      <c r="P231" s="546"/>
      <c r="Q231" s="546"/>
      <c r="R231" s="546"/>
      <c r="S231" s="546"/>
      <c r="T231" s="546"/>
      <c r="U231" s="546"/>
      <c r="V231" s="546"/>
      <c r="W231" s="546"/>
      <c r="X231" s="545"/>
      <c r="Y231" s="432"/>
      <c r="Z231" s="532"/>
      <c r="AA231" s="394"/>
      <c r="AB231" s="208"/>
      <c r="AC231" s="208"/>
      <c r="AH231" s="546"/>
      <c r="AI231" s="546"/>
      <c r="AJ231" s="546"/>
    </row>
    <row r="232" spans="2:36">
      <c r="C232" s="200" t="s">
        <v>1020</v>
      </c>
      <c r="D232" s="580" t="s">
        <v>1023</v>
      </c>
      <c r="E232" s="200" t="s">
        <v>1245</v>
      </c>
      <c r="F232" s="547"/>
      <c r="G232" s="546"/>
      <c r="H232" s="546"/>
      <c r="I232" s="546"/>
      <c r="J232" s="546"/>
      <c r="K232" s="546"/>
      <c r="L232" s="546"/>
      <c r="M232" s="546"/>
      <c r="N232" s="546"/>
      <c r="O232" s="546"/>
      <c r="P232" s="546"/>
      <c r="Q232" s="546"/>
      <c r="R232" s="546"/>
      <c r="S232" s="546"/>
      <c r="T232" s="546">
        <v>15.4</v>
      </c>
      <c r="U232" s="546"/>
      <c r="V232" s="546"/>
      <c r="W232" s="546"/>
      <c r="X232" s="545"/>
      <c r="Y232" s="432"/>
      <c r="Z232" s="532"/>
      <c r="AA232" s="394"/>
      <c r="AB232" s="208"/>
      <c r="AC232" s="208"/>
      <c r="AH232" s="546"/>
      <c r="AI232" s="546"/>
      <c r="AJ232" s="546"/>
    </row>
    <row r="233" spans="2:36">
      <c r="C233" s="200" t="s">
        <v>1022</v>
      </c>
      <c r="D233" s="580" t="s">
        <v>1249</v>
      </c>
      <c r="E233" s="200" t="s">
        <v>1245</v>
      </c>
      <c r="F233" s="547"/>
      <c r="G233" s="546"/>
      <c r="H233" s="546"/>
      <c r="I233" s="546">
        <v>1.4</v>
      </c>
      <c r="J233" s="546">
        <v>3</v>
      </c>
      <c r="K233" s="546">
        <v>4.24</v>
      </c>
      <c r="L233" s="546">
        <v>4.4000000000000004</v>
      </c>
      <c r="M233" s="546">
        <v>4.4800000000000004</v>
      </c>
      <c r="N233" s="546"/>
      <c r="O233" s="546"/>
      <c r="P233" s="546">
        <v>3</v>
      </c>
      <c r="Q233" s="546"/>
      <c r="R233" s="546">
        <v>3.52</v>
      </c>
      <c r="S233" s="546"/>
      <c r="T233" s="546"/>
      <c r="U233" s="546"/>
      <c r="V233" s="546"/>
      <c r="W233" s="546"/>
      <c r="X233" s="545"/>
      <c r="Y233" s="432"/>
      <c r="Z233" s="532"/>
      <c r="AA233" s="394"/>
      <c r="AB233" s="208"/>
      <c r="AC233" s="208"/>
    </row>
    <row r="234" spans="2:36">
      <c r="C234" s="200" t="s">
        <v>1024</v>
      </c>
      <c r="D234" s="580" t="s">
        <v>1250</v>
      </c>
      <c r="E234" s="200" t="s">
        <v>1245</v>
      </c>
      <c r="F234" s="547"/>
      <c r="G234" s="546">
        <v>6</v>
      </c>
      <c r="H234" s="546"/>
      <c r="I234" s="546"/>
      <c r="J234" s="546"/>
      <c r="K234" s="546"/>
      <c r="L234" s="546"/>
      <c r="M234" s="546"/>
      <c r="N234" s="546"/>
      <c r="O234" s="546"/>
      <c r="P234" s="546"/>
      <c r="Q234" s="546"/>
      <c r="R234" s="546">
        <v>6.8</v>
      </c>
      <c r="S234" s="546"/>
      <c r="T234" s="546"/>
      <c r="U234" s="546"/>
      <c r="V234" s="546"/>
      <c r="W234" s="546"/>
      <c r="X234" s="545"/>
      <c r="Y234" s="432"/>
      <c r="Z234" s="532"/>
      <c r="AA234" s="394"/>
      <c r="AB234" s="208"/>
      <c r="AC234" s="208"/>
    </row>
    <row r="235" spans="2:36">
      <c r="C235" s="200" t="s">
        <v>1025</v>
      </c>
      <c r="D235" s="580" t="s">
        <v>1251</v>
      </c>
      <c r="E235" s="200" t="s">
        <v>1245</v>
      </c>
      <c r="F235" s="547"/>
      <c r="G235" s="546"/>
      <c r="H235" s="546"/>
      <c r="I235" s="546"/>
      <c r="J235" s="546"/>
      <c r="K235" s="546"/>
      <c r="L235" s="546"/>
      <c r="M235" s="546"/>
      <c r="N235" s="546">
        <v>11</v>
      </c>
      <c r="O235" s="546">
        <v>4.4000000000000004</v>
      </c>
      <c r="P235" s="546"/>
      <c r="Q235" s="546"/>
      <c r="R235" s="546"/>
      <c r="S235" s="546"/>
      <c r="T235" s="546"/>
      <c r="U235" s="546"/>
      <c r="V235" s="546"/>
      <c r="W235" s="546"/>
      <c r="X235" s="545"/>
      <c r="Y235" s="432"/>
      <c r="Z235" s="532"/>
      <c r="AA235" s="394"/>
      <c r="AB235" s="208"/>
      <c r="AC235" s="208"/>
    </row>
    <row r="236" spans="2:36">
      <c r="C236" s="200" t="s">
        <v>1026</v>
      </c>
      <c r="D236" s="580" t="s">
        <v>1252</v>
      </c>
      <c r="E236" s="200" t="s">
        <v>1245</v>
      </c>
      <c r="F236" s="547"/>
      <c r="G236" s="546"/>
      <c r="H236" s="546"/>
      <c r="I236" s="546"/>
      <c r="J236" s="546"/>
      <c r="K236" s="546"/>
      <c r="L236" s="546"/>
      <c r="M236" s="546"/>
      <c r="N236" s="546"/>
      <c r="O236" s="546"/>
      <c r="P236" s="546"/>
      <c r="Q236" s="546"/>
      <c r="R236" s="546"/>
      <c r="S236" s="546">
        <v>3.4</v>
      </c>
      <c r="T236" s="546"/>
      <c r="U236" s="546">
        <v>3.4</v>
      </c>
      <c r="V236" s="546"/>
      <c r="W236" s="546"/>
      <c r="X236" s="545"/>
      <c r="Y236" s="432"/>
      <c r="Z236" s="532"/>
      <c r="AA236" s="394"/>
      <c r="AB236" s="208"/>
      <c r="AC236" s="208"/>
    </row>
    <row r="237" spans="2:36">
      <c r="C237" s="200" t="s">
        <v>1027</v>
      </c>
      <c r="D237" s="580"/>
      <c r="E237" s="200" t="s">
        <v>1245</v>
      </c>
      <c r="F237" s="547"/>
      <c r="G237" s="546"/>
      <c r="H237" s="546"/>
      <c r="I237" s="546"/>
      <c r="J237" s="546"/>
      <c r="K237" s="546"/>
      <c r="L237" s="546"/>
      <c r="M237" s="546"/>
      <c r="N237" s="546"/>
      <c r="O237" s="546"/>
      <c r="P237" s="546"/>
      <c r="Q237" s="546"/>
      <c r="R237" s="546"/>
      <c r="S237" s="546"/>
      <c r="T237" s="546"/>
      <c r="U237" s="546"/>
      <c r="V237" s="546"/>
      <c r="W237" s="546"/>
      <c r="X237" s="545"/>
      <c r="Y237" s="432"/>
      <c r="Z237" s="532"/>
      <c r="AA237" s="394"/>
      <c r="AB237" s="208"/>
      <c r="AC237" s="208"/>
    </row>
    <row r="238" spans="2:36" outlineLevel="1">
      <c r="C238" s="200" t="s">
        <v>1253</v>
      </c>
      <c r="D238" s="579" t="s">
        <v>1254</v>
      </c>
      <c r="E238" s="578" t="s">
        <v>1255</v>
      </c>
      <c r="F238" s="555">
        <f t="shared" ref="F238:X238" si="121">IF(F6&lt;&gt;0, 4, 0)</f>
        <v>4</v>
      </c>
      <c r="G238" s="555">
        <f t="shared" si="121"/>
        <v>4</v>
      </c>
      <c r="H238" s="555">
        <f t="shared" si="121"/>
        <v>4</v>
      </c>
      <c r="I238" s="555">
        <f t="shared" si="121"/>
        <v>4</v>
      </c>
      <c r="J238" s="555">
        <f t="shared" si="121"/>
        <v>4</v>
      </c>
      <c r="K238" s="555">
        <f t="shared" si="121"/>
        <v>4</v>
      </c>
      <c r="L238" s="555">
        <f t="shared" si="121"/>
        <v>4</v>
      </c>
      <c r="M238" s="555">
        <f t="shared" si="121"/>
        <v>4</v>
      </c>
      <c r="N238" s="555">
        <f t="shared" si="121"/>
        <v>4</v>
      </c>
      <c r="O238" s="555">
        <f t="shared" si="121"/>
        <v>4</v>
      </c>
      <c r="P238" s="555">
        <f t="shared" si="121"/>
        <v>4</v>
      </c>
      <c r="Q238" s="555">
        <f t="shared" si="121"/>
        <v>4</v>
      </c>
      <c r="R238" s="555">
        <f t="shared" si="121"/>
        <v>4</v>
      </c>
      <c r="S238" s="555">
        <f t="shared" si="121"/>
        <v>4</v>
      </c>
      <c r="T238" s="555">
        <f t="shared" si="121"/>
        <v>4</v>
      </c>
      <c r="U238" s="555">
        <f t="shared" si="121"/>
        <v>4</v>
      </c>
      <c r="V238" s="555">
        <f t="shared" si="121"/>
        <v>0</v>
      </c>
      <c r="W238" s="555">
        <f t="shared" si="121"/>
        <v>0</v>
      </c>
      <c r="X238" s="555">
        <f t="shared" si="121"/>
        <v>0</v>
      </c>
      <c r="Y238" s="432"/>
      <c r="Z238" s="532"/>
      <c r="AA238" s="394"/>
      <c r="AB238" s="208"/>
      <c r="AC238" s="208"/>
    </row>
    <row r="239" spans="2:36" outlineLevel="1">
      <c r="C239" s="96" t="s">
        <v>1005</v>
      </c>
      <c r="D239" s="941" t="s">
        <v>1256</v>
      </c>
      <c r="E239" s="941"/>
      <c r="F239" s="542"/>
      <c r="G239" s="542"/>
      <c r="H239" s="542"/>
      <c r="I239" s="542"/>
      <c r="J239" s="542"/>
      <c r="K239" s="542"/>
      <c r="L239" s="542"/>
      <c r="M239" s="542"/>
      <c r="N239" s="542"/>
      <c r="O239" s="542"/>
      <c r="P239" s="542"/>
      <c r="Q239" s="542"/>
      <c r="R239" s="542"/>
      <c r="S239" s="542"/>
      <c r="T239" s="542"/>
      <c r="U239" s="542"/>
      <c r="V239" s="542"/>
      <c r="W239" s="542"/>
      <c r="X239" s="542"/>
      <c r="Y239" s="432"/>
      <c r="Z239" s="532"/>
      <c r="AA239" s="394"/>
      <c r="AB239" s="208"/>
      <c r="AC239" s="208"/>
    </row>
    <row r="240" spans="2:36" outlineLevel="1">
      <c r="C240" s="198" t="s">
        <v>1012</v>
      </c>
      <c r="D240" s="577" t="str">
        <f t="shared" ref="D240:D250" si="122">D228</f>
        <v>14*12</v>
      </c>
      <c r="E240" s="198" t="s">
        <v>1257</v>
      </c>
      <c r="F240" s="560">
        <f t="shared" ref="F240:X240" si="123">IF(F$6=0,0,IFERROR(((LEFT($D240,FIND("*",$D240)-1)*12*2+RIGHT($D240,LEN($D240)-FIND("*",$D240))*12*2)/144)*(F228*$L$2)/inp_ductbrdsize*(1+inp_dbwaste/100),0))</f>
        <v>0</v>
      </c>
      <c r="G240" s="560">
        <f t="shared" si="123"/>
        <v>0</v>
      </c>
      <c r="H240" s="560">
        <f t="shared" si="123"/>
        <v>0</v>
      </c>
      <c r="I240" s="560">
        <f t="shared" si="123"/>
        <v>0</v>
      </c>
      <c r="J240" s="560">
        <f t="shared" si="123"/>
        <v>0</v>
      </c>
      <c r="K240" s="560">
        <f t="shared" si="123"/>
        <v>0</v>
      </c>
      <c r="L240" s="560">
        <f t="shared" si="123"/>
        <v>0</v>
      </c>
      <c r="M240" s="560">
        <f t="shared" si="123"/>
        <v>0</v>
      </c>
      <c r="N240" s="560">
        <f t="shared" si="123"/>
        <v>0</v>
      </c>
      <c r="O240" s="560">
        <f t="shared" si="123"/>
        <v>0</v>
      </c>
      <c r="P240" s="560">
        <f t="shared" si="123"/>
        <v>0</v>
      </c>
      <c r="Q240" s="560">
        <f t="shared" si="123"/>
        <v>0</v>
      </c>
      <c r="R240" s="560">
        <f t="shared" si="123"/>
        <v>0</v>
      </c>
      <c r="S240" s="560">
        <f t="shared" si="123"/>
        <v>0.98799999999999988</v>
      </c>
      <c r="T240" s="560">
        <f t="shared" si="123"/>
        <v>0</v>
      </c>
      <c r="U240" s="560">
        <f t="shared" si="123"/>
        <v>0</v>
      </c>
      <c r="V240" s="560">
        <f t="shared" si="123"/>
        <v>0</v>
      </c>
      <c r="W240" s="560">
        <f t="shared" si="123"/>
        <v>0</v>
      </c>
      <c r="X240" s="560">
        <f t="shared" si="123"/>
        <v>0</v>
      </c>
      <c r="Y240" s="432"/>
      <c r="Z240" s="532"/>
      <c r="AA240" s="394"/>
      <c r="AB240" s="208"/>
      <c r="AC240" s="208"/>
    </row>
    <row r="241" spans="3:29" outlineLevel="1">
      <c r="C241" s="200" t="s">
        <v>1014</v>
      </c>
      <c r="D241" s="576" t="str">
        <f t="shared" si="122"/>
        <v>14*14</v>
      </c>
      <c r="E241" s="200" t="s">
        <v>1257</v>
      </c>
      <c r="F241" s="560">
        <f t="shared" ref="F241:X241" si="124">IF(F$6=0,0,IFERROR(((LEFT($D241,FIND("*",$D241)-1)*12*2+RIGHT($D241,LEN($D241)-FIND("*",$D241))*12*2)/144)*(F229*$L$2)/inp_ductbrdsize*(1+inp_dbwaste/100),0))</f>
        <v>0</v>
      </c>
      <c r="G241" s="560">
        <f t="shared" si="124"/>
        <v>0</v>
      </c>
      <c r="H241" s="560">
        <f t="shared" si="124"/>
        <v>0</v>
      </c>
      <c r="I241" s="560">
        <f t="shared" si="124"/>
        <v>0</v>
      </c>
      <c r="J241" s="560">
        <f t="shared" si="124"/>
        <v>0</v>
      </c>
      <c r="K241" s="560">
        <f t="shared" si="124"/>
        <v>0</v>
      </c>
      <c r="L241" s="560">
        <f t="shared" si="124"/>
        <v>0</v>
      </c>
      <c r="M241" s="560">
        <f t="shared" si="124"/>
        <v>0</v>
      </c>
      <c r="N241" s="560">
        <f t="shared" si="124"/>
        <v>0</v>
      </c>
      <c r="O241" s="560">
        <f t="shared" si="124"/>
        <v>0</v>
      </c>
      <c r="P241" s="560">
        <f t="shared" si="124"/>
        <v>0</v>
      </c>
      <c r="Q241" s="560">
        <f t="shared" si="124"/>
        <v>0</v>
      </c>
      <c r="R241" s="560">
        <f t="shared" si="124"/>
        <v>0</v>
      </c>
      <c r="S241" s="560">
        <f t="shared" si="124"/>
        <v>0</v>
      </c>
      <c r="T241" s="560">
        <f t="shared" si="124"/>
        <v>0</v>
      </c>
      <c r="U241" s="560">
        <f t="shared" si="124"/>
        <v>0</v>
      </c>
      <c r="V241" s="560">
        <f t="shared" si="124"/>
        <v>0</v>
      </c>
      <c r="W241" s="560">
        <f t="shared" si="124"/>
        <v>0</v>
      </c>
      <c r="X241" s="560">
        <f t="shared" si="124"/>
        <v>0</v>
      </c>
      <c r="Y241" s="432"/>
      <c r="Z241" s="532"/>
      <c r="AA241" s="394"/>
      <c r="AB241" s="208"/>
      <c r="AC241" s="208"/>
    </row>
    <row r="242" spans="3:29" outlineLevel="1">
      <c r="C242" s="200" t="s">
        <v>1016</v>
      </c>
      <c r="D242" s="576" t="str">
        <f t="shared" si="122"/>
        <v>20*12</v>
      </c>
      <c r="E242" s="200" t="s">
        <v>1257</v>
      </c>
      <c r="F242" s="560">
        <f t="shared" ref="F242:X242" si="125">IF(F$6=0,0,IFERROR(((LEFT($D242,FIND("*",$D242)-1)*12*2+RIGHT($D242,LEN($D242)-FIND("*",$D242))*12*2)/144)*(F230*$L$2)/inp_ductbrdsize*(1+inp_dbwaste/100),0))</f>
        <v>0</v>
      </c>
      <c r="G242" s="560">
        <f t="shared" si="125"/>
        <v>0</v>
      </c>
      <c r="H242" s="560">
        <f t="shared" si="125"/>
        <v>0</v>
      </c>
      <c r="I242" s="560">
        <f t="shared" si="125"/>
        <v>0</v>
      </c>
      <c r="J242" s="560">
        <f t="shared" si="125"/>
        <v>0</v>
      </c>
      <c r="K242" s="560">
        <f t="shared" si="125"/>
        <v>0</v>
      </c>
      <c r="L242" s="560">
        <f t="shared" si="125"/>
        <v>0</v>
      </c>
      <c r="M242" s="560">
        <f t="shared" si="125"/>
        <v>0</v>
      </c>
      <c r="N242" s="560">
        <f t="shared" si="125"/>
        <v>0</v>
      </c>
      <c r="O242" s="560">
        <f t="shared" si="125"/>
        <v>0</v>
      </c>
      <c r="P242" s="560">
        <f t="shared" si="125"/>
        <v>0</v>
      </c>
      <c r="Q242" s="560">
        <f t="shared" si="125"/>
        <v>0</v>
      </c>
      <c r="R242" s="560">
        <f t="shared" si="125"/>
        <v>0</v>
      </c>
      <c r="S242" s="560">
        <f t="shared" si="125"/>
        <v>0</v>
      </c>
      <c r="T242" s="560">
        <f t="shared" si="125"/>
        <v>0</v>
      </c>
      <c r="U242" s="560">
        <f t="shared" si="125"/>
        <v>0</v>
      </c>
      <c r="V242" s="560">
        <f t="shared" si="125"/>
        <v>0</v>
      </c>
      <c r="W242" s="560">
        <f t="shared" si="125"/>
        <v>0</v>
      </c>
      <c r="X242" s="560">
        <f t="shared" si="125"/>
        <v>0</v>
      </c>
      <c r="Y242" s="432"/>
      <c r="Z242" s="532"/>
      <c r="AA242" s="394"/>
      <c r="AB242" s="208"/>
      <c r="AC242" s="208"/>
    </row>
    <row r="243" spans="3:29" outlineLevel="1">
      <c r="C243" s="200" t="s">
        <v>1018</v>
      </c>
      <c r="D243" s="576" t="str">
        <f t="shared" si="122"/>
        <v>10*12</v>
      </c>
      <c r="E243" s="200" t="s">
        <v>1257</v>
      </c>
      <c r="F243" s="560">
        <f t="shared" ref="F243:X243" si="126">IF(F$6=0,0,IFERROR(((LEFT($D243,FIND("*",$D243)-1)*12*2+RIGHT($D243,LEN($D243)-FIND("*",$D243))*12*2)/144)*(F231*$L$2)/inp_ductbrdsize*(1+inp_dbwaste/100),0))</f>
        <v>0</v>
      </c>
      <c r="G243" s="560">
        <f t="shared" si="126"/>
        <v>0</v>
      </c>
      <c r="H243" s="560">
        <f t="shared" si="126"/>
        <v>0</v>
      </c>
      <c r="I243" s="560">
        <f t="shared" si="126"/>
        <v>0</v>
      </c>
      <c r="J243" s="560">
        <f t="shared" si="126"/>
        <v>0</v>
      </c>
      <c r="K243" s="560">
        <f t="shared" si="126"/>
        <v>0</v>
      </c>
      <c r="L243" s="560">
        <f t="shared" si="126"/>
        <v>0</v>
      </c>
      <c r="M243" s="560">
        <f t="shared" si="126"/>
        <v>0</v>
      </c>
      <c r="N243" s="560">
        <f t="shared" si="126"/>
        <v>0</v>
      </c>
      <c r="O243" s="560">
        <f t="shared" si="126"/>
        <v>0</v>
      </c>
      <c r="P243" s="560">
        <f t="shared" si="126"/>
        <v>0</v>
      </c>
      <c r="Q243" s="560">
        <f t="shared" si="126"/>
        <v>0</v>
      </c>
      <c r="R243" s="560">
        <f t="shared" si="126"/>
        <v>0</v>
      </c>
      <c r="S243" s="560">
        <f t="shared" si="126"/>
        <v>0</v>
      </c>
      <c r="T243" s="560">
        <f t="shared" si="126"/>
        <v>0</v>
      </c>
      <c r="U243" s="560">
        <f t="shared" si="126"/>
        <v>0</v>
      </c>
      <c r="V243" s="560">
        <f t="shared" si="126"/>
        <v>0</v>
      </c>
      <c r="W243" s="560">
        <f t="shared" si="126"/>
        <v>0</v>
      </c>
      <c r="X243" s="560">
        <f t="shared" si="126"/>
        <v>0</v>
      </c>
      <c r="Y243" s="432"/>
      <c r="Z243" s="532"/>
      <c r="AA243" s="394"/>
      <c r="AB243" s="208"/>
      <c r="AC243" s="208"/>
    </row>
    <row r="244" spans="3:29" outlineLevel="1">
      <c r="C244" s="200" t="s">
        <v>1020</v>
      </c>
      <c r="D244" s="576" t="str">
        <f t="shared" si="122"/>
        <v>12*12</v>
      </c>
      <c r="E244" s="200" t="s">
        <v>1257</v>
      </c>
      <c r="F244" s="560">
        <f t="shared" ref="F244:X244" si="127">IF(F$6=0,0,IFERROR(((LEFT($D244,FIND("*",$D244)-1)*12*2+RIGHT($D244,LEN($D244)-FIND("*",$D244))*12*2)/144)*(F232*$L$2)/inp_ductbrdsize*(1+inp_dbwaste/100),0))</f>
        <v>0</v>
      </c>
      <c r="G244" s="560">
        <f t="shared" si="127"/>
        <v>0</v>
      </c>
      <c r="H244" s="560">
        <f t="shared" si="127"/>
        <v>0</v>
      </c>
      <c r="I244" s="560">
        <f t="shared" si="127"/>
        <v>0</v>
      </c>
      <c r="J244" s="560">
        <f t="shared" si="127"/>
        <v>0</v>
      </c>
      <c r="K244" s="560">
        <f t="shared" si="127"/>
        <v>0</v>
      </c>
      <c r="L244" s="560">
        <f t="shared" si="127"/>
        <v>0</v>
      </c>
      <c r="M244" s="560">
        <f t="shared" si="127"/>
        <v>0</v>
      </c>
      <c r="N244" s="560">
        <f t="shared" si="127"/>
        <v>0</v>
      </c>
      <c r="O244" s="560">
        <f t="shared" si="127"/>
        <v>0</v>
      </c>
      <c r="P244" s="560">
        <f t="shared" si="127"/>
        <v>0</v>
      </c>
      <c r="Q244" s="560">
        <f t="shared" si="127"/>
        <v>0</v>
      </c>
      <c r="R244" s="560">
        <f t="shared" si="127"/>
        <v>0</v>
      </c>
      <c r="S244" s="560">
        <f t="shared" si="127"/>
        <v>0</v>
      </c>
      <c r="T244" s="560">
        <f t="shared" si="127"/>
        <v>1.8479999999999999</v>
      </c>
      <c r="U244" s="560">
        <f t="shared" si="127"/>
        <v>0</v>
      </c>
      <c r="V244" s="560">
        <f t="shared" si="127"/>
        <v>0</v>
      </c>
      <c r="W244" s="560">
        <f t="shared" si="127"/>
        <v>0</v>
      </c>
      <c r="X244" s="560">
        <f t="shared" si="127"/>
        <v>0</v>
      </c>
      <c r="Y244" s="432"/>
      <c r="Z244" s="532"/>
      <c r="AA244" s="394"/>
      <c r="AB244" s="208"/>
      <c r="AC244" s="208"/>
    </row>
    <row r="245" spans="3:29" outlineLevel="1">
      <c r="C245" s="200" t="s">
        <v>1022</v>
      </c>
      <c r="D245" s="576" t="str">
        <f t="shared" si="122"/>
        <v>16*8</v>
      </c>
      <c r="E245" s="200" t="s">
        <v>1257</v>
      </c>
      <c r="F245" s="560">
        <f t="shared" ref="F245:X245" si="128">IF(F$6=0,0,IFERROR(((LEFT($D245,FIND("*",$D245)-1)*12*2+RIGHT($D245,LEN($D245)-FIND("*",$D245))*12*2)/144)*(F233*$L$2)/inp_ductbrdsize*(1+inp_dbwaste/100),0))</f>
        <v>0</v>
      </c>
      <c r="G245" s="560">
        <f t="shared" si="128"/>
        <v>0</v>
      </c>
      <c r="H245" s="560">
        <f t="shared" si="128"/>
        <v>0</v>
      </c>
      <c r="I245" s="560">
        <f t="shared" si="128"/>
        <v>0.16799999999999998</v>
      </c>
      <c r="J245" s="560">
        <f t="shared" si="128"/>
        <v>0.36</v>
      </c>
      <c r="K245" s="560">
        <f t="shared" si="128"/>
        <v>0.50880000000000003</v>
      </c>
      <c r="L245" s="560">
        <f t="shared" si="128"/>
        <v>0.52800000000000002</v>
      </c>
      <c r="M245" s="560">
        <f t="shared" si="128"/>
        <v>0.53760000000000008</v>
      </c>
      <c r="N245" s="560">
        <f t="shared" si="128"/>
        <v>0</v>
      </c>
      <c r="O245" s="560">
        <f t="shared" si="128"/>
        <v>0</v>
      </c>
      <c r="P245" s="560">
        <f t="shared" si="128"/>
        <v>0.36</v>
      </c>
      <c r="Q245" s="560">
        <f t="shared" si="128"/>
        <v>0</v>
      </c>
      <c r="R245" s="560">
        <f t="shared" si="128"/>
        <v>0.42239999999999994</v>
      </c>
      <c r="S245" s="560">
        <f t="shared" si="128"/>
        <v>0</v>
      </c>
      <c r="T245" s="560">
        <f t="shared" si="128"/>
        <v>0</v>
      </c>
      <c r="U245" s="560">
        <f t="shared" si="128"/>
        <v>0</v>
      </c>
      <c r="V245" s="560">
        <f t="shared" si="128"/>
        <v>0</v>
      </c>
      <c r="W245" s="560">
        <f t="shared" si="128"/>
        <v>0</v>
      </c>
      <c r="X245" s="560">
        <f t="shared" si="128"/>
        <v>0</v>
      </c>
      <c r="Y245" s="432"/>
      <c r="Z245" s="532"/>
      <c r="AA245" s="394"/>
      <c r="AB245" s="208"/>
      <c r="AC245" s="208"/>
    </row>
    <row r="246" spans="3:29" outlineLevel="1">
      <c r="C246" s="200" t="s">
        <v>1024</v>
      </c>
      <c r="D246" s="576" t="str">
        <f t="shared" si="122"/>
        <v>14*10</v>
      </c>
      <c r="E246" s="200" t="s">
        <v>1257</v>
      </c>
      <c r="F246" s="560">
        <f t="shared" ref="F246:X246" si="129">IF(F$6=0,0,IFERROR(((LEFT($D246,FIND("*",$D246)-1)*12*2+RIGHT($D246,LEN($D246)-FIND("*",$D246))*12*2)/144)*(F234*$L$2)/inp_ductbrdsize*(1+inp_dbwaste/100),0))</f>
        <v>0</v>
      </c>
      <c r="G246" s="560">
        <f t="shared" si="129"/>
        <v>0.72</v>
      </c>
      <c r="H246" s="560">
        <f t="shared" si="129"/>
        <v>0</v>
      </c>
      <c r="I246" s="560">
        <f t="shared" si="129"/>
        <v>0</v>
      </c>
      <c r="J246" s="560">
        <f t="shared" si="129"/>
        <v>0</v>
      </c>
      <c r="K246" s="560">
        <f t="shared" si="129"/>
        <v>0</v>
      </c>
      <c r="L246" s="560">
        <f t="shared" si="129"/>
        <v>0</v>
      </c>
      <c r="M246" s="560">
        <f t="shared" si="129"/>
        <v>0</v>
      </c>
      <c r="N246" s="560">
        <f t="shared" si="129"/>
        <v>0</v>
      </c>
      <c r="O246" s="560">
        <f t="shared" si="129"/>
        <v>0</v>
      </c>
      <c r="P246" s="560">
        <f t="shared" si="129"/>
        <v>0</v>
      </c>
      <c r="Q246" s="560">
        <f t="shared" si="129"/>
        <v>0</v>
      </c>
      <c r="R246" s="560">
        <f t="shared" si="129"/>
        <v>0.81599999999999995</v>
      </c>
      <c r="S246" s="560">
        <f t="shared" si="129"/>
        <v>0</v>
      </c>
      <c r="T246" s="560">
        <f t="shared" si="129"/>
        <v>0</v>
      </c>
      <c r="U246" s="560">
        <f t="shared" si="129"/>
        <v>0</v>
      </c>
      <c r="V246" s="560">
        <f t="shared" si="129"/>
        <v>0</v>
      </c>
      <c r="W246" s="560">
        <f t="shared" si="129"/>
        <v>0</v>
      </c>
      <c r="X246" s="560">
        <f t="shared" si="129"/>
        <v>0</v>
      </c>
      <c r="Y246" s="432"/>
      <c r="Z246" s="532"/>
      <c r="AA246" s="394"/>
      <c r="AB246" s="208"/>
      <c r="AC246" s="208"/>
    </row>
    <row r="247" spans="3:29" outlineLevel="1">
      <c r="C247" s="200" t="s">
        <v>1025</v>
      </c>
      <c r="D247" s="576" t="str">
        <f t="shared" si="122"/>
        <v>16*10</v>
      </c>
      <c r="E247" s="200" t="s">
        <v>1257</v>
      </c>
      <c r="F247" s="560">
        <f t="shared" ref="F247:X247" si="130">IF(F$6=0,0,IFERROR(((LEFT($D247,FIND("*",$D247)-1)*12*2+RIGHT($D247,LEN($D247)-FIND("*",$D247))*12*2)/144)*(F235*$L$2)/inp_ductbrdsize*(1+inp_dbwaste/100),0))</f>
        <v>0</v>
      </c>
      <c r="G247" s="560">
        <f t="shared" si="130"/>
        <v>0</v>
      </c>
      <c r="H247" s="560">
        <f t="shared" si="130"/>
        <v>0</v>
      </c>
      <c r="I247" s="560">
        <f t="shared" si="130"/>
        <v>0</v>
      </c>
      <c r="J247" s="560">
        <f t="shared" si="130"/>
        <v>0</v>
      </c>
      <c r="K247" s="560">
        <f t="shared" si="130"/>
        <v>0</v>
      </c>
      <c r="L247" s="560">
        <f t="shared" si="130"/>
        <v>0</v>
      </c>
      <c r="M247" s="560">
        <f t="shared" si="130"/>
        <v>0</v>
      </c>
      <c r="N247" s="560">
        <f t="shared" si="130"/>
        <v>1.43</v>
      </c>
      <c r="O247" s="560">
        <f t="shared" si="130"/>
        <v>0.57199999999999995</v>
      </c>
      <c r="P247" s="560">
        <f t="shared" si="130"/>
        <v>0</v>
      </c>
      <c r="Q247" s="560">
        <f t="shared" si="130"/>
        <v>0</v>
      </c>
      <c r="R247" s="560">
        <f t="shared" si="130"/>
        <v>0</v>
      </c>
      <c r="S247" s="560">
        <f t="shared" si="130"/>
        <v>0</v>
      </c>
      <c r="T247" s="560">
        <f t="shared" si="130"/>
        <v>0</v>
      </c>
      <c r="U247" s="560">
        <f t="shared" si="130"/>
        <v>0</v>
      </c>
      <c r="V247" s="560">
        <f t="shared" si="130"/>
        <v>0</v>
      </c>
      <c r="W247" s="560">
        <f t="shared" si="130"/>
        <v>0</v>
      </c>
      <c r="X247" s="560">
        <f t="shared" si="130"/>
        <v>0</v>
      </c>
      <c r="Y247" s="432"/>
      <c r="Z247" s="532"/>
      <c r="AA247" s="394"/>
      <c r="AB247" s="208"/>
      <c r="AC247" s="208"/>
    </row>
    <row r="248" spans="3:29" outlineLevel="1">
      <c r="C248" s="200" t="s">
        <v>1026</v>
      </c>
      <c r="D248" s="576" t="str">
        <f t="shared" si="122"/>
        <v>10*8</v>
      </c>
      <c r="E248" s="200" t="s">
        <v>1257</v>
      </c>
      <c r="F248" s="560">
        <f t="shared" ref="F248:X248" si="131">IF(F$6=0,0,IFERROR(((LEFT($D248,FIND("*",$D248)-1)*12*2+RIGHT($D248,LEN($D248)-FIND("*",$D248))*12*2)/144)*(F236*$L$2)/inp_ductbrdsize*(1+inp_dbwaste/100),0))</f>
        <v>0</v>
      </c>
      <c r="G248" s="560">
        <f t="shared" si="131"/>
        <v>0</v>
      </c>
      <c r="H248" s="560">
        <f t="shared" si="131"/>
        <v>0</v>
      </c>
      <c r="I248" s="560">
        <f t="shared" si="131"/>
        <v>0</v>
      </c>
      <c r="J248" s="560">
        <f t="shared" si="131"/>
        <v>0</v>
      </c>
      <c r="K248" s="560">
        <f t="shared" si="131"/>
        <v>0</v>
      </c>
      <c r="L248" s="560">
        <f t="shared" si="131"/>
        <v>0</v>
      </c>
      <c r="M248" s="560">
        <f t="shared" si="131"/>
        <v>0</v>
      </c>
      <c r="N248" s="560">
        <f t="shared" si="131"/>
        <v>0</v>
      </c>
      <c r="O248" s="560">
        <f t="shared" si="131"/>
        <v>0</v>
      </c>
      <c r="P248" s="560">
        <f t="shared" si="131"/>
        <v>0</v>
      </c>
      <c r="Q248" s="560">
        <f t="shared" si="131"/>
        <v>0</v>
      </c>
      <c r="R248" s="560">
        <f t="shared" si="131"/>
        <v>0</v>
      </c>
      <c r="S248" s="560">
        <f t="shared" si="131"/>
        <v>0.30599999999999999</v>
      </c>
      <c r="T248" s="560">
        <f t="shared" si="131"/>
        <v>0</v>
      </c>
      <c r="U248" s="560">
        <f t="shared" si="131"/>
        <v>0.30599999999999999</v>
      </c>
      <c r="V248" s="560">
        <f t="shared" si="131"/>
        <v>0</v>
      </c>
      <c r="W248" s="560">
        <f t="shared" si="131"/>
        <v>0</v>
      </c>
      <c r="X248" s="560">
        <f t="shared" si="131"/>
        <v>0</v>
      </c>
      <c r="Y248" s="432"/>
      <c r="Z248" s="532"/>
      <c r="AA248" s="394"/>
      <c r="AB248" s="208"/>
      <c r="AC248" s="208"/>
    </row>
    <row r="249" spans="3:29" outlineLevel="1">
      <c r="C249" s="200" t="s">
        <v>1027</v>
      </c>
      <c r="D249" s="576">
        <f t="shared" si="122"/>
        <v>0</v>
      </c>
      <c r="E249" s="200" t="s">
        <v>1257</v>
      </c>
      <c r="F249" s="560">
        <f>IF(F$6=0,0,IFERROR(((LEFT($D249,FIND("*",$D249)-1)*12*2+RIGHT($D249,LEN($D249)-FIND("*",$D249))*12*2)/144)*(F237*$L$2)/inp_ductbrdsize*(1+inp_dbwaste/100),0))</f>
        <v>0</v>
      </c>
      <c r="G249" s="560">
        <f t="shared" ref="G249:X249" si="132">IF(G$6=0,0,IFERROR(((LEFT($D249,FIND("*",$D249)-1)*12*2+RIGHT($D249,LEN($D249)-FIND("*",$D249))*12*2)/144)*(G238*$L$2)/inp_ductbrdsize*(1+inp_dbwaste/100),0))</f>
        <v>0</v>
      </c>
      <c r="H249" s="560">
        <f t="shared" si="132"/>
        <v>0</v>
      </c>
      <c r="I249" s="560">
        <f t="shared" si="132"/>
        <v>0</v>
      </c>
      <c r="J249" s="560">
        <f t="shared" si="132"/>
        <v>0</v>
      </c>
      <c r="K249" s="560">
        <f t="shared" si="132"/>
        <v>0</v>
      </c>
      <c r="L249" s="560">
        <f t="shared" si="132"/>
        <v>0</v>
      </c>
      <c r="M249" s="560">
        <f t="shared" si="132"/>
        <v>0</v>
      </c>
      <c r="N249" s="560">
        <f t="shared" si="132"/>
        <v>0</v>
      </c>
      <c r="O249" s="560">
        <f t="shared" si="132"/>
        <v>0</v>
      </c>
      <c r="P249" s="560">
        <f t="shared" si="132"/>
        <v>0</v>
      </c>
      <c r="Q249" s="560">
        <f t="shared" si="132"/>
        <v>0</v>
      </c>
      <c r="R249" s="560">
        <f t="shared" si="132"/>
        <v>0</v>
      </c>
      <c r="S249" s="560">
        <f t="shared" si="132"/>
        <v>0</v>
      </c>
      <c r="T249" s="560">
        <f t="shared" si="132"/>
        <v>0</v>
      </c>
      <c r="U249" s="560">
        <f t="shared" si="132"/>
        <v>0</v>
      </c>
      <c r="V249" s="560">
        <f t="shared" si="132"/>
        <v>0</v>
      </c>
      <c r="W249" s="560">
        <f t="shared" si="132"/>
        <v>0</v>
      </c>
      <c r="X249" s="560">
        <f t="shared" si="132"/>
        <v>0</v>
      </c>
      <c r="Y249" s="432"/>
      <c r="Z249" s="532"/>
      <c r="AA249" s="394"/>
      <c r="AB249" s="208"/>
      <c r="AC249" s="208"/>
    </row>
    <row r="250" spans="3:29" outlineLevel="1">
      <c r="C250" s="200" t="s">
        <v>1253</v>
      </c>
      <c r="D250" s="576" t="str">
        <f t="shared" si="122"/>
        <v>20*20</v>
      </c>
      <c r="E250" s="200" t="s">
        <v>1257</v>
      </c>
      <c r="F250" s="560">
        <f t="shared" ref="F250:S250" si="133">IF(F$6=0,0,IFERROR(((LEFT($D250,FIND("*",$D250)-1)*12*2+RIGHT($D250,LEN($D250)-FIND("*",$D250))*12*2)/144)*(F238)/inp_ductbrdsize*(1+inp_dbwaste/100),0))</f>
        <v>0.8</v>
      </c>
      <c r="G250" s="560">
        <f t="shared" si="133"/>
        <v>0.8</v>
      </c>
      <c r="H250" s="560">
        <f t="shared" si="133"/>
        <v>0.8</v>
      </c>
      <c r="I250" s="560">
        <f t="shared" si="133"/>
        <v>0.8</v>
      </c>
      <c r="J250" s="560">
        <f t="shared" si="133"/>
        <v>0.8</v>
      </c>
      <c r="K250" s="560">
        <f t="shared" si="133"/>
        <v>0.8</v>
      </c>
      <c r="L250" s="560">
        <f t="shared" si="133"/>
        <v>0.8</v>
      </c>
      <c r="M250" s="560">
        <f t="shared" si="133"/>
        <v>0.8</v>
      </c>
      <c r="N250" s="560">
        <f t="shared" si="133"/>
        <v>0.8</v>
      </c>
      <c r="O250" s="560">
        <f t="shared" si="133"/>
        <v>0.8</v>
      </c>
      <c r="P250" s="560">
        <f t="shared" si="133"/>
        <v>0.8</v>
      </c>
      <c r="Q250" s="560">
        <f t="shared" si="133"/>
        <v>0.8</v>
      </c>
      <c r="R250" s="560">
        <f t="shared" si="133"/>
        <v>0.8</v>
      </c>
      <c r="S250" s="560">
        <f t="shared" si="133"/>
        <v>0.8</v>
      </c>
      <c r="T250" s="560">
        <v>1.6</v>
      </c>
      <c r="U250" s="560">
        <v>1.6</v>
      </c>
      <c r="V250" s="560">
        <f>IF(V$6=0,0,IFERROR(((LEFT($D250,FIND("*",$D250)-1)*12*2+RIGHT($D250,LEN($D250)-FIND("*",$D250))*12*2)/144)*(V238)/inp_ductbrdsize*(1+inp_dbwaste/100),0))</f>
        <v>0</v>
      </c>
      <c r="W250" s="560">
        <f>IF(W$6=0,0,IFERROR(((LEFT($D250,FIND("*",$D250)-1)*12*2+RIGHT($D250,LEN($D250)-FIND("*",$D250))*12*2)/144)*(W238)/inp_ductbrdsize*(1+inp_dbwaste/100),0))</f>
        <v>0</v>
      </c>
      <c r="X250" s="560">
        <f>IF(X$6=0,0,IFERROR(((LEFT($D250,FIND("*",$D250)-1)*12*2+RIGHT($D250,LEN($D250)-FIND("*",$D250))*12*2)/144)*(X238)/inp_ductbrdsize*(1+inp_dbwaste/100),0))</f>
        <v>0</v>
      </c>
      <c r="Y250" s="432"/>
      <c r="Z250" s="532"/>
      <c r="AA250" s="394"/>
      <c r="AB250" s="208"/>
      <c r="AC250" s="208"/>
    </row>
    <row r="251" spans="3:29" outlineLevel="1">
      <c r="C251" s="96" t="s">
        <v>1005</v>
      </c>
      <c r="D251" s="940" t="s">
        <v>1258</v>
      </c>
      <c r="E251" s="940"/>
      <c r="F251" s="542"/>
      <c r="G251" s="542"/>
      <c r="H251" s="542"/>
      <c r="I251" s="542"/>
      <c r="J251" s="542"/>
      <c r="K251" s="542"/>
      <c r="L251" s="542"/>
      <c r="M251" s="542"/>
      <c r="N251" s="542"/>
      <c r="O251" s="542"/>
      <c r="P251" s="542"/>
      <c r="Q251" s="542"/>
      <c r="R251" s="542"/>
      <c r="S251" s="542"/>
      <c r="T251" s="542"/>
      <c r="U251" s="542"/>
      <c r="V251" s="542"/>
      <c r="W251" s="542"/>
      <c r="X251" s="542"/>
      <c r="Y251" s="437" t="s">
        <v>948</v>
      </c>
      <c r="Z251" s="92" t="s">
        <v>949</v>
      </c>
      <c r="AA251" s="541" t="s">
        <v>950</v>
      </c>
      <c r="AB251" s="208"/>
      <c r="AC251" s="208"/>
    </row>
    <row r="252" spans="3:29" outlineLevel="1">
      <c r="C252" s="127"/>
      <c r="D252" s="75"/>
      <c r="E252" s="75" t="s">
        <v>1006</v>
      </c>
      <c r="F252" s="575">
        <f t="shared" ref="F252:X252" si="134">SUM(F240:F250)</f>
        <v>0.8</v>
      </c>
      <c r="G252" s="575">
        <f t="shared" si="134"/>
        <v>1.52</v>
      </c>
      <c r="H252" s="575">
        <f t="shared" si="134"/>
        <v>0.8</v>
      </c>
      <c r="I252" s="575">
        <f t="shared" si="134"/>
        <v>0.96799999999999997</v>
      </c>
      <c r="J252" s="575">
        <f t="shared" si="134"/>
        <v>1.1600000000000001</v>
      </c>
      <c r="K252" s="575">
        <f t="shared" si="134"/>
        <v>1.3088000000000002</v>
      </c>
      <c r="L252" s="575">
        <f t="shared" si="134"/>
        <v>1.3280000000000001</v>
      </c>
      <c r="M252" s="575">
        <f t="shared" si="134"/>
        <v>1.3376000000000001</v>
      </c>
      <c r="N252" s="575">
        <f t="shared" si="134"/>
        <v>2.23</v>
      </c>
      <c r="O252" s="575">
        <f t="shared" si="134"/>
        <v>1.3719999999999999</v>
      </c>
      <c r="P252" s="575">
        <f t="shared" si="134"/>
        <v>1.1600000000000001</v>
      </c>
      <c r="Q252" s="575">
        <f t="shared" si="134"/>
        <v>0.8</v>
      </c>
      <c r="R252" s="575">
        <f t="shared" si="134"/>
        <v>2.0384000000000002</v>
      </c>
      <c r="S252" s="575">
        <f t="shared" si="134"/>
        <v>2.0939999999999999</v>
      </c>
      <c r="T252" s="575">
        <f t="shared" si="134"/>
        <v>3.448</v>
      </c>
      <c r="U252" s="575">
        <f t="shared" si="134"/>
        <v>1.9060000000000001</v>
      </c>
      <c r="V252" s="575">
        <f t="shared" si="134"/>
        <v>0</v>
      </c>
      <c r="W252" s="575">
        <f t="shared" si="134"/>
        <v>0</v>
      </c>
      <c r="X252" s="575">
        <f t="shared" si="134"/>
        <v>0</v>
      </c>
      <c r="Y252" s="432">
        <f>SUMPRODUCT($F252:$X252,$F$6:$X$6)</f>
        <v>501.22680000000008</v>
      </c>
      <c r="Z252" s="538"/>
      <c r="AA252" s="537"/>
      <c r="AB252" s="208"/>
      <c r="AC252" s="208"/>
    </row>
    <row r="253" spans="3:29" outlineLevel="1">
      <c r="D253" s="75"/>
      <c r="E253" s="75" t="s">
        <v>1007</v>
      </c>
      <c r="F253" s="575">
        <f t="shared" ref="F253:X253" si="135">F252*(1-1/inp_floors)</f>
        <v>0.60000000000000009</v>
      </c>
      <c r="G253" s="575">
        <f t="shared" si="135"/>
        <v>1.1400000000000001</v>
      </c>
      <c r="H253" s="575">
        <f t="shared" si="135"/>
        <v>0.60000000000000009</v>
      </c>
      <c r="I253" s="575">
        <f t="shared" si="135"/>
        <v>0.72599999999999998</v>
      </c>
      <c r="J253" s="575">
        <f t="shared" si="135"/>
        <v>0.87000000000000011</v>
      </c>
      <c r="K253" s="575">
        <f t="shared" si="135"/>
        <v>0.98160000000000014</v>
      </c>
      <c r="L253" s="575">
        <f t="shared" si="135"/>
        <v>0.996</v>
      </c>
      <c r="M253" s="575">
        <f t="shared" si="135"/>
        <v>1.0032000000000001</v>
      </c>
      <c r="N253" s="575">
        <f t="shared" si="135"/>
        <v>1.6724999999999999</v>
      </c>
      <c r="O253" s="575">
        <f t="shared" si="135"/>
        <v>1.0289999999999999</v>
      </c>
      <c r="P253" s="575">
        <f t="shared" si="135"/>
        <v>0.87000000000000011</v>
      </c>
      <c r="Q253" s="575">
        <f t="shared" si="135"/>
        <v>0.60000000000000009</v>
      </c>
      <c r="R253" s="575">
        <f t="shared" si="135"/>
        <v>1.5288000000000002</v>
      </c>
      <c r="S253" s="575">
        <f t="shared" si="135"/>
        <v>1.5705</v>
      </c>
      <c r="T253" s="575">
        <f t="shared" si="135"/>
        <v>2.5859999999999999</v>
      </c>
      <c r="U253" s="575">
        <f t="shared" si="135"/>
        <v>1.4295</v>
      </c>
      <c r="V253" s="575">
        <f t="shared" si="135"/>
        <v>0</v>
      </c>
      <c r="W253" s="575">
        <f t="shared" si="135"/>
        <v>0</v>
      </c>
      <c r="X253" s="575">
        <f t="shared" si="135"/>
        <v>0</v>
      </c>
      <c r="Y253" s="432">
        <f>SUMPRODUCT($F253:$X253,$F$6:$X$6)</f>
        <v>375.92009999999999</v>
      </c>
      <c r="Z253" s="538">
        <f>'MF Pricing'!F95</f>
        <v>35</v>
      </c>
      <c r="AA253" s="537">
        <f>Y253*Z253</f>
        <v>13157.2035</v>
      </c>
      <c r="AB253" s="208"/>
      <c r="AC253" s="208"/>
    </row>
    <row r="254" spans="3:29" outlineLevel="1">
      <c r="D254" s="75"/>
      <c r="E254" s="446" t="s">
        <v>1008</v>
      </c>
      <c r="F254" s="575">
        <f t="shared" ref="F254:X254" si="136">F252-F253</f>
        <v>0.19999999999999996</v>
      </c>
      <c r="G254" s="575">
        <f t="shared" si="136"/>
        <v>0.37999999999999989</v>
      </c>
      <c r="H254" s="575">
        <f t="shared" si="136"/>
        <v>0.19999999999999996</v>
      </c>
      <c r="I254" s="575">
        <f t="shared" si="136"/>
        <v>0.24199999999999999</v>
      </c>
      <c r="J254" s="575">
        <f t="shared" si="136"/>
        <v>0.29000000000000004</v>
      </c>
      <c r="K254" s="575">
        <f t="shared" si="136"/>
        <v>0.32720000000000005</v>
      </c>
      <c r="L254" s="575">
        <f t="shared" si="136"/>
        <v>0.33200000000000007</v>
      </c>
      <c r="M254" s="575">
        <f t="shared" si="136"/>
        <v>0.33440000000000003</v>
      </c>
      <c r="N254" s="575">
        <f t="shared" si="136"/>
        <v>0.55750000000000011</v>
      </c>
      <c r="O254" s="575">
        <f t="shared" si="136"/>
        <v>0.34299999999999997</v>
      </c>
      <c r="P254" s="575">
        <f t="shared" si="136"/>
        <v>0.29000000000000004</v>
      </c>
      <c r="Q254" s="575">
        <f t="shared" si="136"/>
        <v>0.19999999999999996</v>
      </c>
      <c r="R254" s="575">
        <f t="shared" si="136"/>
        <v>0.50960000000000005</v>
      </c>
      <c r="S254" s="575">
        <f t="shared" si="136"/>
        <v>0.52349999999999985</v>
      </c>
      <c r="T254" s="575">
        <f t="shared" si="136"/>
        <v>0.8620000000000001</v>
      </c>
      <c r="U254" s="575">
        <f t="shared" si="136"/>
        <v>0.47650000000000015</v>
      </c>
      <c r="V254" s="575">
        <f t="shared" si="136"/>
        <v>0</v>
      </c>
      <c r="W254" s="575">
        <f t="shared" si="136"/>
        <v>0</v>
      </c>
      <c r="X254" s="575">
        <f t="shared" si="136"/>
        <v>0</v>
      </c>
      <c r="Y254" s="432">
        <f>SUMPRODUCT($F254:$X254,$F$6:$X$6)</f>
        <v>125.30670000000002</v>
      </c>
      <c r="Z254" s="538">
        <f>'MF Pricing'!F96</f>
        <v>42</v>
      </c>
      <c r="AA254" s="537">
        <f>Y254*Z254</f>
        <v>5262.8814000000011</v>
      </c>
      <c r="AB254" s="208"/>
      <c r="AC254" s="208"/>
    </row>
    <row r="255" spans="3:29" outlineLevel="1">
      <c r="C255" s="423" t="s">
        <v>1184</v>
      </c>
      <c r="D255" s="1"/>
      <c r="E255" s="536" t="s">
        <v>1259</v>
      </c>
      <c r="F255" s="535">
        <f t="shared" ref="F255:X255" si="137">IF(F$6=0,0,F253*$Z253)</f>
        <v>21.000000000000004</v>
      </c>
      <c r="G255" s="534">
        <f t="shared" si="137"/>
        <v>39.900000000000006</v>
      </c>
      <c r="H255" s="534">
        <f t="shared" si="137"/>
        <v>21.000000000000004</v>
      </c>
      <c r="I255" s="534">
        <f t="shared" si="137"/>
        <v>25.41</v>
      </c>
      <c r="J255" s="534">
        <f t="shared" si="137"/>
        <v>30.450000000000003</v>
      </c>
      <c r="K255" s="534">
        <f t="shared" si="137"/>
        <v>34.356000000000002</v>
      </c>
      <c r="L255" s="534">
        <f t="shared" si="137"/>
        <v>34.86</v>
      </c>
      <c r="M255" s="534">
        <f t="shared" si="137"/>
        <v>35.112000000000002</v>
      </c>
      <c r="N255" s="534">
        <f t="shared" si="137"/>
        <v>58.537499999999994</v>
      </c>
      <c r="O255" s="534">
        <f t="shared" si="137"/>
        <v>36.015000000000001</v>
      </c>
      <c r="P255" s="534">
        <f t="shared" si="137"/>
        <v>30.450000000000003</v>
      </c>
      <c r="Q255" s="534">
        <f t="shared" si="137"/>
        <v>21.000000000000004</v>
      </c>
      <c r="R255" s="534">
        <f t="shared" si="137"/>
        <v>53.508000000000003</v>
      </c>
      <c r="S255" s="534">
        <f t="shared" si="137"/>
        <v>54.967500000000001</v>
      </c>
      <c r="T255" s="534">
        <f t="shared" si="137"/>
        <v>90.509999999999991</v>
      </c>
      <c r="U255" s="534">
        <f t="shared" si="137"/>
        <v>50.032499999999999</v>
      </c>
      <c r="V255" s="534">
        <f t="shared" si="137"/>
        <v>0</v>
      </c>
      <c r="W255" s="534">
        <f t="shared" si="137"/>
        <v>0</v>
      </c>
      <c r="X255" s="533">
        <f t="shared" si="137"/>
        <v>0</v>
      </c>
      <c r="Y255" s="432"/>
      <c r="Z255" s="532"/>
      <c r="AA255" s="394"/>
      <c r="AB255" s="208"/>
      <c r="AC255" s="208"/>
    </row>
    <row r="256" spans="3:29" outlineLevel="1">
      <c r="C256" s="423" t="s">
        <v>988</v>
      </c>
      <c r="D256" s="101"/>
      <c r="E256" s="16" t="s">
        <v>1009</v>
      </c>
      <c r="F256" s="530">
        <f t="shared" ref="F256:X256" si="138">F255*F$6</f>
        <v>168.00000000000003</v>
      </c>
      <c r="G256" s="529">
        <f t="shared" si="138"/>
        <v>638.40000000000009</v>
      </c>
      <c r="H256" s="529">
        <f t="shared" si="138"/>
        <v>168.00000000000003</v>
      </c>
      <c r="I256" s="529">
        <f t="shared" si="138"/>
        <v>482.79</v>
      </c>
      <c r="J256" s="529">
        <f t="shared" si="138"/>
        <v>1461.6000000000001</v>
      </c>
      <c r="K256" s="529">
        <f t="shared" si="138"/>
        <v>137.42400000000001</v>
      </c>
      <c r="L256" s="529">
        <f t="shared" si="138"/>
        <v>836.64</v>
      </c>
      <c r="M256" s="529">
        <f t="shared" si="138"/>
        <v>351.12</v>
      </c>
      <c r="N256" s="529">
        <f t="shared" si="138"/>
        <v>1873.1999999999998</v>
      </c>
      <c r="O256" s="529">
        <f t="shared" si="138"/>
        <v>2304.96</v>
      </c>
      <c r="P256" s="529">
        <f t="shared" si="138"/>
        <v>1400.7</v>
      </c>
      <c r="Q256" s="529">
        <f t="shared" si="138"/>
        <v>336.00000000000006</v>
      </c>
      <c r="R256" s="529">
        <f t="shared" si="138"/>
        <v>1284.192</v>
      </c>
      <c r="S256" s="529">
        <f t="shared" si="138"/>
        <v>439.74</v>
      </c>
      <c r="T256" s="529">
        <f t="shared" si="138"/>
        <v>724.07999999999993</v>
      </c>
      <c r="U256" s="529">
        <f t="shared" si="138"/>
        <v>550.35749999999996</v>
      </c>
      <c r="V256" s="529">
        <f t="shared" si="138"/>
        <v>0</v>
      </c>
      <c r="W256" s="529">
        <f t="shared" si="138"/>
        <v>0</v>
      </c>
      <c r="X256" s="528">
        <f t="shared" si="138"/>
        <v>0</v>
      </c>
      <c r="Y256" s="422">
        <f>Y253</f>
        <v>375.92009999999999</v>
      </c>
      <c r="Z256" s="255"/>
      <c r="AA256" s="527">
        <f>SUM(F256:X256)</f>
        <v>13157.203500000001</v>
      </c>
      <c r="AB256" s="208"/>
      <c r="AC256" s="208"/>
    </row>
    <row r="257" spans="3:29" outlineLevel="1">
      <c r="C257" s="423" t="s">
        <v>1184</v>
      </c>
      <c r="D257" s="1"/>
      <c r="E257" s="536" t="s">
        <v>1260</v>
      </c>
      <c r="F257" s="535">
        <f t="shared" ref="F257:X257" si="139">IF(F$6=0,0,F254*$Z254)</f>
        <v>8.3999999999999986</v>
      </c>
      <c r="G257" s="534">
        <f t="shared" si="139"/>
        <v>15.959999999999996</v>
      </c>
      <c r="H257" s="534">
        <f t="shared" si="139"/>
        <v>8.3999999999999986</v>
      </c>
      <c r="I257" s="534">
        <f t="shared" si="139"/>
        <v>10.164</v>
      </c>
      <c r="J257" s="534">
        <f t="shared" si="139"/>
        <v>12.180000000000001</v>
      </c>
      <c r="K257" s="534">
        <f t="shared" si="139"/>
        <v>13.742400000000002</v>
      </c>
      <c r="L257" s="534">
        <f t="shared" si="139"/>
        <v>13.944000000000003</v>
      </c>
      <c r="M257" s="534">
        <f t="shared" si="139"/>
        <v>14.044800000000002</v>
      </c>
      <c r="N257" s="534">
        <f t="shared" si="139"/>
        <v>23.415000000000006</v>
      </c>
      <c r="O257" s="534">
        <f t="shared" si="139"/>
        <v>14.405999999999999</v>
      </c>
      <c r="P257" s="534">
        <f t="shared" si="139"/>
        <v>12.180000000000001</v>
      </c>
      <c r="Q257" s="534">
        <f t="shared" si="139"/>
        <v>8.3999999999999986</v>
      </c>
      <c r="R257" s="534">
        <f t="shared" si="139"/>
        <v>21.403200000000002</v>
      </c>
      <c r="S257" s="534">
        <f t="shared" si="139"/>
        <v>21.986999999999995</v>
      </c>
      <c r="T257" s="534">
        <f t="shared" si="139"/>
        <v>36.204000000000008</v>
      </c>
      <c r="U257" s="534">
        <f t="shared" si="139"/>
        <v>20.013000000000005</v>
      </c>
      <c r="V257" s="534">
        <f t="shared" si="139"/>
        <v>0</v>
      </c>
      <c r="W257" s="534">
        <f t="shared" si="139"/>
        <v>0</v>
      </c>
      <c r="X257" s="533">
        <f t="shared" si="139"/>
        <v>0</v>
      </c>
      <c r="Y257" s="432"/>
      <c r="Z257" s="532"/>
      <c r="AA257" s="394"/>
      <c r="AB257" s="208"/>
      <c r="AC257" s="208"/>
    </row>
    <row r="258" spans="3:29" outlineLevel="1">
      <c r="C258" s="423" t="s">
        <v>988</v>
      </c>
      <c r="D258" s="1"/>
      <c r="E258" s="16" t="s">
        <v>1010</v>
      </c>
      <c r="F258" s="530">
        <f t="shared" ref="F258:X258" si="140">F257*F$6</f>
        <v>67.199999999999989</v>
      </c>
      <c r="G258" s="529">
        <f t="shared" si="140"/>
        <v>255.35999999999993</v>
      </c>
      <c r="H258" s="529">
        <f t="shared" si="140"/>
        <v>67.199999999999989</v>
      </c>
      <c r="I258" s="529">
        <f t="shared" si="140"/>
        <v>193.11599999999999</v>
      </c>
      <c r="J258" s="529">
        <f t="shared" si="140"/>
        <v>584.6400000000001</v>
      </c>
      <c r="K258" s="529">
        <f t="shared" si="140"/>
        <v>54.969600000000007</v>
      </c>
      <c r="L258" s="529">
        <f t="shared" si="140"/>
        <v>334.65600000000006</v>
      </c>
      <c r="M258" s="529">
        <f t="shared" si="140"/>
        <v>140.44800000000004</v>
      </c>
      <c r="N258" s="529">
        <f t="shared" si="140"/>
        <v>749.2800000000002</v>
      </c>
      <c r="O258" s="529">
        <f t="shared" si="140"/>
        <v>921.98399999999992</v>
      </c>
      <c r="P258" s="529">
        <f t="shared" si="140"/>
        <v>560.28000000000009</v>
      </c>
      <c r="Q258" s="529">
        <f t="shared" si="140"/>
        <v>134.39999999999998</v>
      </c>
      <c r="R258" s="529">
        <f t="shared" si="140"/>
        <v>513.67680000000007</v>
      </c>
      <c r="S258" s="529">
        <f t="shared" si="140"/>
        <v>175.89599999999996</v>
      </c>
      <c r="T258" s="529">
        <f t="shared" si="140"/>
        <v>289.63200000000006</v>
      </c>
      <c r="U258" s="529">
        <f t="shared" si="140"/>
        <v>220.14300000000006</v>
      </c>
      <c r="V258" s="529">
        <f t="shared" si="140"/>
        <v>0</v>
      </c>
      <c r="W258" s="529">
        <f t="shared" si="140"/>
        <v>0</v>
      </c>
      <c r="X258" s="528">
        <f t="shared" si="140"/>
        <v>0</v>
      </c>
      <c r="Y258" s="422">
        <f>Y254</f>
        <v>125.30670000000002</v>
      </c>
      <c r="Z258" s="255"/>
      <c r="AA258" s="527">
        <f>SUM(F258:X258)</f>
        <v>5262.8814000000002</v>
      </c>
      <c r="AB258" s="208"/>
      <c r="AC258" s="208"/>
    </row>
    <row r="259" spans="3:29">
      <c r="C259" s="96" t="s">
        <v>1011</v>
      </c>
      <c r="D259" s="940" t="s">
        <v>1261</v>
      </c>
      <c r="E259" s="940"/>
      <c r="F259" s="552" t="s">
        <v>1262</v>
      </c>
      <c r="G259" s="542"/>
      <c r="H259" s="542"/>
      <c r="I259" s="542"/>
      <c r="J259" s="542"/>
      <c r="K259" s="542"/>
      <c r="L259" s="542"/>
      <c r="M259" s="542"/>
      <c r="N259" s="542"/>
      <c r="O259" s="542"/>
      <c r="P259" s="542"/>
      <c r="Q259" s="542"/>
      <c r="R259" s="542"/>
      <c r="S259" s="542"/>
      <c r="T259" s="542"/>
      <c r="U259" s="542"/>
      <c r="V259" s="542"/>
      <c r="W259" s="542"/>
      <c r="X259" s="542"/>
      <c r="Y259" s="432"/>
      <c r="Z259" s="532"/>
      <c r="AA259" s="394"/>
      <c r="AB259" s="208"/>
      <c r="AC259" s="208"/>
    </row>
    <row r="260" spans="3:29">
      <c r="C260" s="198" t="s">
        <v>1012</v>
      </c>
      <c r="D260" s="456" t="s">
        <v>1013</v>
      </c>
      <c r="E260" s="198" t="s">
        <v>968</v>
      </c>
      <c r="F260" s="547"/>
      <c r="G260" s="546">
        <v>1</v>
      </c>
      <c r="H260" s="546">
        <v>2</v>
      </c>
      <c r="I260" s="546">
        <v>2</v>
      </c>
      <c r="J260" s="546"/>
      <c r="K260" s="546"/>
      <c r="L260" s="546">
        <v>1</v>
      </c>
      <c r="M260" s="546">
        <v>1</v>
      </c>
      <c r="N260" s="546">
        <v>2</v>
      </c>
      <c r="O260" s="546">
        <v>1</v>
      </c>
      <c r="P260" s="546">
        <v>1</v>
      </c>
      <c r="Q260" s="546">
        <v>1</v>
      </c>
      <c r="R260" s="546">
        <v>2</v>
      </c>
      <c r="S260" s="546">
        <v>2</v>
      </c>
      <c r="T260" s="546">
        <v>4</v>
      </c>
      <c r="U260" s="546">
        <v>2</v>
      </c>
      <c r="V260" s="546"/>
      <c r="W260" s="546"/>
      <c r="X260" s="545"/>
      <c r="Y260" s="432">
        <f t="shared" ref="Y260:Y274" si="141">SUMPRODUCT($F260:$X260,$F$6:$X$6)</f>
        <v>412</v>
      </c>
      <c r="Z260" s="538">
        <f>IFERROR(INDEX('MF Pricing'!$F$98:$F$120,MATCH(D260,'MF Pricing'!$D$98:$D$120,0),1),"")</f>
        <v>28.5</v>
      </c>
      <c r="AA260" s="537">
        <f t="shared" ref="AA260:AA274" si="142">IFERROR(Y260*Z260,0)</f>
        <v>11742</v>
      </c>
      <c r="AB260" s="208"/>
      <c r="AC260" s="208"/>
    </row>
    <row r="261" spans="3:29">
      <c r="C261" s="200" t="s">
        <v>1014</v>
      </c>
      <c r="D261" s="455" t="s">
        <v>1015</v>
      </c>
      <c r="E261" s="200" t="s">
        <v>968</v>
      </c>
      <c r="F261" s="547"/>
      <c r="G261" s="546"/>
      <c r="H261" s="546"/>
      <c r="I261" s="546"/>
      <c r="J261" s="546"/>
      <c r="K261" s="546"/>
      <c r="L261" s="546"/>
      <c r="M261" s="546"/>
      <c r="N261" s="546">
        <v>2</v>
      </c>
      <c r="O261" s="546">
        <v>2</v>
      </c>
      <c r="P261" s="546">
        <v>1</v>
      </c>
      <c r="Q261" s="546">
        <v>1</v>
      </c>
      <c r="R261" s="546">
        <v>2</v>
      </c>
      <c r="S261" s="546">
        <v>1</v>
      </c>
      <c r="T261" s="546">
        <v>2</v>
      </c>
      <c r="U261" s="546">
        <v>2</v>
      </c>
      <c r="V261" s="546"/>
      <c r="W261" s="546"/>
      <c r="X261" s="545"/>
      <c r="Y261" s="432">
        <f t="shared" si="141"/>
        <v>348</v>
      </c>
      <c r="Z261" s="538">
        <f>IFERROR(INDEX('MF Pricing'!$F$98:$F$120,MATCH(D261,'MF Pricing'!$D$98:$D$120,0),1),"")</f>
        <v>24.5</v>
      </c>
      <c r="AA261" s="537">
        <f t="shared" si="142"/>
        <v>8526</v>
      </c>
      <c r="AB261" s="208"/>
      <c r="AC261" s="208"/>
    </row>
    <row r="262" spans="3:29">
      <c r="C262" s="200" t="s">
        <v>1016</v>
      </c>
      <c r="D262" s="455" t="s">
        <v>1017</v>
      </c>
      <c r="E262" s="200" t="s">
        <v>968</v>
      </c>
      <c r="F262" s="547"/>
      <c r="G262" s="546">
        <v>3</v>
      </c>
      <c r="H262" s="546"/>
      <c r="I262" s="546"/>
      <c r="J262" s="546"/>
      <c r="K262" s="546"/>
      <c r="L262" s="546"/>
      <c r="M262" s="546"/>
      <c r="N262" s="546"/>
      <c r="O262" s="546"/>
      <c r="P262" s="546"/>
      <c r="Q262" s="546"/>
      <c r="R262" s="546"/>
      <c r="S262" s="546">
        <v>1</v>
      </c>
      <c r="T262" s="546"/>
      <c r="U262" s="546">
        <v>1</v>
      </c>
      <c r="V262" s="546"/>
      <c r="W262" s="546"/>
      <c r="X262" s="545"/>
      <c r="Y262" s="432">
        <f t="shared" si="141"/>
        <v>67</v>
      </c>
      <c r="Z262" s="538">
        <f>IFERROR(INDEX('MF Pricing'!$F$98:$F$120,MATCH(D262,'MF Pricing'!$D$98:$D$120,0),1),"")</f>
        <v>23</v>
      </c>
      <c r="AA262" s="537">
        <f t="shared" si="142"/>
        <v>1541</v>
      </c>
      <c r="AB262" s="208"/>
      <c r="AC262" s="208"/>
    </row>
    <row r="263" spans="3:29">
      <c r="C263" s="200" t="s">
        <v>1018</v>
      </c>
      <c r="D263" s="455" t="s">
        <v>1019</v>
      </c>
      <c r="E263" s="200" t="s">
        <v>968</v>
      </c>
      <c r="F263" s="547"/>
      <c r="G263" s="546"/>
      <c r="H263" s="546"/>
      <c r="I263" s="546"/>
      <c r="J263" s="546"/>
      <c r="K263" s="546"/>
      <c r="L263" s="546"/>
      <c r="M263" s="546"/>
      <c r="N263" s="546"/>
      <c r="O263" s="546"/>
      <c r="P263" s="546"/>
      <c r="Q263" s="546"/>
      <c r="R263" s="546"/>
      <c r="S263" s="546"/>
      <c r="T263" s="546"/>
      <c r="U263" s="546"/>
      <c r="V263" s="546"/>
      <c r="W263" s="546"/>
      <c r="X263" s="545"/>
      <c r="Y263" s="432">
        <f t="shared" si="141"/>
        <v>0</v>
      </c>
      <c r="Z263" s="538" t="str">
        <f>IFERROR(INDEX('MF Pricing'!$F$98:$F$120,MATCH(D263,'MF Pricing'!$D$98:$D$120,0),1),"")</f>
        <v/>
      </c>
      <c r="AA263" s="537">
        <f t="shared" si="142"/>
        <v>0</v>
      </c>
      <c r="AB263" s="208"/>
      <c r="AC263" s="208"/>
    </row>
    <row r="264" spans="3:29">
      <c r="C264" s="200" t="s">
        <v>1020</v>
      </c>
      <c r="D264" s="455" t="s">
        <v>1021</v>
      </c>
      <c r="E264" s="200" t="s">
        <v>968</v>
      </c>
      <c r="F264" s="547">
        <v>1</v>
      </c>
      <c r="G264" s="546">
        <v>1</v>
      </c>
      <c r="H264" s="546"/>
      <c r="I264" s="546"/>
      <c r="J264" s="546"/>
      <c r="K264" s="546"/>
      <c r="L264" s="546"/>
      <c r="M264" s="546"/>
      <c r="N264" s="546">
        <v>1</v>
      </c>
      <c r="O264" s="546">
        <v>3</v>
      </c>
      <c r="P264" s="546">
        <v>1</v>
      </c>
      <c r="Q264" s="546"/>
      <c r="R264" s="546">
        <v>1</v>
      </c>
      <c r="S264" s="546">
        <v>3</v>
      </c>
      <c r="T264" s="546">
        <v>5</v>
      </c>
      <c r="U264" s="546">
        <v>1</v>
      </c>
      <c r="V264" s="546"/>
      <c r="W264" s="546"/>
      <c r="X264" s="545"/>
      <c r="Y264" s="432">
        <f t="shared" si="141"/>
        <v>393</v>
      </c>
      <c r="Z264" s="538">
        <f>IFERROR(INDEX('MF Pricing'!$F$98:$F$120,MATCH(D264,'MF Pricing'!$D$98:$D$120,0),1),"")</f>
        <v>21.5</v>
      </c>
      <c r="AA264" s="537">
        <f t="shared" si="142"/>
        <v>8449.5</v>
      </c>
      <c r="AB264" s="208"/>
      <c r="AC264" s="208"/>
    </row>
    <row r="265" spans="3:29">
      <c r="C265" s="200" t="s">
        <v>1022</v>
      </c>
      <c r="D265" s="455" t="s">
        <v>1023</v>
      </c>
      <c r="E265" s="200" t="s">
        <v>968</v>
      </c>
      <c r="F265" s="547">
        <v>1</v>
      </c>
      <c r="G265" s="546">
        <v>1</v>
      </c>
      <c r="H265" s="546">
        <v>1</v>
      </c>
      <c r="I265" s="546">
        <v>1</v>
      </c>
      <c r="J265" s="546">
        <v>1</v>
      </c>
      <c r="K265" s="546">
        <v>1</v>
      </c>
      <c r="L265" s="546">
        <v>1</v>
      </c>
      <c r="M265" s="546">
        <v>1</v>
      </c>
      <c r="N265" s="546">
        <v>1</v>
      </c>
      <c r="O265" s="546">
        <v>1</v>
      </c>
      <c r="P265" s="546">
        <v>1</v>
      </c>
      <c r="Q265" s="546">
        <v>1</v>
      </c>
      <c r="R265" s="546">
        <v>1</v>
      </c>
      <c r="S265" s="546">
        <v>1</v>
      </c>
      <c r="T265" s="546">
        <v>2</v>
      </c>
      <c r="U265" s="546">
        <v>2</v>
      </c>
      <c r="V265" s="546"/>
      <c r="W265" s="546"/>
      <c r="X265" s="545"/>
      <c r="Y265" s="432">
        <f t="shared" si="141"/>
        <v>365</v>
      </c>
      <c r="Z265" s="538">
        <f>IFERROR(INDEX('MF Pricing'!$F$98:$F$120,MATCH(D265,'MF Pricing'!$D$98:$D$120,0),1),"")</f>
        <v>33</v>
      </c>
      <c r="AA265" s="537">
        <f t="shared" si="142"/>
        <v>12045</v>
      </c>
      <c r="AB265" s="208"/>
      <c r="AC265" s="208"/>
    </row>
    <row r="266" spans="3:29">
      <c r="C266" s="200" t="s">
        <v>1024</v>
      </c>
      <c r="D266" s="455">
        <v>5</v>
      </c>
      <c r="E266" s="200" t="s">
        <v>968</v>
      </c>
      <c r="F266" s="547">
        <v>1</v>
      </c>
      <c r="G266" s="546">
        <v>1</v>
      </c>
      <c r="H266" s="546">
        <v>1</v>
      </c>
      <c r="I266" s="546">
        <v>1</v>
      </c>
      <c r="J266" s="546">
        <v>1</v>
      </c>
      <c r="K266" s="546">
        <v>1</v>
      </c>
      <c r="L266" s="546">
        <v>1</v>
      </c>
      <c r="M266" s="546">
        <v>1</v>
      </c>
      <c r="N266" s="546">
        <v>1</v>
      </c>
      <c r="O266" s="546">
        <v>1</v>
      </c>
      <c r="P266" s="546">
        <v>1</v>
      </c>
      <c r="Q266" s="546">
        <v>1</v>
      </c>
      <c r="R266" s="546">
        <v>1</v>
      </c>
      <c r="S266" s="546">
        <v>1</v>
      </c>
      <c r="T266" s="546">
        <v>2</v>
      </c>
      <c r="U266" s="546">
        <v>2</v>
      </c>
      <c r="V266" s="546"/>
      <c r="W266" s="546"/>
      <c r="X266" s="545"/>
      <c r="Y266" s="432">
        <f t="shared" si="141"/>
        <v>365</v>
      </c>
      <c r="Z266" s="538">
        <f>IFERROR(INDEX('MF Pricing'!$F$98:$F$120,MATCH(D266,'MF Pricing'!$D$98:$D$120,0),1),"")</f>
        <v>20</v>
      </c>
      <c r="AA266" s="537">
        <f t="shared" si="142"/>
        <v>7300</v>
      </c>
      <c r="AB266" s="208"/>
      <c r="AC266" s="208"/>
    </row>
    <row r="267" spans="3:29">
      <c r="C267" s="200" t="s">
        <v>1025</v>
      </c>
      <c r="D267" s="455"/>
      <c r="E267" s="200" t="s">
        <v>968</v>
      </c>
      <c r="F267" s="547"/>
      <c r="G267" s="546"/>
      <c r="H267" s="546"/>
      <c r="I267" s="546"/>
      <c r="J267" s="546"/>
      <c r="K267" s="546"/>
      <c r="L267" s="546"/>
      <c r="M267" s="546"/>
      <c r="N267" s="546"/>
      <c r="O267" s="546"/>
      <c r="P267" s="546"/>
      <c r="Q267" s="546"/>
      <c r="R267" s="546"/>
      <c r="S267" s="546"/>
      <c r="T267" s="546"/>
      <c r="U267" s="546"/>
      <c r="V267" s="546"/>
      <c r="W267" s="546"/>
      <c r="X267" s="545"/>
      <c r="Y267" s="432">
        <f t="shared" si="141"/>
        <v>0</v>
      </c>
      <c r="Z267" s="538" t="str">
        <f>IFERROR(INDEX('MF Pricing'!$F$98:$F$120,MATCH(D267,'MF Pricing'!$D$98:$D$120,0),1),"")</f>
        <v/>
      </c>
      <c r="AA267" s="537">
        <f t="shared" si="142"/>
        <v>0</v>
      </c>
      <c r="AB267" s="208"/>
      <c r="AC267" s="208"/>
    </row>
    <row r="268" spans="3:29">
      <c r="C268" s="200" t="s">
        <v>1026</v>
      </c>
      <c r="D268" s="455"/>
      <c r="E268" s="200" t="s">
        <v>968</v>
      </c>
      <c r="F268" s="547"/>
      <c r="G268" s="546"/>
      <c r="H268" s="546"/>
      <c r="I268" s="546"/>
      <c r="J268" s="546"/>
      <c r="K268" s="546"/>
      <c r="L268" s="546"/>
      <c r="M268" s="546"/>
      <c r="N268" s="546"/>
      <c r="O268" s="546"/>
      <c r="P268" s="546"/>
      <c r="Q268" s="546"/>
      <c r="R268" s="546"/>
      <c r="S268" s="546"/>
      <c r="T268" s="546"/>
      <c r="U268" s="546"/>
      <c r="V268" s="546"/>
      <c r="W268" s="546"/>
      <c r="X268" s="545"/>
      <c r="Y268" s="432">
        <f t="shared" si="141"/>
        <v>0</v>
      </c>
      <c r="Z268" s="538" t="str">
        <f>IFERROR(INDEX('MF Pricing'!$F$98:$F$120,MATCH(D268,'MF Pricing'!$D$98:$D$120,0),1),"")</f>
        <v/>
      </c>
      <c r="AA268" s="537">
        <f t="shared" si="142"/>
        <v>0</v>
      </c>
      <c r="AB268" s="208"/>
      <c r="AC268" s="208"/>
    </row>
    <row r="269" spans="3:29">
      <c r="C269" s="200" t="s">
        <v>1027</v>
      </c>
      <c r="D269" s="455"/>
      <c r="E269" s="200" t="s">
        <v>968</v>
      </c>
      <c r="F269" s="547"/>
      <c r="G269" s="546"/>
      <c r="H269" s="546"/>
      <c r="I269" s="546"/>
      <c r="J269" s="546"/>
      <c r="K269" s="546"/>
      <c r="L269" s="546"/>
      <c r="M269" s="546"/>
      <c r="N269" s="546"/>
      <c r="O269" s="546"/>
      <c r="P269" s="546"/>
      <c r="Q269" s="546"/>
      <c r="R269" s="546"/>
      <c r="S269" s="546"/>
      <c r="T269" s="546"/>
      <c r="U269" s="546"/>
      <c r="V269" s="546"/>
      <c r="W269" s="546"/>
      <c r="X269" s="545"/>
      <c r="Y269" s="432">
        <f t="shared" si="141"/>
        <v>0</v>
      </c>
      <c r="Z269" s="538" t="str">
        <f>IFERROR(INDEX('MF Pricing'!$F$98:$F$120,MATCH(D269,'MF Pricing'!$D$98:$D$120,0),1),"")</f>
        <v/>
      </c>
      <c r="AA269" s="537">
        <f t="shared" si="142"/>
        <v>0</v>
      </c>
      <c r="AB269" s="208"/>
      <c r="AC269" s="208"/>
    </row>
    <row r="270" spans="3:29">
      <c r="C270" s="200" t="s">
        <v>1028</v>
      </c>
      <c r="D270" s="455"/>
      <c r="E270" s="200" t="s">
        <v>968</v>
      </c>
      <c r="F270" s="547"/>
      <c r="G270" s="546"/>
      <c r="H270" s="546"/>
      <c r="I270" s="546"/>
      <c r="J270" s="546"/>
      <c r="K270" s="546"/>
      <c r="L270" s="546"/>
      <c r="M270" s="546"/>
      <c r="N270" s="546"/>
      <c r="O270" s="546"/>
      <c r="P270" s="546"/>
      <c r="Q270" s="546"/>
      <c r="R270" s="546"/>
      <c r="S270" s="546"/>
      <c r="T270" s="546"/>
      <c r="U270" s="546"/>
      <c r="V270" s="546"/>
      <c r="W270" s="546"/>
      <c r="X270" s="545"/>
      <c r="Y270" s="432">
        <f t="shared" si="141"/>
        <v>0</v>
      </c>
      <c r="Z270" s="538" t="str">
        <f>IFERROR(INDEX('MF Pricing'!$F$98:$F$120,MATCH(D270,'MF Pricing'!$D$98:$D$120,0),1),"")</f>
        <v/>
      </c>
      <c r="AA270" s="537">
        <f t="shared" si="142"/>
        <v>0</v>
      </c>
      <c r="AB270" s="208"/>
      <c r="AC270" s="208"/>
    </row>
    <row r="271" spans="3:29">
      <c r="C271" s="200" t="s">
        <v>1029</v>
      </c>
      <c r="D271" s="455"/>
      <c r="E271" s="200" t="s">
        <v>968</v>
      </c>
      <c r="F271" s="547"/>
      <c r="G271" s="546"/>
      <c r="H271" s="546"/>
      <c r="I271" s="546"/>
      <c r="J271" s="546"/>
      <c r="K271" s="546"/>
      <c r="L271" s="546"/>
      <c r="M271" s="546"/>
      <c r="N271" s="546"/>
      <c r="O271" s="546"/>
      <c r="P271" s="546"/>
      <c r="Q271" s="546"/>
      <c r="R271" s="546"/>
      <c r="S271" s="546"/>
      <c r="T271" s="546"/>
      <c r="U271" s="546"/>
      <c r="V271" s="546"/>
      <c r="W271" s="546"/>
      <c r="X271" s="545"/>
      <c r="Y271" s="432">
        <f t="shared" si="141"/>
        <v>0</v>
      </c>
      <c r="Z271" s="538" t="str">
        <f>IFERROR(INDEX('MF Pricing'!$F$98:$F$120,MATCH(D271,'MF Pricing'!$D$98:$D$120,0),1),"")</f>
        <v/>
      </c>
      <c r="AA271" s="537">
        <f t="shared" si="142"/>
        <v>0</v>
      </c>
      <c r="AB271" s="208"/>
      <c r="AC271" s="208"/>
    </row>
    <row r="272" spans="3:29">
      <c r="C272" s="200" t="s">
        <v>1030</v>
      </c>
      <c r="D272" s="455"/>
      <c r="E272" s="200" t="s">
        <v>968</v>
      </c>
      <c r="F272" s="547"/>
      <c r="G272" s="546"/>
      <c r="H272" s="546"/>
      <c r="I272" s="546"/>
      <c r="J272" s="546"/>
      <c r="K272" s="546"/>
      <c r="L272" s="546"/>
      <c r="M272" s="546"/>
      <c r="N272" s="546"/>
      <c r="O272" s="546"/>
      <c r="P272" s="546"/>
      <c r="Q272" s="546"/>
      <c r="R272" s="546"/>
      <c r="S272" s="546"/>
      <c r="T272" s="546"/>
      <c r="U272" s="546"/>
      <c r="V272" s="546"/>
      <c r="W272" s="546"/>
      <c r="X272" s="545"/>
      <c r="Y272" s="432">
        <f t="shared" si="141"/>
        <v>0</v>
      </c>
      <c r="Z272" s="538" t="str">
        <f>IFERROR(INDEX('MF Pricing'!$F$98:$F$120,MATCH(D272,'MF Pricing'!$D$98:$D$120,0),1),"")</f>
        <v/>
      </c>
      <c r="AA272" s="537">
        <f t="shared" si="142"/>
        <v>0</v>
      </c>
      <c r="AB272" s="208"/>
      <c r="AC272" s="208"/>
    </row>
    <row r="273" spans="3:29">
      <c r="C273" s="200" t="s">
        <v>1031</v>
      </c>
      <c r="D273" s="455"/>
      <c r="E273" s="200" t="s">
        <v>968</v>
      </c>
      <c r="F273" s="547"/>
      <c r="G273" s="546"/>
      <c r="H273" s="546"/>
      <c r="I273" s="546"/>
      <c r="J273" s="546"/>
      <c r="K273" s="546"/>
      <c r="L273" s="546"/>
      <c r="M273" s="546"/>
      <c r="N273" s="546"/>
      <c r="O273" s="546"/>
      <c r="P273" s="546"/>
      <c r="Q273" s="546"/>
      <c r="R273" s="546"/>
      <c r="S273" s="546"/>
      <c r="T273" s="546"/>
      <c r="U273" s="546"/>
      <c r="V273" s="546"/>
      <c r="W273" s="546"/>
      <c r="X273" s="545"/>
      <c r="Y273" s="432">
        <f t="shared" si="141"/>
        <v>0</v>
      </c>
      <c r="Z273" s="538" t="str">
        <f>IFERROR(INDEX('MF Pricing'!$F$98:$F$120,MATCH(D273,'MF Pricing'!$D$98:$D$120,0),1),"")</f>
        <v/>
      </c>
      <c r="AA273" s="537">
        <f t="shared" si="142"/>
        <v>0</v>
      </c>
      <c r="AB273" s="208"/>
      <c r="AC273" s="208"/>
    </row>
    <row r="274" spans="3:29">
      <c r="C274" s="200" t="s">
        <v>1032</v>
      </c>
      <c r="D274" s="454"/>
      <c r="E274" s="200" t="s">
        <v>968</v>
      </c>
      <c r="F274" s="547"/>
      <c r="G274" s="546"/>
      <c r="H274" s="546"/>
      <c r="I274" s="546"/>
      <c r="J274" s="546"/>
      <c r="K274" s="546"/>
      <c r="L274" s="546"/>
      <c r="M274" s="546"/>
      <c r="N274" s="546"/>
      <c r="O274" s="546"/>
      <c r="P274" s="546"/>
      <c r="Q274" s="546"/>
      <c r="R274" s="546"/>
      <c r="S274" s="546"/>
      <c r="T274" s="546"/>
      <c r="U274" s="546"/>
      <c r="V274" s="546"/>
      <c r="W274" s="546"/>
      <c r="X274" s="545"/>
      <c r="Y274" s="451">
        <f t="shared" si="141"/>
        <v>0</v>
      </c>
      <c r="Z274" s="570" t="str">
        <f>IFERROR(INDEX('MF Pricing'!$F$98:$F$120,MATCH(D274,'MF Pricing'!$D$98:$D$120,0),1),"")</f>
        <v/>
      </c>
      <c r="AA274" s="574">
        <f t="shared" si="142"/>
        <v>0</v>
      </c>
      <c r="AB274" s="208"/>
      <c r="AC274" s="208"/>
    </row>
    <row r="275" spans="3:29" outlineLevel="1">
      <c r="C275" s="423" t="s">
        <v>1184</v>
      </c>
      <c r="D275" s="1"/>
      <c r="E275" s="536" t="s">
        <v>1185</v>
      </c>
      <c r="F275" s="535">
        <f t="shared" ref="F275:X275" si="143">IF(F$6=0,0,SUMPRODUCT(F$260:F$274,$Z$260:$Z$274))</f>
        <v>74.5</v>
      </c>
      <c r="G275" s="534">
        <f t="shared" si="143"/>
        <v>172</v>
      </c>
      <c r="H275" s="534">
        <f t="shared" si="143"/>
        <v>110</v>
      </c>
      <c r="I275" s="534">
        <f t="shared" si="143"/>
        <v>110</v>
      </c>
      <c r="J275" s="534">
        <f t="shared" si="143"/>
        <v>53</v>
      </c>
      <c r="K275" s="534">
        <f t="shared" si="143"/>
        <v>53</v>
      </c>
      <c r="L275" s="534">
        <f t="shared" si="143"/>
        <v>81.5</v>
      </c>
      <c r="M275" s="534">
        <f t="shared" si="143"/>
        <v>81.5</v>
      </c>
      <c r="N275" s="534">
        <f t="shared" si="143"/>
        <v>180.5</v>
      </c>
      <c r="O275" s="534">
        <f t="shared" si="143"/>
        <v>195</v>
      </c>
      <c r="P275" s="534">
        <f t="shared" si="143"/>
        <v>127.5</v>
      </c>
      <c r="Q275" s="534">
        <f t="shared" si="143"/>
        <v>106</v>
      </c>
      <c r="R275" s="534">
        <f t="shared" si="143"/>
        <v>180.5</v>
      </c>
      <c r="S275" s="534">
        <f t="shared" si="143"/>
        <v>222</v>
      </c>
      <c r="T275" s="534">
        <f t="shared" si="143"/>
        <v>376.5</v>
      </c>
      <c r="U275" s="534">
        <f t="shared" si="143"/>
        <v>256.5</v>
      </c>
      <c r="V275" s="534">
        <f t="shared" si="143"/>
        <v>0</v>
      </c>
      <c r="W275" s="534">
        <f t="shared" si="143"/>
        <v>0</v>
      </c>
      <c r="X275" s="533">
        <f t="shared" si="143"/>
        <v>0</v>
      </c>
      <c r="Y275" s="432"/>
      <c r="Z275" s="538"/>
      <c r="AA275" s="537"/>
      <c r="AB275" s="208"/>
      <c r="AC275" s="208"/>
    </row>
    <row r="276" spans="3:29" outlineLevel="1">
      <c r="C276" s="423" t="s">
        <v>988</v>
      </c>
      <c r="D276" s="1"/>
      <c r="E276" s="16" t="s">
        <v>961</v>
      </c>
      <c r="F276" s="530">
        <f t="shared" ref="F276:X276" si="144">F275*F$6</f>
        <v>596</v>
      </c>
      <c r="G276" s="529">
        <f t="shared" si="144"/>
        <v>2752</v>
      </c>
      <c r="H276" s="529">
        <f t="shared" si="144"/>
        <v>880</v>
      </c>
      <c r="I276" s="529">
        <f t="shared" si="144"/>
        <v>2090</v>
      </c>
      <c r="J276" s="529">
        <f t="shared" si="144"/>
        <v>2544</v>
      </c>
      <c r="K276" s="529">
        <f t="shared" si="144"/>
        <v>212</v>
      </c>
      <c r="L276" s="529">
        <f t="shared" si="144"/>
        <v>1956</v>
      </c>
      <c r="M276" s="529">
        <f t="shared" si="144"/>
        <v>815</v>
      </c>
      <c r="N276" s="529">
        <f t="shared" si="144"/>
        <v>5776</v>
      </c>
      <c r="O276" s="529">
        <f t="shared" si="144"/>
        <v>12480</v>
      </c>
      <c r="P276" s="529">
        <f t="shared" si="144"/>
        <v>5865</v>
      </c>
      <c r="Q276" s="529">
        <f t="shared" si="144"/>
        <v>1696</v>
      </c>
      <c r="R276" s="529">
        <f t="shared" si="144"/>
        <v>4332</v>
      </c>
      <c r="S276" s="529">
        <f t="shared" si="144"/>
        <v>1776</v>
      </c>
      <c r="T276" s="529">
        <f t="shared" si="144"/>
        <v>3012</v>
      </c>
      <c r="U276" s="529">
        <f t="shared" si="144"/>
        <v>2821.5</v>
      </c>
      <c r="V276" s="529">
        <f t="shared" si="144"/>
        <v>0</v>
      </c>
      <c r="W276" s="529">
        <f t="shared" si="144"/>
        <v>0</v>
      </c>
      <c r="X276" s="528">
        <f t="shared" si="144"/>
        <v>0</v>
      </c>
      <c r="Y276" s="422">
        <f>SUM(Y260:Y274)</f>
        <v>1950</v>
      </c>
      <c r="Z276" s="255"/>
      <c r="AA276" s="527">
        <f>SUM(F276:X276)</f>
        <v>49603.5</v>
      </c>
      <c r="AB276" s="208"/>
      <c r="AC276" s="208"/>
    </row>
    <row r="277" spans="3:29">
      <c r="C277" s="96" t="s">
        <v>1033</v>
      </c>
      <c r="D277" s="940" t="s">
        <v>1263</v>
      </c>
      <c r="E277" s="940"/>
      <c r="F277" s="62"/>
      <c r="G277" s="62"/>
      <c r="H277" s="62"/>
      <c r="I277" s="62"/>
      <c r="J277" s="62"/>
      <c r="K277" s="62"/>
      <c r="L277" s="62"/>
      <c r="M277" s="62"/>
      <c r="N277" s="62"/>
      <c r="O277" s="62"/>
      <c r="P277" s="62"/>
      <c r="Q277" s="62"/>
      <c r="R277" s="62"/>
      <c r="S277" s="62"/>
      <c r="T277" s="62"/>
      <c r="U277" s="62"/>
      <c r="V277" s="62"/>
      <c r="W277" s="62"/>
      <c r="X277" s="62"/>
      <c r="Y277" s="437" t="s">
        <v>948</v>
      </c>
      <c r="Z277" s="92" t="s">
        <v>949</v>
      </c>
      <c r="AA277" s="541" t="s">
        <v>950</v>
      </c>
      <c r="AB277" s="208"/>
      <c r="AC277" s="208"/>
    </row>
    <row r="278" spans="3:29">
      <c r="D278" s="75"/>
      <c r="E278" s="1" t="s">
        <v>968</v>
      </c>
      <c r="F278" s="547">
        <v>1</v>
      </c>
      <c r="G278" s="546">
        <v>1</v>
      </c>
      <c r="H278" s="546">
        <v>1</v>
      </c>
      <c r="I278" s="546">
        <v>1</v>
      </c>
      <c r="J278" s="546">
        <v>1</v>
      </c>
      <c r="K278" s="546">
        <v>1</v>
      </c>
      <c r="L278" s="546">
        <v>1</v>
      </c>
      <c r="M278" s="546">
        <v>1</v>
      </c>
      <c r="N278" s="546">
        <v>1</v>
      </c>
      <c r="O278" s="546">
        <v>1</v>
      </c>
      <c r="P278" s="546">
        <v>1</v>
      </c>
      <c r="Q278" s="546">
        <v>1</v>
      </c>
      <c r="R278" s="546">
        <v>1</v>
      </c>
      <c r="S278" s="546">
        <v>1</v>
      </c>
      <c r="T278" s="546">
        <v>2</v>
      </c>
      <c r="U278" s="546">
        <v>2</v>
      </c>
      <c r="V278" s="546"/>
      <c r="W278" s="546"/>
      <c r="X278" s="545"/>
      <c r="Y278" s="432">
        <f>SUMPRODUCT($F278:$X278,$F$6:$X$6)</f>
        <v>365</v>
      </c>
      <c r="Z278" s="538">
        <f>'MF Pricing'!F123</f>
        <v>13</v>
      </c>
      <c r="AA278" s="537">
        <f>Y278*Z278</f>
        <v>4745</v>
      </c>
      <c r="AB278" s="208"/>
      <c r="AC278" s="208"/>
    </row>
    <row r="279" spans="3:29" outlineLevel="1">
      <c r="C279" s="423" t="s">
        <v>1184</v>
      </c>
      <c r="D279" s="1"/>
      <c r="E279" s="536" t="s">
        <v>1185</v>
      </c>
      <c r="F279" s="535">
        <f t="shared" ref="F279:X279" si="145">IF(F$6=0,0,F278*$Z278)</f>
        <v>13</v>
      </c>
      <c r="G279" s="534">
        <f t="shared" si="145"/>
        <v>13</v>
      </c>
      <c r="H279" s="534">
        <f t="shared" si="145"/>
        <v>13</v>
      </c>
      <c r="I279" s="534">
        <f t="shared" si="145"/>
        <v>13</v>
      </c>
      <c r="J279" s="534">
        <f t="shared" si="145"/>
        <v>13</v>
      </c>
      <c r="K279" s="534">
        <f t="shared" si="145"/>
        <v>13</v>
      </c>
      <c r="L279" s="534">
        <f t="shared" si="145"/>
        <v>13</v>
      </c>
      <c r="M279" s="534">
        <f t="shared" si="145"/>
        <v>13</v>
      </c>
      <c r="N279" s="534">
        <f t="shared" si="145"/>
        <v>13</v>
      </c>
      <c r="O279" s="534">
        <f t="shared" si="145"/>
        <v>13</v>
      </c>
      <c r="P279" s="534">
        <f t="shared" si="145"/>
        <v>13</v>
      </c>
      <c r="Q279" s="534">
        <f t="shared" si="145"/>
        <v>13</v>
      </c>
      <c r="R279" s="534">
        <f t="shared" si="145"/>
        <v>13</v>
      </c>
      <c r="S279" s="534">
        <f t="shared" si="145"/>
        <v>13</v>
      </c>
      <c r="T279" s="534">
        <f t="shared" si="145"/>
        <v>26</v>
      </c>
      <c r="U279" s="534">
        <f t="shared" si="145"/>
        <v>26</v>
      </c>
      <c r="V279" s="534">
        <f t="shared" si="145"/>
        <v>0</v>
      </c>
      <c r="W279" s="534">
        <f t="shared" si="145"/>
        <v>0</v>
      </c>
      <c r="X279" s="533">
        <f t="shared" si="145"/>
        <v>0</v>
      </c>
      <c r="Y279" s="432"/>
      <c r="Z279" s="532"/>
      <c r="AA279" s="394"/>
      <c r="AB279" s="208"/>
      <c r="AC279" s="208"/>
    </row>
    <row r="280" spans="3:29" outlineLevel="1">
      <c r="C280" s="423" t="s">
        <v>988</v>
      </c>
      <c r="D280" s="1"/>
      <c r="E280" s="16" t="s">
        <v>961</v>
      </c>
      <c r="F280" s="530">
        <f t="shared" ref="F280:X280" si="146">F279*F$6</f>
        <v>104</v>
      </c>
      <c r="G280" s="529">
        <f t="shared" si="146"/>
        <v>208</v>
      </c>
      <c r="H280" s="529">
        <f t="shared" si="146"/>
        <v>104</v>
      </c>
      <c r="I280" s="529">
        <f t="shared" si="146"/>
        <v>247</v>
      </c>
      <c r="J280" s="529">
        <f t="shared" si="146"/>
        <v>624</v>
      </c>
      <c r="K280" s="529">
        <f t="shared" si="146"/>
        <v>52</v>
      </c>
      <c r="L280" s="529">
        <f t="shared" si="146"/>
        <v>312</v>
      </c>
      <c r="M280" s="529">
        <f t="shared" si="146"/>
        <v>130</v>
      </c>
      <c r="N280" s="529">
        <f t="shared" si="146"/>
        <v>416</v>
      </c>
      <c r="O280" s="529">
        <f t="shared" si="146"/>
        <v>832</v>
      </c>
      <c r="P280" s="529">
        <f t="shared" si="146"/>
        <v>598</v>
      </c>
      <c r="Q280" s="529">
        <f t="shared" si="146"/>
        <v>208</v>
      </c>
      <c r="R280" s="529">
        <f t="shared" si="146"/>
        <v>312</v>
      </c>
      <c r="S280" s="529">
        <f t="shared" si="146"/>
        <v>104</v>
      </c>
      <c r="T280" s="529">
        <f t="shared" si="146"/>
        <v>208</v>
      </c>
      <c r="U280" s="529">
        <f t="shared" si="146"/>
        <v>286</v>
      </c>
      <c r="V280" s="529">
        <f t="shared" si="146"/>
        <v>0</v>
      </c>
      <c r="W280" s="529">
        <f t="shared" si="146"/>
        <v>0</v>
      </c>
      <c r="X280" s="528">
        <f t="shared" si="146"/>
        <v>0</v>
      </c>
      <c r="Y280" s="422">
        <f>SUM(Y278)</f>
        <v>365</v>
      </c>
      <c r="Z280" s="255"/>
      <c r="AA280" s="527">
        <f>SUM(F280:X280)</f>
        <v>4745</v>
      </c>
      <c r="AB280" s="208"/>
      <c r="AC280" s="208"/>
    </row>
    <row r="281" spans="3:29">
      <c r="C281" s="96" t="s">
        <v>1264</v>
      </c>
      <c r="D281" s="940" t="s">
        <v>1265</v>
      </c>
      <c r="E281" s="940"/>
      <c r="F281" s="552"/>
      <c r="G281" s="542"/>
      <c r="H281" s="542"/>
      <c r="I281" s="542"/>
      <c r="J281" s="542"/>
      <c r="K281" s="542"/>
      <c r="L281" s="542"/>
      <c r="M281" s="542"/>
      <c r="N281" s="542"/>
      <c r="O281" s="542"/>
      <c r="P281" s="542"/>
      <c r="Q281" s="542"/>
      <c r="R281" s="542"/>
      <c r="S281" s="542"/>
      <c r="T281" s="542"/>
      <c r="U281" s="542"/>
      <c r="V281" s="542"/>
      <c r="W281" s="542"/>
      <c r="X281" s="542"/>
      <c r="Y281" s="432"/>
      <c r="Z281" s="532"/>
      <c r="AA281" s="394"/>
      <c r="AB281" s="208"/>
      <c r="AC281" s="208"/>
    </row>
    <row r="282" spans="3:29">
      <c r="C282" s="198" t="s">
        <v>1035</v>
      </c>
      <c r="D282" s="435" t="s">
        <v>1036</v>
      </c>
      <c r="E282" s="198" t="s">
        <v>968</v>
      </c>
      <c r="F282" s="547"/>
      <c r="G282" s="546"/>
      <c r="H282" s="546"/>
      <c r="I282" s="546"/>
      <c r="J282" s="546">
        <v>1</v>
      </c>
      <c r="K282" s="546">
        <v>1</v>
      </c>
      <c r="L282" s="546">
        <v>1</v>
      </c>
      <c r="M282" s="546">
        <v>1</v>
      </c>
      <c r="N282" s="546"/>
      <c r="O282" s="546"/>
      <c r="P282" s="546"/>
      <c r="Q282" s="546"/>
      <c r="R282" s="546"/>
      <c r="S282" s="546"/>
      <c r="T282" s="546"/>
      <c r="U282" s="546"/>
      <c r="V282" s="546"/>
      <c r="W282" s="546"/>
      <c r="X282" s="545"/>
      <c r="Y282" s="432"/>
      <c r="Z282" s="532"/>
      <c r="AA282" s="394"/>
      <c r="AB282" s="208"/>
      <c r="AC282" s="208"/>
    </row>
    <row r="283" spans="3:29">
      <c r="C283" s="200" t="s">
        <v>1038</v>
      </c>
      <c r="D283" s="433" t="s">
        <v>1039</v>
      </c>
      <c r="E283" s="200" t="s">
        <v>968</v>
      </c>
      <c r="F283" s="547">
        <v>1</v>
      </c>
      <c r="G283" s="546">
        <v>1</v>
      </c>
      <c r="H283" s="546">
        <v>1</v>
      </c>
      <c r="I283" s="546">
        <v>1</v>
      </c>
      <c r="J283" s="546"/>
      <c r="K283" s="546"/>
      <c r="L283" s="546"/>
      <c r="M283" s="546"/>
      <c r="N283" s="546">
        <v>1</v>
      </c>
      <c r="O283" s="546">
        <v>3</v>
      </c>
      <c r="P283" s="546">
        <v>2</v>
      </c>
      <c r="Q283" s="546">
        <v>3</v>
      </c>
      <c r="R283" s="546">
        <v>2</v>
      </c>
      <c r="S283" s="546">
        <v>4</v>
      </c>
      <c r="T283" s="546">
        <v>5</v>
      </c>
      <c r="U283" s="546">
        <v>4</v>
      </c>
      <c r="V283" s="546"/>
      <c r="W283" s="546"/>
      <c r="X283" s="545"/>
      <c r="Y283" s="432"/>
      <c r="Z283" s="532"/>
      <c r="AA283" s="394"/>
      <c r="AB283" s="208"/>
      <c r="AC283" s="208"/>
    </row>
    <row r="284" spans="3:29">
      <c r="C284" s="200" t="s">
        <v>1040</v>
      </c>
      <c r="D284" s="433" t="s">
        <v>1041</v>
      </c>
      <c r="E284" s="200" t="s">
        <v>968</v>
      </c>
      <c r="F284" s="547"/>
      <c r="G284" s="546">
        <v>3</v>
      </c>
      <c r="H284" s="546"/>
      <c r="I284" s="546"/>
      <c r="J284" s="546">
        <v>1</v>
      </c>
      <c r="K284" s="546">
        <v>1</v>
      </c>
      <c r="L284" s="546">
        <v>1</v>
      </c>
      <c r="M284" s="546">
        <v>1</v>
      </c>
      <c r="N284" s="546"/>
      <c r="O284" s="546"/>
      <c r="P284" s="546">
        <v>1</v>
      </c>
      <c r="Q284" s="546"/>
      <c r="R284" s="546">
        <v>1</v>
      </c>
      <c r="S284" s="546">
        <v>2</v>
      </c>
      <c r="T284" s="546"/>
      <c r="U284" s="546">
        <v>2</v>
      </c>
      <c r="V284" s="546"/>
      <c r="W284" s="546"/>
      <c r="X284" s="545"/>
      <c r="Y284" s="432"/>
      <c r="Z284" s="532"/>
      <c r="AA284" s="394"/>
      <c r="AB284" s="208"/>
      <c r="AC284" s="208"/>
    </row>
    <row r="285" spans="3:29">
      <c r="C285" s="200" t="s">
        <v>1042</v>
      </c>
      <c r="D285" s="433" t="s">
        <v>1043</v>
      </c>
      <c r="E285" s="200" t="s">
        <v>968</v>
      </c>
      <c r="F285" s="547"/>
      <c r="G285" s="546">
        <v>1</v>
      </c>
      <c r="H285" s="546"/>
      <c r="I285" s="546">
        <v>1</v>
      </c>
      <c r="J285" s="546">
        <v>1</v>
      </c>
      <c r="K285" s="546">
        <v>1</v>
      </c>
      <c r="L285" s="546">
        <v>2</v>
      </c>
      <c r="M285" s="546">
        <v>2</v>
      </c>
      <c r="N285" s="546">
        <v>2</v>
      </c>
      <c r="O285" s="546">
        <v>2</v>
      </c>
      <c r="P285" s="546">
        <v>2</v>
      </c>
      <c r="Q285" s="546">
        <v>3</v>
      </c>
      <c r="R285" s="546">
        <v>4</v>
      </c>
      <c r="S285" s="546">
        <v>3</v>
      </c>
      <c r="T285" s="546">
        <v>2</v>
      </c>
      <c r="U285" s="546">
        <v>3</v>
      </c>
      <c r="V285" s="546"/>
      <c r="W285" s="546"/>
      <c r="X285" s="545"/>
      <c r="Y285" s="432"/>
      <c r="Z285" s="532"/>
      <c r="AA285" s="394"/>
      <c r="AB285" s="208"/>
      <c r="AC285" s="208"/>
    </row>
    <row r="286" spans="3:29">
      <c r="C286" s="200" t="s">
        <v>1044</v>
      </c>
      <c r="D286" s="433" t="s">
        <v>1045</v>
      </c>
      <c r="E286" s="200" t="s">
        <v>968</v>
      </c>
      <c r="F286" s="547"/>
      <c r="G286" s="546">
        <v>1</v>
      </c>
      <c r="H286" s="546"/>
      <c r="I286" s="546">
        <v>2</v>
      </c>
      <c r="J286" s="546">
        <v>1</v>
      </c>
      <c r="K286" s="546">
        <v>1</v>
      </c>
      <c r="L286" s="546">
        <v>1</v>
      </c>
      <c r="M286" s="546">
        <v>1</v>
      </c>
      <c r="N286" s="546">
        <v>2</v>
      </c>
      <c r="O286" s="546">
        <v>1</v>
      </c>
      <c r="P286" s="546">
        <v>1</v>
      </c>
      <c r="Q286" s="546">
        <v>1</v>
      </c>
      <c r="R286" s="546"/>
      <c r="S286" s="546">
        <v>2</v>
      </c>
      <c r="T286" s="546">
        <v>4</v>
      </c>
      <c r="U286" s="546">
        <v>4</v>
      </c>
      <c r="V286" s="546"/>
      <c r="W286" s="546"/>
      <c r="X286" s="545"/>
      <c r="Y286" s="432"/>
      <c r="Z286" s="532"/>
      <c r="AA286" s="394"/>
      <c r="AB286" s="208"/>
      <c r="AC286" s="208"/>
    </row>
    <row r="287" spans="3:29">
      <c r="C287" s="200" t="s">
        <v>1046</v>
      </c>
      <c r="D287" s="433" t="s">
        <v>1047</v>
      </c>
      <c r="E287" s="200" t="s">
        <v>968</v>
      </c>
      <c r="F287" s="547">
        <v>2</v>
      </c>
      <c r="G287" s="546"/>
      <c r="H287" s="546">
        <v>2</v>
      </c>
      <c r="I287" s="546"/>
      <c r="J287" s="546"/>
      <c r="K287" s="546"/>
      <c r="L287" s="546"/>
      <c r="M287" s="546"/>
      <c r="N287" s="546"/>
      <c r="O287" s="546"/>
      <c r="P287" s="546">
        <v>1</v>
      </c>
      <c r="Q287" s="546">
        <v>2</v>
      </c>
      <c r="R287" s="546">
        <v>1</v>
      </c>
      <c r="S287" s="546">
        <v>1</v>
      </c>
      <c r="T287" s="546"/>
      <c r="U287" s="546"/>
      <c r="V287" s="546"/>
      <c r="W287" s="546"/>
      <c r="X287" s="545"/>
      <c r="Y287" s="432"/>
      <c r="Z287" s="532"/>
      <c r="AA287" s="394"/>
      <c r="AB287" s="208"/>
      <c r="AC287" s="208"/>
    </row>
    <row r="288" spans="3:29">
      <c r="C288" s="200" t="s">
        <v>1048</v>
      </c>
      <c r="D288" s="433" t="s">
        <v>1049</v>
      </c>
      <c r="E288" s="200" t="s">
        <v>968</v>
      </c>
      <c r="F288" s="547"/>
      <c r="G288" s="546"/>
      <c r="H288" s="546"/>
      <c r="I288" s="546">
        <v>1</v>
      </c>
      <c r="J288" s="546">
        <v>1</v>
      </c>
      <c r="K288" s="546">
        <v>1</v>
      </c>
      <c r="L288" s="546">
        <v>1</v>
      </c>
      <c r="M288" s="546">
        <v>1</v>
      </c>
      <c r="N288" s="546"/>
      <c r="O288" s="546"/>
      <c r="P288" s="546"/>
      <c r="Q288" s="546"/>
      <c r="R288" s="546"/>
      <c r="S288" s="546"/>
      <c r="T288" s="546"/>
      <c r="U288" s="546"/>
      <c r="V288" s="546"/>
      <c r="W288" s="546"/>
      <c r="X288" s="545"/>
      <c r="Y288" s="432"/>
      <c r="Z288" s="532"/>
      <c r="AA288" s="394"/>
      <c r="AB288" s="208"/>
      <c r="AC288" s="208"/>
    </row>
    <row r="289" spans="3:29">
      <c r="C289" s="200" t="s">
        <v>1050</v>
      </c>
      <c r="D289" s="433" t="s">
        <v>1051</v>
      </c>
      <c r="E289" s="200" t="s">
        <v>968</v>
      </c>
      <c r="F289" s="547">
        <v>1</v>
      </c>
      <c r="G289" s="546"/>
      <c r="H289" s="546"/>
      <c r="I289" s="546"/>
      <c r="J289" s="546"/>
      <c r="K289" s="546"/>
      <c r="L289" s="546"/>
      <c r="M289" s="546"/>
      <c r="N289" s="546"/>
      <c r="O289" s="546"/>
      <c r="P289" s="546"/>
      <c r="Q289" s="546"/>
      <c r="R289" s="546"/>
      <c r="S289" s="546"/>
      <c r="T289" s="546"/>
      <c r="U289" s="546"/>
      <c r="V289" s="546"/>
      <c r="W289" s="546"/>
      <c r="X289" s="545"/>
      <c r="Y289" s="432"/>
      <c r="Z289" s="532"/>
      <c r="AA289" s="394"/>
      <c r="AB289" s="208"/>
      <c r="AC289" s="208"/>
    </row>
    <row r="290" spans="3:29">
      <c r="C290" s="200" t="s">
        <v>1052</v>
      </c>
      <c r="D290" s="433" t="s">
        <v>1053</v>
      </c>
      <c r="E290" s="200" t="s">
        <v>968</v>
      </c>
      <c r="F290" s="547"/>
      <c r="G290" s="546"/>
      <c r="H290" s="546"/>
      <c r="I290" s="546"/>
      <c r="J290" s="546"/>
      <c r="K290" s="546"/>
      <c r="L290" s="546"/>
      <c r="M290" s="546"/>
      <c r="N290" s="546"/>
      <c r="O290" s="546"/>
      <c r="P290" s="546"/>
      <c r="Q290" s="546"/>
      <c r="R290" s="546"/>
      <c r="S290" s="546"/>
      <c r="T290" s="546"/>
      <c r="U290" s="546"/>
      <c r="V290" s="546"/>
      <c r="W290" s="546"/>
      <c r="X290" s="545"/>
      <c r="Y290" s="432"/>
      <c r="Z290" s="532"/>
      <c r="AA290" s="394"/>
      <c r="AB290" s="208"/>
      <c r="AC290" s="208"/>
    </row>
    <row r="291" spans="3:29">
      <c r="C291" s="200" t="s">
        <v>1054</v>
      </c>
      <c r="D291" s="433" t="s">
        <v>1055</v>
      </c>
      <c r="E291" s="200" t="s">
        <v>968</v>
      </c>
      <c r="F291" s="547"/>
      <c r="G291" s="546"/>
      <c r="H291" s="546"/>
      <c r="I291" s="546"/>
      <c r="J291" s="546"/>
      <c r="K291" s="546"/>
      <c r="L291" s="546"/>
      <c r="M291" s="546"/>
      <c r="N291" s="546"/>
      <c r="O291" s="546"/>
      <c r="P291" s="546"/>
      <c r="Q291" s="546"/>
      <c r="R291" s="546"/>
      <c r="S291" s="546"/>
      <c r="T291" s="546"/>
      <c r="U291" s="546"/>
      <c r="V291" s="546"/>
      <c r="W291" s="546"/>
      <c r="X291" s="545"/>
      <c r="Y291" s="432"/>
      <c r="Z291" s="532"/>
      <c r="AA291" s="394"/>
      <c r="AB291" s="208"/>
      <c r="AC291" s="208"/>
    </row>
    <row r="292" spans="3:29">
      <c r="C292" s="200" t="s">
        <v>1056</v>
      </c>
      <c r="D292" s="433" t="s">
        <v>1057</v>
      </c>
      <c r="E292" s="200" t="s">
        <v>968</v>
      </c>
      <c r="F292" s="547"/>
      <c r="G292" s="546"/>
      <c r="H292" s="546"/>
      <c r="I292" s="546"/>
      <c r="J292" s="546"/>
      <c r="K292" s="546"/>
      <c r="L292" s="546"/>
      <c r="M292" s="546"/>
      <c r="N292" s="546"/>
      <c r="O292" s="546"/>
      <c r="P292" s="546"/>
      <c r="Q292" s="546"/>
      <c r="R292" s="546"/>
      <c r="S292" s="546"/>
      <c r="T292" s="546"/>
      <c r="U292" s="546"/>
      <c r="V292" s="546"/>
      <c r="W292" s="546"/>
      <c r="X292" s="545"/>
      <c r="Y292" s="432"/>
      <c r="Z292" s="532"/>
      <c r="AA292" s="394"/>
      <c r="AB292" s="208"/>
      <c r="AC292" s="208"/>
    </row>
    <row r="293" spans="3:29">
      <c r="C293" s="96" t="s">
        <v>1034</v>
      </c>
      <c r="D293" s="940" t="s">
        <v>1266</v>
      </c>
      <c r="E293" s="940"/>
      <c r="F293" s="552"/>
      <c r="G293" s="542"/>
      <c r="H293" s="542"/>
      <c r="I293" s="542"/>
      <c r="J293" s="542"/>
      <c r="K293" s="542"/>
      <c r="L293" s="542"/>
      <c r="M293" s="542"/>
      <c r="N293" s="542"/>
      <c r="O293" s="542"/>
      <c r="P293" s="542"/>
      <c r="Q293" s="542"/>
      <c r="R293" s="542"/>
      <c r="S293" s="542"/>
      <c r="T293" s="542"/>
      <c r="U293" s="542"/>
      <c r="V293" s="542"/>
      <c r="W293" s="542"/>
      <c r="X293" s="542"/>
      <c r="Y293" s="437" t="s">
        <v>948</v>
      </c>
      <c r="Z293" s="92" t="s">
        <v>949</v>
      </c>
      <c r="AA293" s="541" t="s">
        <v>950</v>
      </c>
      <c r="AB293" s="208"/>
      <c r="AC293" s="208"/>
    </row>
    <row r="294" spans="3:29">
      <c r="C294" s="198" t="s">
        <v>1035</v>
      </c>
      <c r="D294" s="445" t="str">
        <f t="shared" ref="D294:D304" si="147">D282</f>
        <v>4</v>
      </c>
      <c r="E294" s="198" t="s">
        <v>992</v>
      </c>
      <c r="F294" s="547"/>
      <c r="G294" s="546"/>
      <c r="H294" s="546"/>
      <c r="I294" s="546"/>
      <c r="J294" s="546">
        <v>1</v>
      </c>
      <c r="K294" s="546">
        <v>1</v>
      </c>
      <c r="L294" s="546">
        <v>1</v>
      </c>
      <c r="M294" s="546">
        <v>1</v>
      </c>
      <c r="N294" s="546"/>
      <c r="O294" s="546"/>
      <c r="P294" s="546"/>
      <c r="Q294" s="546"/>
      <c r="R294" s="546"/>
      <c r="S294" s="546"/>
      <c r="T294" s="546"/>
      <c r="U294" s="546"/>
      <c r="V294" s="546"/>
      <c r="W294" s="546"/>
      <c r="X294" s="545"/>
      <c r="Y294" s="432"/>
      <c r="Z294" s="532"/>
      <c r="AA294" s="394"/>
      <c r="AB294" s="208"/>
      <c r="AC294" s="208"/>
    </row>
    <row r="295" spans="3:29">
      <c r="C295" s="200" t="s">
        <v>1038</v>
      </c>
      <c r="D295" s="433" t="str">
        <f t="shared" si="147"/>
        <v>5</v>
      </c>
      <c r="E295" s="200" t="s">
        <v>992</v>
      </c>
      <c r="F295" s="547">
        <v>31</v>
      </c>
      <c r="G295" s="546">
        <v>8</v>
      </c>
      <c r="H295" s="546">
        <v>1</v>
      </c>
      <c r="I295" s="546">
        <v>6</v>
      </c>
      <c r="J295" s="546"/>
      <c r="K295" s="546"/>
      <c r="L295" s="546"/>
      <c r="M295" s="546"/>
      <c r="N295" s="546">
        <v>3</v>
      </c>
      <c r="O295" s="546">
        <v>19</v>
      </c>
      <c r="P295" s="546">
        <v>7</v>
      </c>
      <c r="Q295" s="546">
        <v>5</v>
      </c>
      <c r="R295" s="546">
        <v>9</v>
      </c>
      <c r="S295" s="546">
        <v>19</v>
      </c>
      <c r="T295" s="546">
        <v>40</v>
      </c>
      <c r="U295" s="546">
        <v>22</v>
      </c>
      <c r="V295" s="546"/>
      <c r="W295" s="546"/>
      <c r="X295" s="545"/>
      <c r="Y295" s="432"/>
      <c r="Z295" s="532"/>
      <c r="AA295" s="394"/>
      <c r="AB295" s="208"/>
      <c r="AC295" s="208"/>
    </row>
    <row r="296" spans="3:29">
      <c r="C296" s="200" t="s">
        <v>1040</v>
      </c>
      <c r="D296" s="433" t="str">
        <f t="shared" si="147"/>
        <v>6</v>
      </c>
      <c r="E296" s="200" t="s">
        <v>992</v>
      </c>
      <c r="F296" s="547"/>
      <c r="G296" s="546">
        <v>22</v>
      </c>
      <c r="H296" s="546"/>
      <c r="I296" s="546"/>
      <c r="J296" s="546">
        <v>2</v>
      </c>
      <c r="K296" s="546">
        <v>2</v>
      </c>
      <c r="L296" s="546">
        <v>2</v>
      </c>
      <c r="M296" s="546">
        <v>2</v>
      </c>
      <c r="N296" s="546"/>
      <c r="O296" s="546"/>
      <c r="P296" s="546">
        <v>2</v>
      </c>
      <c r="Q296" s="546"/>
      <c r="R296" s="546">
        <v>2</v>
      </c>
      <c r="S296" s="546">
        <v>10</v>
      </c>
      <c r="T296" s="546"/>
      <c r="U296" s="546">
        <v>16</v>
      </c>
      <c r="V296" s="546"/>
      <c r="W296" s="546"/>
      <c r="X296" s="545"/>
      <c r="Y296" s="432"/>
      <c r="Z296" s="532"/>
      <c r="AA296" s="394"/>
      <c r="AB296" s="208"/>
      <c r="AC296" s="208"/>
    </row>
    <row r="297" spans="3:29">
      <c r="C297" s="200" t="s">
        <v>1042</v>
      </c>
      <c r="D297" s="433" t="str">
        <f t="shared" si="147"/>
        <v>7</v>
      </c>
      <c r="E297" s="200" t="s">
        <v>992</v>
      </c>
      <c r="F297" s="547"/>
      <c r="G297" s="546">
        <v>16</v>
      </c>
      <c r="H297" s="546"/>
      <c r="I297" s="546">
        <v>4</v>
      </c>
      <c r="J297" s="546">
        <v>3</v>
      </c>
      <c r="K297" s="546">
        <v>3</v>
      </c>
      <c r="L297" s="546">
        <v>25</v>
      </c>
      <c r="M297" s="546">
        <v>30</v>
      </c>
      <c r="N297" s="546">
        <v>19</v>
      </c>
      <c r="O297" s="546">
        <v>45</v>
      </c>
      <c r="P297" s="546">
        <v>23</v>
      </c>
      <c r="Q297" s="546">
        <v>19</v>
      </c>
      <c r="R297" s="546">
        <v>53</v>
      </c>
      <c r="S297" s="546">
        <v>51</v>
      </c>
      <c r="T297" s="546">
        <v>20</v>
      </c>
      <c r="U297" s="546">
        <v>34</v>
      </c>
      <c r="V297" s="546"/>
      <c r="W297" s="546"/>
      <c r="X297" s="545"/>
      <c r="Y297" s="432"/>
      <c r="Z297" s="532"/>
      <c r="AA297" s="394"/>
      <c r="AB297" s="208"/>
      <c r="AC297" s="208"/>
    </row>
    <row r="298" spans="3:29">
      <c r="C298" s="200" t="s">
        <v>1044</v>
      </c>
      <c r="D298" s="433" t="str">
        <f t="shared" si="147"/>
        <v>8</v>
      </c>
      <c r="E298" s="200" t="s">
        <v>992</v>
      </c>
      <c r="F298" s="547"/>
      <c r="G298" s="546">
        <v>2</v>
      </c>
      <c r="H298" s="546"/>
      <c r="I298" s="546">
        <v>11</v>
      </c>
      <c r="J298" s="546">
        <v>5</v>
      </c>
      <c r="K298" s="546">
        <v>5</v>
      </c>
      <c r="L298" s="546">
        <v>5</v>
      </c>
      <c r="M298" s="546">
        <v>5</v>
      </c>
      <c r="N298" s="546">
        <v>34</v>
      </c>
      <c r="O298" s="546">
        <v>15</v>
      </c>
      <c r="P298" s="546">
        <v>19</v>
      </c>
      <c r="Q298" s="546">
        <v>17</v>
      </c>
      <c r="R298" s="546"/>
      <c r="S298" s="546">
        <v>20</v>
      </c>
      <c r="T298" s="546">
        <v>46</v>
      </c>
      <c r="U298" s="546">
        <v>30</v>
      </c>
      <c r="V298" s="546"/>
      <c r="W298" s="546"/>
      <c r="X298" s="545"/>
      <c r="Y298" s="432"/>
      <c r="Z298" s="532"/>
      <c r="AA298" s="394"/>
      <c r="AB298" s="208"/>
      <c r="AC298" s="208"/>
    </row>
    <row r="299" spans="3:29">
      <c r="C299" s="200" t="s">
        <v>1046</v>
      </c>
      <c r="D299" s="433" t="str">
        <f t="shared" si="147"/>
        <v>9</v>
      </c>
      <c r="E299" s="200" t="s">
        <v>992</v>
      </c>
      <c r="F299" s="547">
        <v>8</v>
      </c>
      <c r="G299" s="546"/>
      <c r="H299" s="546">
        <v>13</v>
      </c>
      <c r="I299" s="546"/>
      <c r="J299" s="546"/>
      <c r="K299" s="546"/>
      <c r="L299" s="546"/>
      <c r="M299" s="546"/>
      <c r="N299" s="546"/>
      <c r="O299" s="546"/>
      <c r="P299" s="546">
        <v>16</v>
      </c>
      <c r="Q299" s="546">
        <v>39</v>
      </c>
      <c r="R299" s="546">
        <v>22</v>
      </c>
      <c r="S299" s="546">
        <v>15</v>
      </c>
      <c r="T299" s="546"/>
      <c r="U299" s="546"/>
      <c r="V299" s="546"/>
      <c r="W299" s="546"/>
      <c r="X299" s="545"/>
      <c r="Y299" s="432"/>
      <c r="Z299" s="532"/>
      <c r="AA299" s="394"/>
      <c r="AB299" s="208"/>
      <c r="AC299" s="208"/>
    </row>
    <row r="300" spans="3:29">
      <c r="C300" s="200" t="s">
        <v>1048</v>
      </c>
      <c r="D300" s="433" t="str">
        <f t="shared" si="147"/>
        <v>10</v>
      </c>
      <c r="E300" s="200" t="s">
        <v>992</v>
      </c>
      <c r="F300" s="547"/>
      <c r="G300" s="546"/>
      <c r="H300" s="546"/>
      <c r="I300" s="546">
        <v>14</v>
      </c>
      <c r="J300" s="546">
        <v>8</v>
      </c>
      <c r="K300" s="546">
        <v>7</v>
      </c>
      <c r="L300" s="546">
        <v>7</v>
      </c>
      <c r="M300" s="546">
        <v>7</v>
      </c>
      <c r="N300" s="546"/>
      <c r="O300" s="546"/>
      <c r="P300" s="546"/>
      <c r="Q300" s="546"/>
      <c r="R300" s="546"/>
      <c r="S300" s="546"/>
      <c r="T300" s="546"/>
      <c r="U300" s="546"/>
      <c r="V300" s="546"/>
      <c r="W300" s="546"/>
      <c r="X300" s="545"/>
      <c r="Y300" s="432"/>
      <c r="Z300" s="532"/>
      <c r="AA300" s="394"/>
      <c r="AB300" s="208"/>
      <c r="AC300" s="208"/>
    </row>
    <row r="301" spans="3:29">
      <c r="C301" s="200" t="s">
        <v>1050</v>
      </c>
      <c r="D301" s="433" t="str">
        <f t="shared" si="147"/>
        <v>12</v>
      </c>
      <c r="E301" s="200" t="s">
        <v>992</v>
      </c>
      <c r="F301" s="547">
        <v>2</v>
      </c>
      <c r="G301" s="546"/>
      <c r="H301" s="546"/>
      <c r="I301" s="546"/>
      <c r="J301" s="546"/>
      <c r="K301" s="546"/>
      <c r="L301" s="546"/>
      <c r="M301" s="546"/>
      <c r="N301" s="546"/>
      <c r="O301" s="546"/>
      <c r="P301" s="546"/>
      <c r="Q301" s="546"/>
      <c r="R301" s="546"/>
      <c r="S301" s="546"/>
      <c r="T301" s="546"/>
      <c r="U301" s="546"/>
      <c r="V301" s="546"/>
      <c r="W301" s="546"/>
      <c r="X301" s="545"/>
      <c r="Y301" s="432"/>
      <c r="Z301" s="532"/>
      <c r="AA301" s="394"/>
      <c r="AB301" s="208"/>
      <c r="AC301" s="208"/>
    </row>
    <row r="302" spans="3:29">
      <c r="C302" s="200" t="s">
        <v>1052</v>
      </c>
      <c r="D302" s="433" t="str">
        <f t="shared" si="147"/>
        <v>14</v>
      </c>
      <c r="E302" s="200" t="s">
        <v>992</v>
      </c>
      <c r="F302" s="547"/>
      <c r="G302" s="546"/>
      <c r="H302" s="546"/>
      <c r="I302" s="546"/>
      <c r="J302" s="546"/>
      <c r="K302" s="546"/>
      <c r="L302" s="546"/>
      <c r="M302" s="546"/>
      <c r="N302" s="546"/>
      <c r="O302" s="546"/>
      <c r="P302" s="546"/>
      <c r="Q302" s="546"/>
      <c r="R302" s="546"/>
      <c r="S302" s="546"/>
      <c r="T302" s="546"/>
      <c r="U302" s="546"/>
      <c r="V302" s="546"/>
      <c r="W302" s="546"/>
      <c r="X302" s="545"/>
      <c r="Y302" s="432"/>
      <c r="Z302" s="532"/>
      <c r="AA302" s="394"/>
      <c r="AB302" s="208"/>
      <c r="AC302" s="208"/>
    </row>
    <row r="303" spans="3:29">
      <c r="C303" s="200" t="s">
        <v>1054</v>
      </c>
      <c r="D303" s="433" t="str">
        <f t="shared" si="147"/>
        <v>16</v>
      </c>
      <c r="E303" s="200" t="s">
        <v>992</v>
      </c>
      <c r="F303" s="547"/>
      <c r="G303" s="546"/>
      <c r="H303" s="546"/>
      <c r="I303" s="546"/>
      <c r="J303" s="546"/>
      <c r="K303" s="546"/>
      <c r="L303" s="546"/>
      <c r="M303" s="546"/>
      <c r="N303" s="546"/>
      <c r="O303" s="546"/>
      <c r="P303" s="546"/>
      <c r="Q303" s="546"/>
      <c r="R303" s="546"/>
      <c r="S303" s="546"/>
      <c r="T303" s="546"/>
      <c r="U303" s="546"/>
      <c r="V303" s="546"/>
      <c r="W303" s="546"/>
      <c r="X303" s="545"/>
      <c r="Y303" s="432"/>
      <c r="Z303" s="532"/>
      <c r="AA303" s="394"/>
      <c r="AB303" s="208"/>
      <c r="AC303" s="208"/>
    </row>
    <row r="304" spans="3:29">
      <c r="C304" s="452" t="s">
        <v>1056</v>
      </c>
      <c r="D304" s="453" t="str">
        <f t="shared" si="147"/>
        <v>18</v>
      </c>
      <c r="E304" s="452" t="s">
        <v>992</v>
      </c>
      <c r="F304" s="573"/>
      <c r="G304" s="572"/>
      <c r="H304" s="572"/>
      <c r="I304" s="572"/>
      <c r="J304" s="572"/>
      <c r="K304" s="572"/>
      <c r="L304" s="572"/>
      <c r="M304" s="572"/>
      <c r="N304" s="572"/>
      <c r="O304" s="572"/>
      <c r="P304" s="572"/>
      <c r="Q304" s="572"/>
      <c r="R304" s="572"/>
      <c r="S304" s="572"/>
      <c r="T304" s="572"/>
      <c r="U304" s="572"/>
      <c r="V304" s="572"/>
      <c r="W304" s="572"/>
      <c r="X304" s="571"/>
      <c r="Y304" s="432"/>
      <c r="Z304" s="532"/>
      <c r="AA304" s="394"/>
      <c r="AB304" s="208"/>
      <c r="AC304" s="208"/>
    </row>
    <row r="305" spans="3:29" outlineLevel="1">
      <c r="C305" s="448" t="s">
        <v>1035</v>
      </c>
      <c r="D305" s="449" t="str">
        <f t="shared" ref="D305:D315" si="148">D294</f>
        <v>4</v>
      </c>
      <c r="E305" s="448" t="s">
        <v>1037</v>
      </c>
      <c r="F305" s="551">
        <f t="shared" ref="F305:X305" si="149">F294*(1-1/inp_floors)*$L$2</f>
        <v>0</v>
      </c>
      <c r="G305" s="551">
        <f t="shared" si="149"/>
        <v>0</v>
      </c>
      <c r="H305" s="551">
        <f t="shared" si="149"/>
        <v>0</v>
      </c>
      <c r="I305" s="551">
        <f t="shared" si="149"/>
        <v>0</v>
      </c>
      <c r="J305" s="551">
        <f t="shared" si="149"/>
        <v>0.75</v>
      </c>
      <c r="K305" s="551">
        <f t="shared" si="149"/>
        <v>0.75</v>
      </c>
      <c r="L305" s="551">
        <f t="shared" si="149"/>
        <v>0.75</v>
      </c>
      <c r="M305" s="551">
        <f t="shared" si="149"/>
        <v>0.75</v>
      </c>
      <c r="N305" s="551">
        <f t="shared" si="149"/>
        <v>0</v>
      </c>
      <c r="O305" s="551">
        <f t="shared" si="149"/>
        <v>0</v>
      </c>
      <c r="P305" s="551">
        <f t="shared" si="149"/>
        <v>0</v>
      </c>
      <c r="Q305" s="551">
        <f t="shared" si="149"/>
        <v>0</v>
      </c>
      <c r="R305" s="551">
        <f t="shared" si="149"/>
        <v>0</v>
      </c>
      <c r="S305" s="551">
        <f t="shared" si="149"/>
        <v>0</v>
      </c>
      <c r="T305" s="551">
        <f t="shared" si="149"/>
        <v>0</v>
      </c>
      <c r="U305" s="551">
        <f t="shared" si="149"/>
        <v>0</v>
      </c>
      <c r="V305" s="551">
        <f t="shared" si="149"/>
        <v>0</v>
      </c>
      <c r="W305" s="551">
        <f t="shared" si="149"/>
        <v>0</v>
      </c>
      <c r="X305" s="551">
        <f t="shared" si="149"/>
        <v>0</v>
      </c>
      <c r="Y305" s="432">
        <f t="shared" ref="Y305:Y315" si="150">SUMPRODUCT($F305:$X305,$F$6:$X$6)*1.2/25</f>
        <v>3.0959999999999996</v>
      </c>
      <c r="Z305" s="538">
        <f>'MF Pricing'!F125</f>
        <v>28</v>
      </c>
      <c r="AA305" s="394">
        <f t="shared" ref="AA305:AA315" si="151">Z305*Y305</f>
        <v>86.687999999999988</v>
      </c>
      <c r="AB305" s="208"/>
      <c r="AC305" s="208"/>
    </row>
    <row r="306" spans="3:29" outlineLevel="1">
      <c r="C306" s="200" t="s">
        <v>1038</v>
      </c>
      <c r="D306" s="433" t="str">
        <f t="shared" si="148"/>
        <v>5</v>
      </c>
      <c r="E306" s="200" t="s">
        <v>1037</v>
      </c>
      <c r="F306" s="551">
        <f t="shared" ref="F306:X306" si="152">F295*(1-1/inp_floors)*$L$2</f>
        <v>23.25</v>
      </c>
      <c r="G306" s="551">
        <f t="shared" si="152"/>
        <v>6</v>
      </c>
      <c r="H306" s="551">
        <f t="shared" si="152"/>
        <v>0.75</v>
      </c>
      <c r="I306" s="551">
        <f t="shared" si="152"/>
        <v>4.5</v>
      </c>
      <c r="J306" s="551">
        <f t="shared" si="152"/>
        <v>0</v>
      </c>
      <c r="K306" s="551">
        <f t="shared" si="152"/>
        <v>0</v>
      </c>
      <c r="L306" s="551">
        <f t="shared" si="152"/>
        <v>0</v>
      </c>
      <c r="M306" s="551">
        <f t="shared" si="152"/>
        <v>0</v>
      </c>
      <c r="N306" s="551">
        <f t="shared" si="152"/>
        <v>2.25</v>
      </c>
      <c r="O306" s="551">
        <f t="shared" si="152"/>
        <v>14.25</v>
      </c>
      <c r="P306" s="551">
        <f t="shared" si="152"/>
        <v>5.25</v>
      </c>
      <c r="Q306" s="551">
        <f t="shared" si="152"/>
        <v>3.75</v>
      </c>
      <c r="R306" s="551">
        <f t="shared" si="152"/>
        <v>6.75</v>
      </c>
      <c r="S306" s="551">
        <f t="shared" si="152"/>
        <v>14.25</v>
      </c>
      <c r="T306" s="551">
        <f t="shared" si="152"/>
        <v>30</v>
      </c>
      <c r="U306" s="551">
        <f t="shared" si="152"/>
        <v>16.5</v>
      </c>
      <c r="V306" s="551">
        <f t="shared" si="152"/>
        <v>0</v>
      </c>
      <c r="W306" s="551">
        <f t="shared" si="152"/>
        <v>0</v>
      </c>
      <c r="X306" s="551">
        <f t="shared" si="152"/>
        <v>0</v>
      </c>
      <c r="Y306" s="432">
        <f t="shared" si="150"/>
        <v>113.11199999999999</v>
      </c>
      <c r="Z306" s="538">
        <f>'MF Pricing'!F126</f>
        <v>35</v>
      </c>
      <c r="AA306" s="394">
        <f t="shared" si="151"/>
        <v>3958.9199999999996</v>
      </c>
      <c r="AB306" s="208"/>
      <c r="AC306" s="208"/>
    </row>
    <row r="307" spans="3:29" outlineLevel="1">
      <c r="C307" s="200" t="s">
        <v>1040</v>
      </c>
      <c r="D307" s="433" t="str">
        <f t="shared" si="148"/>
        <v>6</v>
      </c>
      <c r="E307" s="200" t="s">
        <v>1037</v>
      </c>
      <c r="F307" s="551">
        <f t="shared" ref="F307:X307" si="153">F296*(1-1/inp_floors)*$L$2</f>
        <v>0</v>
      </c>
      <c r="G307" s="551">
        <f t="shared" si="153"/>
        <v>16.5</v>
      </c>
      <c r="H307" s="551">
        <f t="shared" si="153"/>
        <v>0</v>
      </c>
      <c r="I307" s="551">
        <f t="shared" si="153"/>
        <v>0</v>
      </c>
      <c r="J307" s="551">
        <f t="shared" si="153"/>
        <v>1.5</v>
      </c>
      <c r="K307" s="551">
        <f t="shared" si="153"/>
        <v>1.5</v>
      </c>
      <c r="L307" s="551">
        <f t="shared" si="153"/>
        <v>1.5</v>
      </c>
      <c r="M307" s="551">
        <f t="shared" si="153"/>
        <v>1.5</v>
      </c>
      <c r="N307" s="551">
        <f t="shared" si="153"/>
        <v>0</v>
      </c>
      <c r="O307" s="551">
        <f t="shared" si="153"/>
        <v>0</v>
      </c>
      <c r="P307" s="551">
        <f t="shared" si="153"/>
        <v>1.5</v>
      </c>
      <c r="Q307" s="551">
        <f t="shared" si="153"/>
        <v>0</v>
      </c>
      <c r="R307" s="551">
        <f t="shared" si="153"/>
        <v>1.5</v>
      </c>
      <c r="S307" s="551">
        <f t="shared" si="153"/>
        <v>7.5</v>
      </c>
      <c r="T307" s="551">
        <f t="shared" si="153"/>
        <v>0</v>
      </c>
      <c r="U307" s="551">
        <f t="shared" si="153"/>
        <v>12</v>
      </c>
      <c r="V307" s="551">
        <f t="shared" si="153"/>
        <v>0</v>
      </c>
      <c r="W307" s="551">
        <f t="shared" si="153"/>
        <v>0</v>
      </c>
      <c r="X307" s="551">
        <f t="shared" si="153"/>
        <v>0</v>
      </c>
      <c r="Y307" s="432">
        <f t="shared" si="150"/>
        <v>33.119999999999997</v>
      </c>
      <c r="Z307" s="538">
        <f>'MF Pricing'!F127</f>
        <v>35</v>
      </c>
      <c r="AA307" s="394">
        <f t="shared" si="151"/>
        <v>1159.1999999999998</v>
      </c>
      <c r="AB307" s="208"/>
      <c r="AC307" s="208"/>
    </row>
    <row r="308" spans="3:29" outlineLevel="1">
      <c r="C308" s="200" t="s">
        <v>1042</v>
      </c>
      <c r="D308" s="433" t="str">
        <f t="shared" si="148"/>
        <v>7</v>
      </c>
      <c r="E308" s="200" t="s">
        <v>1037</v>
      </c>
      <c r="F308" s="551">
        <f t="shared" ref="F308:X308" si="154">F297*(1-1/inp_floors)*$L$2</f>
        <v>0</v>
      </c>
      <c r="G308" s="551">
        <f t="shared" si="154"/>
        <v>12</v>
      </c>
      <c r="H308" s="551">
        <f t="shared" si="154"/>
        <v>0</v>
      </c>
      <c r="I308" s="551">
        <f t="shared" si="154"/>
        <v>3</v>
      </c>
      <c r="J308" s="551">
        <f t="shared" si="154"/>
        <v>2.25</v>
      </c>
      <c r="K308" s="551">
        <f t="shared" si="154"/>
        <v>2.25</v>
      </c>
      <c r="L308" s="551">
        <f t="shared" si="154"/>
        <v>18.75</v>
      </c>
      <c r="M308" s="551">
        <f t="shared" si="154"/>
        <v>22.5</v>
      </c>
      <c r="N308" s="551">
        <f t="shared" si="154"/>
        <v>14.25</v>
      </c>
      <c r="O308" s="551">
        <f t="shared" si="154"/>
        <v>33.75</v>
      </c>
      <c r="P308" s="551">
        <f t="shared" si="154"/>
        <v>17.25</v>
      </c>
      <c r="Q308" s="551">
        <f t="shared" si="154"/>
        <v>14.25</v>
      </c>
      <c r="R308" s="551">
        <f t="shared" si="154"/>
        <v>39.75</v>
      </c>
      <c r="S308" s="551">
        <f t="shared" si="154"/>
        <v>38.25</v>
      </c>
      <c r="T308" s="551">
        <f t="shared" si="154"/>
        <v>15</v>
      </c>
      <c r="U308" s="551">
        <f t="shared" si="154"/>
        <v>25.5</v>
      </c>
      <c r="V308" s="551">
        <f t="shared" si="154"/>
        <v>0</v>
      </c>
      <c r="W308" s="551">
        <f t="shared" si="154"/>
        <v>0</v>
      </c>
      <c r="X308" s="551">
        <f t="shared" si="154"/>
        <v>0</v>
      </c>
      <c r="Y308" s="432">
        <f t="shared" si="150"/>
        <v>304.27199999999999</v>
      </c>
      <c r="Z308" s="538">
        <f>'MF Pricing'!F128</f>
        <v>45.25</v>
      </c>
      <c r="AA308" s="394">
        <f t="shared" si="151"/>
        <v>13768.307999999999</v>
      </c>
      <c r="AB308" s="208"/>
      <c r="AC308" s="208"/>
    </row>
    <row r="309" spans="3:29" outlineLevel="1">
      <c r="C309" s="200" t="s">
        <v>1044</v>
      </c>
      <c r="D309" s="433" t="str">
        <f t="shared" si="148"/>
        <v>8</v>
      </c>
      <c r="E309" s="200" t="s">
        <v>1037</v>
      </c>
      <c r="F309" s="551">
        <f t="shared" ref="F309:X309" si="155">F298*(1-1/inp_floors)*$L$2</f>
        <v>0</v>
      </c>
      <c r="G309" s="551">
        <f t="shared" si="155"/>
        <v>1.5</v>
      </c>
      <c r="H309" s="551">
        <f t="shared" si="155"/>
        <v>0</v>
      </c>
      <c r="I309" s="551">
        <f t="shared" si="155"/>
        <v>8.25</v>
      </c>
      <c r="J309" s="551">
        <f t="shared" si="155"/>
        <v>3.75</v>
      </c>
      <c r="K309" s="551">
        <f t="shared" si="155"/>
        <v>3.75</v>
      </c>
      <c r="L309" s="551">
        <f t="shared" si="155"/>
        <v>3.75</v>
      </c>
      <c r="M309" s="551">
        <f t="shared" si="155"/>
        <v>3.75</v>
      </c>
      <c r="N309" s="551">
        <f t="shared" si="155"/>
        <v>25.5</v>
      </c>
      <c r="O309" s="551">
        <f t="shared" si="155"/>
        <v>11.25</v>
      </c>
      <c r="P309" s="551">
        <f t="shared" si="155"/>
        <v>14.25</v>
      </c>
      <c r="Q309" s="551">
        <f t="shared" si="155"/>
        <v>12.75</v>
      </c>
      <c r="R309" s="551">
        <f t="shared" si="155"/>
        <v>0</v>
      </c>
      <c r="S309" s="551">
        <f t="shared" si="155"/>
        <v>15</v>
      </c>
      <c r="T309" s="551">
        <f t="shared" si="155"/>
        <v>34.5</v>
      </c>
      <c r="U309" s="551">
        <f t="shared" si="155"/>
        <v>22.5</v>
      </c>
      <c r="V309" s="551">
        <f t="shared" si="155"/>
        <v>0</v>
      </c>
      <c r="W309" s="551">
        <f t="shared" si="155"/>
        <v>0</v>
      </c>
      <c r="X309" s="551">
        <f t="shared" si="155"/>
        <v>0</v>
      </c>
      <c r="Y309" s="432">
        <f t="shared" si="150"/>
        <v>170.02799999999999</v>
      </c>
      <c r="Z309" s="538">
        <f>'MF Pricing'!F129</f>
        <v>49</v>
      </c>
      <c r="AA309" s="394">
        <f t="shared" si="151"/>
        <v>8331.3719999999994</v>
      </c>
      <c r="AB309" s="208"/>
      <c r="AC309" s="208"/>
    </row>
    <row r="310" spans="3:29" outlineLevel="1">
      <c r="C310" s="200" t="s">
        <v>1046</v>
      </c>
      <c r="D310" s="433" t="str">
        <f t="shared" si="148"/>
        <v>9</v>
      </c>
      <c r="E310" s="200" t="s">
        <v>1037</v>
      </c>
      <c r="F310" s="551">
        <f t="shared" ref="F310:X310" si="156">F299*(1-1/inp_floors)*$L$2</f>
        <v>6</v>
      </c>
      <c r="G310" s="551">
        <f t="shared" si="156"/>
        <v>0</v>
      </c>
      <c r="H310" s="551">
        <f t="shared" si="156"/>
        <v>9.75</v>
      </c>
      <c r="I310" s="551">
        <f t="shared" si="156"/>
        <v>0</v>
      </c>
      <c r="J310" s="551">
        <f t="shared" si="156"/>
        <v>0</v>
      </c>
      <c r="K310" s="551">
        <f t="shared" si="156"/>
        <v>0</v>
      </c>
      <c r="L310" s="551">
        <f t="shared" si="156"/>
        <v>0</v>
      </c>
      <c r="M310" s="551">
        <f t="shared" si="156"/>
        <v>0</v>
      </c>
      <c r="N310" s="551">
        <f t="shared" si="156"/>
        <v>0</v>
      </c>
      <c r="O310" s="551">
        <f t="shared" si="156"/>
        <v>0</v>
      </c>
      <c r="P310" s="551">
        <f t="shared" si="156"/>
        <v>12</v>
      </c>
      <c r="Q310" s="551">
        <f t="shared" si="156"/>
        <v>29.25</v>
      </c>
      <c r="R310" s="551">
        <f t="shared" si="156"/>
        <v>16.5</v>
      </c>
      <c r="S310" s="551">
        <f t="shared" si="156"/>
        <v>11.25</v>
      </c>
      <c r="T310" s="551">
        <f t="shared" si="156"/>
        <v>0</v>
      </c>
      <c r="U310" s="551">
        <f t="shared" si="156"/>
        <v>0</v>
      </c>
      <c r="V310" s="551">
        <f t="shared" si="156"/>
        <v>0</v>
      </c>
      <c r="W310" s="551">
        <f t="shared" si="156"/>
        <v>0</v>
      </c>
      <c r="X310" s="551">
        <f t="shared" si="156"/>
        <v>0</v>
      </c>
      <c r="Y310" s="432">
        <f t="shared" si="150"/>
        <v>78.335999999999999</v>
      </c>
      <c r="Z310" s="538">
        <f>'MF Pricing'!F130</f>
        <v>47</v>
      </c>
      <c r="AA310" s="394">
        <f t="shared" si="151"/>
        <v>3681.7919999999999</v>
      </c>
      <c r="AB310" s="208"/>
      <c r="AC310" s="208"/>
    </row>
    <row r="311" spans="3:29" outlineLevel="1">
      <c r="C311" s="200" t="s">
        <v>1048</v>
      </c>
      <c r="D311" s="433" t="str">
        <f t="shared" si="148"/>
        <v>10</v>
      </c>
      <c r="E311" s="200" t="s">
        <v>1037</v>
      </c>
      <c r="F311" s="551">
        <f t="shared" ref="F311:X311" si="157">F300*(1-1/inp_floors)*$L$2</f>
        <v>0</v>
      </c>
      <c r="G311" s="551">
        <f t="shared" si="157"/>
        <v>0</v>
      </c>
      <c r="H311" s="551">
        <f t="shared" si="157"/>
        <v>0</v>
      </c>
      <c r="I311" s="551">
        <f t="shared" si="157"/>
        <v>10.5</v>
      </c>
      <c r="J311" s="551">
        <f t="shared" si="157"/>
        <v>6</v>
      </c>
      <c r="K311" s="551">
        <f t="shared" si="157"/>
        <v>5.25</v>
      </c>
      <c r="L311" s="551">
        <f t="shared" si="157"/>
        <v>5.25</v>
      </c>
      <c r="M311" s="551">
        <f t="shared" si="157"/>
        <v>5.25</v>
      </c>
      <c r="N311" s="551">
        <f t="shared" si="157"/>
        <v>0</v>
      </c>
      <c r="O311" s="551">
        <f t="shared" si="157"/>
        <v>0</v>
      </c>
      <c r="P311" s="551">
        <f t="shared" si="157"/>
        <v>0</v>
      </c>
      <c r="Q311" s="551">
        <f t="shared" si="157"/>
        <v>0</v>
      </c>
      <c r="R311" s="551">
        <f t="shared" si="157"/>
        <v>0</v>
      </c>
      <c r="S311" s="551">
        <f t="shared" si="157"/>
        <v>0</v>
      </c>
      <c r="T311" s="551">
        <f t="shared" si="157"/>
        <v>0</v>
      </c>
      <c r="U311" s="551">
        <f t="shared" si="157"/>
        <v>0</v>
      </c>
      <c r="V311" s="551">
        <f t="shared" si="157"/>
        <v>0</v>
      </c>
      <c r="W311" s="551">
        <f t="shared" si="157"/>
        <v>0</v>
      </c>
      <c r="X311" s="551">
        <f t="shared" si="157"/>
        <v>0</v>
      </c>
      <c r="Y311" s="432">
        <f t="shared" si="150"/>
        <v>32.975999999999999</v>
      </c>
      <c r="Z311" s="538">
        <f>'MF Pricing'!F131</f>
        <v>50</v>
      </c>
      <c r="AA311" s="394">
        <f t="shared" si="151"/>
        <v>1648.8</v>
      </c>
      <c r="AB311" s="208"/>
      <c r="AC311" s="208"/>
    </row>
    <row r="312" spans="3:29" outlineLevel="1">
      <c r="C312" s="200" t="s">
        <v>1050</v>
      </c>
      <c r="D312" s="433" t="str">
        <f t="shared" si="148"/>
        <v>12</v>
      </c>
      <c r="E312" s="200" t="s">
        <v>1037</v>
      </c>
      <c r="F312" s="551">
        <f t="shared" ref="F312:X312" si="158">F301*(1-1/inp_floors)*$L$2</f>
        <v>1.5</v>
      </c>
      <c r="G312" s="551">
        <f t="shared" si="158"/>
        <v>0</v>
      </c>
      <c r="H312" s="551">
        <f t="shared" si="158"/>
        <v>0</v>
      </c>
      <c r="I312" s="551">
        <f t="shared" si="158"/>
        <v>0</v>
      </c>
      <c r="J312" s="551">
        <f t="shared" si="158"/>
        <v>0</v>
      </c>
      <c r="K312" s="551">
        <f t="shared" si="158"/>
        <v>0</v>
      </c>
      <c r="L312" s="551">
        <f t="shared" si="158"/>
        <v>0</v>
      </c>
      <c r="M312" s="551">
        <f t="shared" si="158"/>
        <v>0</v>
      </c>
      <c r="N312" s="551">
        <f t="shared" si="158"/>
        <v>0</v>
      </c>
      <c r="O312" s="551">
        <f t="shared" si="158"/>
        <v>0</v>
      </c>
      <c r="P312" s="551">
        <f t="shared" si="158"/>
        <v>0</v>
      </c>
      <c r="Q312" s="551">
        <f t="shared" si="158"/>
        <v>0</v>
      </c>
      <c r="R312" s="551">
        <f t="shared" si="158"/>
        <v>0</v>
      </c>
      <c r="S312" s="551">
        <f t="shared" si="158"/>
        <v>0</v>
      </c>
      <c r="T312" s="551">
        <f t="shared" si="158"/>
        <v>0</v>
      </c>
      <c r="U312" s="551">
        <f t="shared" si="158"/>
        <v>0</v>
      </c>
      <c r="V312" s="551">
        <f t="shared" si="158"/>
        <v>0</v>
      </c>
      <c r="W312" s="551">
        <f t="shared" si="158"/>
        <v>0</v>
      </c>
      <c r="X312" s="551">
        <f t="shared" si="158"/>
        <v>0</v>
      </c>
      <c r="Y312" s="432">
        <f t="shared" si="150"/>
        <v>0.57599999999999996</v>
      </c>
      <c r="Z312" s="538">
        <f>'MF Pricing'!F132</f>
        <v>66</v>
      </c>
      <c r="AA312" s="394">
        <f t="shared" si="151"/>
        <v>38.015999999999998</v>
      </c>
      <c r="AB312" s="208"/>
      <c r="AC312" s="208"/>
    </row>
    <row r="313" spans="3:29" outlineLevel="1">
      <c r="C313" s="200" t="s">
        <v>1052</v>
      </c>
      <c r="D313" s="433" t="str">
        <f t="shared" si="148"/>
        <v>14</v>
      </c>
      <c r="E313" s="200" t="s">
        <v>1037</v>
      </c>
      <c r="F313" s="551">
        <f t="shared" ref="F313:X313" si="159">F302*(1-1/inp_floors)*$L$2</f>
        <v>0</v>
      </c>
      <c r="G313" s="551">
        <f t="shared" si="159"/>
        <v>0</v>
      </c>
      <c r="H313" s="551">
        <f t="shared" si="159"/>
        <v>0</v>
      </c>
      <c r="I313" s="551">
        <f t="shared" si="159"/>
        <v>0</v>
      </c>
      <c r="J313" s="551">
        <f t="shared" si="159"/>
        <v>0</v>
      </c>
      <c r="K313" s="551">
        <f t="shared" si="159"/>
        <v>0</v>
      </c>
      <c r="L313" s="551">
        <f t="shared" si="159"/>
        <v>0</v>
      </c>
      <c r="M313" s="551">
        <f t="shared" si="159"/>
        <v>0</v>
      </c>
      <c r="N313" s="551">
        <f t="shared" si="159"/>
        <v>0</v>
      </c>
      <c r="O313" s="551">
        <f t="shared" si="159"/>
        <v>0</v>
      </c>
      <c r="P313" s="551">
        <f t="shared" si="159"/>
        <v>0</v>
      </c>
      <c r="Q313" s="551">
        <f t="shared" si="159"/>
        <v>0</v>
      </c>
      <c r="R313" s="551">
        <f t="shared" si="159"/>
        <v>0</v>
      </c>
      <c r="S313" s="551">
        <f t="shared" si="159"/>
        <v>0</v>
      </c>
      <c r="T313" s="551">
        <f t="shared" si="159"/>
        <v>0</v>
      </c>
      <c r="U313" s="551">
        <f t="shared" si="159"/>
        <v>0</v>
      </c>
      <c r="V313" s="551">
        <f t="shared" si="159"/>
        <v>0</v>
      </c>
      <c r="W313" s="551">
        <f t="shared" si="159"/>
        <v>0</v>
      </c>
      <c r="X313" s="551">
        <f t="shared" si="159"/>
        <v>0</v>
      </c>
      <c r="Y313" s="432">
        <f t="shared" si="150"/>
        <v>0</v>
      </c>
      <c r="Z313" s="538">
        <f>'MF Pricing'!F133</f>
        <v>101</v>
      </c>
      <c r="AA313" s="394">
        <f t="shared" si="151"/>
        <v>0</v>
      </c>
      <c r="AB313" s="208"/>
      <c r="AC313" s="208"/>
    </row>
    <row r="314" spans="3:29" outlineLevel="1">
      <c r="C314" s="200" t="s">
        <v>1054</v>
      </c>
      <c r="D314" s="433" t="str">
        <f t="shared" si="148"/>
        <v>16</v>
      </c>
      <c r="E314" s="200" t="s">
        <v>1037</v>
      </c>
      <c r="F314" s="551">
        <f t="shared" ref="F314:X314" si="160">F303*(1-1/inp_floors)*$L$2</f>
        <v>0</v>
      </c>
      <c r="G314" s="551">
        <f t="shared" si="160"/>
        <v>0</v>
      </c>
      <c r="H314" s="551">
        <f t="shared" si="160"/>
        <v>0</v>
      </c>
      <c r="I314" s="551">
        <f t="shared" si="160"/>
        <v>0</v>
      </c>
      <c r="J314" s="551">
        <f t="shared" si="160"/>
        <v>0</v>
      </c>
      <c r="K314" s="551">
        <f t="shared" si="160"/>
        <v>0</v>
      </c>
      <c r="L314" s="551">
        <f t="shared" si="160"/>
        <v>0</v>
      </c>
      <c r="M314" s="551">
        <f t="shared" si="160"/>
        <v>0</v>
      </c>
      <c r="N314" s="551">
        <f t="shared" si="160"/>
        <v>0</v>
      </c>
      <c r="O314" s="551">
        <f t="shared" si="160"/>
        <v>0</v>
      </c>
      <c r="P314" s="551">
        <f t="shared" si="160"/>
        <v>0</v>
      </c>
      <c r="Q314" s="551">
        <f t="shared" si="160"/>
        <v>0</v>
      </c>
      <c r="R314" s="551">
        <f t="shared" si="160"/>
        <v>0</v>
      </c>
      <c r="S314" s="551">
        <f t="shared" si="160"/>
        <v>0</v>
      </c>
      <c r="T314" s="551">
        <f t="shared" si="160"/>
        <v>0</v>
      </c>
      <c r="U314" s="551">
        <f t="shared" si="160"/>
        <v>0</v>
      </c>
      <c r="V314" s="551">
        <f t="shared" si="160"/>
        <v>0</v>
      </c>
      <c r="W314" s="551">
        <f t="shared" si="160"/>
        <v>0</v>
      </c>
      <c r="X314" s="551">
        <f t="shared" si="160"/>
        <v>0</v>
      </c>
      <c r="Y314" s="432">
        <f t="shared" si="150"/>
        <v>0</v>
      </c>
      <c r="Z314" s="538">
        <f>'MF Pricing'!F134</f>
        <v>123</v>
      </c>
      <c r="AA314" s="394">
        <f t="shared" si="151"/>
        <v>0</v>
      </c>
      <c r="AB314" s="208"/>
      <c r="AC314" s="208"/>
    </row>
    <row r="315" spans="3:29" outlineLevel="1">
      <c r="C315" s="452" t="s">
        <v>1056</v>
      </c>
      <c r="D315" s="453" t="str">
        <f t="shared" si="148"/>
        <v>18</v>
      </c>
      <c r="E315" s="452" t="s">
        <v>1037</v>
      </c>
      <c r="F315" s="551">
        <f t="shared" ref="F315:X315" si="161">F304*(1-1/inp_floors)*$L$2</f>
        <v>0</v>
      </c>
      <c r="G315" s="551">
        <f t="shared" si="161"/>
        <v>0</v>
      </c>
      <c r="H315" s="551">
        <f t="shared" si="161"/>
        <v>0</v>
      </c>
      <c r="I315" s="551">
        <f t="shared" si="161"/>
        <v>0</v>
      </c>
      <c r="J315" s="551">
        <f t="shared" si="161"/>
        <v>0</v>
      </c>
      <c r="K315" s="551">
        <f t="shared" si="161"/>
        <v>0</v>
      </c>
      <c r="L315" s="551">
        <f t="shared" si="161"/>
        <v>0</v>
      </c>
      <c r="M315" s="551">
        <f t="shared" si="161"/>
        <v>0</v>
      </c>
      <c r="N315" s="551">
        <f t="shared" si="161"/>
        <v>0</v>
      </c>
      <c r="O315" s="551">
        <f t="shared" si="161"/>
        <v>0</v>
      </c>
      <c r="P315" s="551">
        <f t="shared" si="161"/>
        <v>0</v>
      </c>
      <c r="Q315" s="551">
        <f t="shared" si="161"/>
        <v>0</v>
      </c>
      <c r="R315" s="551">
        <f t="shared" si="161"/>
        <v>0</v>
      </c>
      <c r="S315" s="551">
        <f t="shared" si="161"/>
        <v>0</v>
      </c>
      <c r="T315" s="551">
        <f t="shared" si="161"/>
        <v>0</v>
      </c>
      <c r="U315" s="551">
        <f t="shared" si="161"/>
        <v>0</v>
      </c>
      <c r="V315" s="551">
        <f t="shared" si="161"/>
        <v>0</v>
      </c>
      <c r="W315" s="551">
        <f t="shared" si="161"/>
        <v>0</v>
      </c>
      <c r="X315" s="551">
        <f t="shared" si="161"/>
        <v>0</v>
      </c>
      <c r="Y315" s="451">
        <f t="shared" si="150"/>
        <v>0</v>
      </c>
      <c r="Z315" s="570">
        <f>'MF Pricing'!F135</f>
        <v>153</v>
      </c>
      <c r="AA315" s="343">
        <f t="shared" si="151"/>
        <v>0</v>
      </c>
      <c r="AB315" s="208"/>
      <c r="AC315" s="208"/>
    </row>
    <row r="316" spans="3:29" outlineLevel="1">
      <c r="C316" s="446"/>
      <c r="D316" s="569"/>
      <c r="E316" s="446" t="s">
        <v>1267</v>
      </c>
      <c r="F316" s="568">
        <f t="shared" ref="F316:X316" si="162">SUM(F305:F315)/25*1.2</f>
        <v>1.476</v>
      </c>
      <c r="G316" s="568">
        <f t="shared" si="162"/>
        <v>1.728</v>
      </c>
      <c r="H316" s="568">
        <f t="shared" si="162"/>
        <v>0.504</v>
      </c>
      <c r="I316" s="568">
        <f t="shared" si="162"/>
        <v>1.26</v>
      </c>
      <c r="J316" s="568">
        <f t="shared" si="162"/>
        <v>0.68399999999999994</v>
      </c>
      <c r="K316" s="568">
        <f t="shared" si="162"/>
        <v>0.64800000000000002</v>
      </c>
      <c r="L316" s="568">
        <f t="shared" si="162"/>
        <v>1.44</v>
      </c>
      <c r="M316" s="568">
        <f t="shared" si="162"/>
        <v>1.62</v>
      </c>
      <c r="N316" s="568">
        <f t="shared" si="162"/>
        <v>2.016</v>
      </c>
      <c r="O316" s="568">
        <f t="shared" si="162"/>
        <v>2.8439999999999999</v>
      </c>
      <c r="P316" s="568">
        <f t="shared" si="162"/>
        <v>2.4119999999999995</v>
      </c>
      <c r="Q316" s="568">
        <f t="shared" si="162"/>
        <v>2.88</v>
      </c>
      <c r="R316" s="568">
        <f t="shared" si="162"/>
        <v>3.0960000000000001</v>
      </c>
      <c r="S316" s="568">
        <f t="shared" si="162"/>
        <v>4.1399999999999997</v>
      </c>
      <c r="T316" s="568">
        <f t="shared" si="162"/>
        <v>3.8159999999999998</v>
      </c>
      <c r="U316" s="568">
        <f t="shared" si="162"/>
        <v>3.6719999999999997</v>
      </c>
      <c r="V316" s="568">
        <f t="shared" si="162"/>
        <v>0</v>
      </c>
      <c r="W316" s="568">
        <f t="shared" si="162"/>
        <v>0</v>
      </c>
      <c r="X316" s="567">
        <f t="shared" si="162"/>
        <v>0</v>
      </c>
      <c r="Y316" s="566"/>
      <c r="Z316" s="565"/>
      <c r="AA316" s="564"/>
      <c r="AB316" s="208"/>
      <c r="AC316" s="208"/>
    </row>
    <row r="317" spans="3:29" outlineLevel="1">
      <c r="C317" s="101"/>
      <c r="D317" s="563"/>
      <c r="E317" s="101" t="s">
        <v>1268</v>
      </c>
      <c r="F317" s="562">
        <f t="shared" ref="F317:X317" si="163">F316*F6</f>
        <v>11.808</v>
      </c>
      <c r="G317" s="562">
        <f t="shared" si="163"/>
        <v>27.648</v>
      </c>
      <c r="H317" s="562">
        <f t="shared" si="163"/>
        <v>4.032</v>
      </c>
      <c r="I317" s="562">
        <f t="shared" si="163"/>
        <v>23.94</v>
      </c>
      <c r="J317" s="562">
        <f t="shared" si="163"/>
        <v>32.831999999999994</v>
      </c>
      <c r="K317" s="562">
        <f t="shared" si="163"/>
        <v>2.5920000000000001</v>
      </c>
      <c r="L317" s="562">
        <f t="shared" si="163"/>
        <v>34.56</v>
      </c>
      <c r="M317" s="562">
        <f t="shared" si="163"/>
        <v>16.200000000000003</v>
      </c>
      <c r="N317" s="562">
        <f t="shared" si="163"/>
        <v>64.512</v>
      </c>
      <c r="O317" s="562">
        <f t="shared" si="163"/>
        <v>182.01599999999999</v>
      </c>
      <c r="P317" s="562">
        <f t="shared" si="163"/>
        <v>110.95199999999997</v>
      </c>
      <c r="Q317" s="562">
        <f t="shared" si="163"/>
        <v>46.08</v>
      </c>
      <c r="R317" s="562">
        <f t="shared" si="163"/>
        <v>74.304000000000002</v>
      </c>
      <c r="S317" s="562">
        <f t="shared" si="163"/>
        <v>33.119999999999997</v>
      </c>
      <c r="T317" s="562">
        <f t="shared" si="163"/>
        <v>30.527999999999999</v>
      </c>
      <c r="U317" s="562">
        <f t="shared" si="163"/>
        <v>40.391999999999996</v>
      </c>
      <c r="V317" s="562">
        <f t="shared" si="163"/>
        <v>0</v>
      </c>
      <c r="W317" s="562">
        <f t="shared" si="163"/>
        <v>0</v>
      </c>
      <c r="X317" s="561">
        <f t="shared" si="163"/>
        <v>0</v>
      </c>
      <c r="Y317" s="432"/>
      <c r="Z317" s="557"/>
      <c r="AA317" s="394"/>
      <c r="AB317" s="208"/>
      <c r="AC317" s="208"/>
    </row>
    <row r="318" spans="3:29" outlineLevel="1">
      <c r="C318" s="423" t="s">
        <v>1184</v>
      </c>
      <c r="D318" s="1"/>
      <c r="E318" s="536" t="s">
        <v>1185</v>
      </c>
      <c r="F318" s="535">
        <f t="shared" ref="F318:X318" si="164">IF(F$6=0,0,SUMPRODUCT(F$305:F$315,$Z$305:$Z$315)/25*1.2)</f>
        <v>57.347999999999999</v>
      </c>
      <c r="G318" s="534">
        <f t="shared" si="164"/>
        <v>67.391999999999996</v>
      </c>
      <c r="H318" s="534">
        <f t="shared" si="164"/>
        <v>23.255999999999997</v>
      </c>
      <c r="I318" s="534">
        <f t="shared" si="164"/>
        <v>58.679999999999993</v>
      </c>
      <c r="J318" s="534">
        <f t="shared" si="164"/>
        <v>31.634999999999998</v>
      </c>
      <c r="K318" s="534">
        <f t="shared" si="164"/>
        <v>29.835000000000001</v>
      </c>
      <c r="L318" s="534">
        <f t="shared" si="164"/>
        <v>65.673000000000002</v>
      </c>
      <c r="M318" s="534">
        <f t="shared" si="164"/>
        <v>73.817999999999998</v>
      </c>
      <c r="N318" s="534">
        <f t="shared" si="164"/>
        <v>94.706999999999994</v>
      </c>
      <c r="O318" s="534">
        <f t="shared" si="164"/>
        <v>123.705</v>
      </c>
      <c r="P318" s="534">
        <f t="shared" si="164"/>
        <v>109.395</v>
      </c>
      <c r="Q318" s="534">
        <f t="shared" si="164"/>
        <v>133.22699999999998</v>
      </c>
      <c r="R318" s="534">
        <f t="shared" si="164"/>
        <v>137.42099999999999</v>
      </c>
      <c r="S318" s="534">
        <f t="shared" si="164"/>
        <v>180.27899999999997</v>
      </c>
      <c r="T318" s="534">
        <f t="shared" si="164"/>
        <v>164.124</v>
      </c>
      <c r="U318" s="534">
        <f t="shared" si="164"/>
        <v>156.18600000000001</v>
      </c>
      <c r="V318" s="534">
        <f t="shared" si="164"/>
        <v>0</v>
      </c>
      <c r="W318" s="534">
        <f t="shared" si="164"/>
        <v>0</v>
      </c>
      <c r="X318" s="533">
        <f t="shared" si="164"/>
        <v>0</v>
      </c>
      <c r="Y318" s="432"/>
      <c r="Z318" s="532"/>
      <c r="AA318" s="394"/>
      <c r="AB318" s="208"/>
      <c r="AC318" s="208"/>
    </row>
    <row r="319" spans="3:29" outlineLevel="1">
      <c r="C319" s="423" t="s">
        <v>988</v>
      </c>
      <c r="D319" s="101"/>
      <c r="E319" s="447" t="s">
        <v>961</v>
      </c>
      <c r="F319" s="530">
        <f t="shared" ref="F319:X319" si="165">F318*F$6</f>
        <v>458.78399999999999</v>
      </c>
      <c r="G319" s="529">
        <f t="shared" si="165"/>
        <v>1078.2719999999999</v>
      </c>
      <c r="H319" s="529">
        <f t="shared" si="165"/>
        <v>186.04799999999997</v>
      </c>
      <c r="I319" s="529">
        <f t="shared" si="165"/>
        <v>1114.9199999999998</v>
      </c>
      <c r="J319" s="529">
        <f t="shared" si="165"/>
        <v>1518.48</v>
      </c>
      <c r="K319" s="529">
        <f t="shared" si="165"/>
        <v>119.34</v>
      </c>
      <c r="L319" s="529">
        <f t="shared" si="165"/>
        <v>1576.152</v>
      </c>
      <c r="M319" s="529">
        <f t="shared" si="165"/>
        <v>738.18</v>
      </c>
      <c r="N319" s="529">
        <f t="shared" si="165"/>
        <v>3030.6239999999998</v>
      </c>
      <c r="O319" s="529">
        <f t="shared" si="165"/>
        <v>7917.12</v>
      </c>
      <c r="P319" s="529">
        <f t="shared" si="165"/>
        <v>5032.17</v>
      </c>
      <c r="Q319" s="529">
        <f t="shared" si="165"/>
        <v>2131.6319999999996</v>
      </c>
      <c r="R319" s="529">
        <f t="shared" si="165"/>
        <v>3298.1039999999998</v>
      </c>
      <c r="S319" s="529">
        <f t="shared" si="165"/>
        <v>1442.2319999999997</v>
      </c>
      <c r="T319" s="529">
        <f t="shared" si="165"/>
        <v>1312.992</v>
      </c>
      <c r="U319" s="529">
        <f t="shared" si="165"/>
        <v>1718.046</v>
      </c>
      <c r="V319" s="529">
        <f t="shared" si="165"/>
        <v>0</v>
      </c>
      <c r="W319" s="529">
        <f t="shared" si="165"/>
        <v>0</v>
      </c>
      <c r="X319" s="528">
        <f t="shared" si="165"/>
        <v>0</v>
      </c>
      <c r="Y319" s="422">
        <f>SUM(Y305:Y315)</f>
        <v>735.51600000000008</v>
      </c>
      <c r="Z319" s="255"/>
      <c r="AA319" s="527">
        <f>SUM(F319:X319)</f>
        <v>32673.09599999999</v>
      </c>
      <c r="AB319" s="558">
        <v>0.15</v>
      </c>
      <c r="AC319" s="557">
        <f>AA319*AB319</f>
        <v>4900.964399999998</v>
      </c>
    </row>
    <row r="320" spans="3:29" outlineLevel="1">
      <c r="C320" s="448" t="s">
        <v>1035</v>
      </c>
      <c r="D320" s="449" t="str">
        <f t="shared" ref="D320:D330" si="166">D305</f>
        <v>4</v>
      </c>
      <c r="E320" s="448" t="s">
        <v>1058</v>
      </c>
      <c r="F320" s="551">
        <f t="shared" ref="F320:X320" si="167">F294*(1/inp_floors)*$L$2</f>
        <v>0</v>
      </c>
      <c r="G320" s="551">
        <f t="shared" si="167"/>
        <v>0</v>
      </c>
      <c r="H320" s="551">
        <f t="shared" si="167"/>
        <v>0</v>
      </c>
      <c r="I320" s="551">
        <f t="shared" si="167"/>
        <v>0</v>
      </c>
      <c r="J320" s="551">
        <f t="shared" si="167"/>
        <v>0.25</v>
      </c>
      <c r="K320" s="551">
        <f t="shared" si="167"/>
        <v>0.25</v>
      </c>
      <c r="L320" s="551">
        <f t="shared" si="167"/>
        <v>0.25</v>
      </c>
      <c r="M320" s="551">
        <f t="shared" si="167"/>
        <v>0.25</v>
      </c>
      <c r="N320" s="551">
        <f t="shared" si="167"/>
        <v>0</v>
      </c>
      <c r="O320" s="551">
        <f t="shared" si="167"/>
        <v>0</v>
      </c>
      <c r="P320" s="551">
        <f t="shared" si="167"/>
        <v>0</v>
      </c>
      <c r="Q320" s="551">
        <f t="shared" si="167"/>
        <v>0</v>
      </c>
      <c r="R320" s="551">
        <f t="shared" si="167"/>
        <v>0</v>
      </c>
      <c r="S320" s="551">
        <f t="shared" si="167"/>
        <v>0</v>
      </c>
      <c r="T320" s="551">
        <f t="shared" si="167"/>
        <v>0</v>
      </c>
      <c r="U320" s="551">
        <f t="shared" si="167"/>
        <v>0</v>
      </c>
      <c r="V320" s="551">
        <f t="shared" si="167"/>
        <v>0</v>
      </c>
      <c r="W320" s="551">
        <f t="shared" si="167"/>
        <v>0</v>
      </c>
      <c r="X320" s="551">
        <f t="shared" si="167"/>
        <v>0</v>
      </c>
      <c r="Y320" s="432">
        <f t="shared" ref="Y320:Y330" si="168">SUMPRODUCT($F320:$X320,$F$6:$X$6)*1.2/25</f>
        <v>1.032</v>
      </c>
      <c r="Z320" s="538">
        <f>'MF Pricing'!F136</f>
        <v>33.6</v>
      </c>
      <c r="AA320" s="394">
        <f t="shared" ref="AA320:AA330" si="169">Z320*Y320</f>
        <v>34.675200000000004</v>
      </c>
      <c r="AB320" s="208"/>
      <c r="AC320" s="208"/>
    </row>
    <row r="321" spans="3:29" outlineLevel="1">
      <c r="C321" s="200" t="s">
        <v>1038</v>
      </c>
      <c r="D321" s="433" t="str">
        <f t="shared" si="166"/>
        <v>5</v>
      </c>
      <c r="E321" s="200" t="s">
        <v>1058</v>
      </c>
      <c r="F321" s="551">
        <f t="shared" ref="F321:X321" si="170">F295*(1/inp_floors)*$L$2</f>
        <v>7.75</v>
      </c>
      <c r="G321" s="551">
        <f t="shared" si="170"/>
        <v>2</v>
      </c>
      <c r="H321" s="551">
        <f t="shared" si="170"/>
        <v>0.25</v>
      </c>
      <c r="I321" s="551">
        <f t="shared" si="170"/>
        <v>1.5</v>
      </c>
      <c r="J321" s="551">
        <f t="shared" si="170"/>
        <v>0</v>
      </c>
      <c r="K321" s="551">
        <f t="shared" si="170"/>
        <v>0</v>
      </c>
      <c r="L321" s="551">
        <f t="shared" si="170"/>
        <v>0</v>
      </c>
      <c r="M321" s="551">
        <f t="shared" si="170"/>
        <v>0</v>
      </c>
      <c r="N321" s="551">
        <f t="shared" si="170"/>
        <v>0.75</v>
      </c>
      <c r="O321" s="551">
        <f t="shared" si="170"/>
        <v>4.75</v>
      </c>
      <c r="P321" s="551">
        <f t="shared" si="170"/>
        <v>1.75</v>
      </c>
      <c r="Q321" s="551">
        <f t="shared" si="170"/>
        <v>1.25</v>
      </c>
      <c r="R321" s="551">
        <f t="shared" si="170"/>
        <v>2.25</v>
      </c>
      <c r="S321" s="551">
        <f t="shared" si="170"/>
        <v>4.75</v>
      </c>
      <c r="T321" s="551">
        <f t="shared" si="170"/>
        <v>10</v>
      </c>
      <c r="U321" s="551">
        <f t="shared" si="170"/>
        <v>5.5</v>
      </c>
      <c r="V321" s="551">
        <f t="shared" si="170"/>
        <v>0</v>
      </c>
      <c r="W321" s="551">
        <f t="shared" si="170"/>
        <v>0</v>
      </c>
      <c r="X321" s="551">
        <f t="shared" si="170"/>
        <v>0</v>
      </c>
      <c r="Y321" s="432">
        <f t="shared" si="168"/>
        <v>37.703999999999994</v>
      </c>
      <c r="Z321" s="538">
        <f>'MF Pricing'!F137</f>
        <v>42</v>
      </c>
      <c r="AA321" s="394">
        <f t="shared" si="169"/>
        <v>1583.5679999999998</v>
      </c>
      <c r="AB321" s="208"/>
      <c r="AC321" s="208"/>
    </row>
    <row r="322" spans="3:29" outlineLevel="1">
      <c r="C322" s="200" t="s">
        <v>1040</v>
      </c>
      <c r="D322" s="433" t="str">
        <f t="shared" si="166"/>
        <v>6</v>
      </c>
      <c r="E322" s="200" t="s">
        <v>1058</v>
      </c>
      <c r="F322" s="551">
        <f t="shared" ref="F322:X322" si="171">F296*(1/inp_floors)*$L$2</f>
        <v>0</v>
      </c>
      <c r="G322" s="551">
        <f t="shared" si="171"/>
        <v>5.5</v>
      </c>
      <c r="H322" s="551">
        <f t="shared" si="171"/>
        <v>0</v>
      </c>
      <c r="I322" s="551">
        <f t="shared" si="171"/>
        <v>0</v>
      </c>
      <c r="J322" s="551">
        <f t="shared" si="171"/>
        <v>0.5</v>
      </c>
      <c r="K322" s="551">
        <f t="shared" si="171"/>
        <v>0.5</v>
      </c>
      <c r="L322" s="551">
        <f t="shared" si="171"/>
        <v>0.5</v>
      </c>
      <c r="M322" s="551">
        <f t="shared" si="171"/>
        <v>0.5</v>
      </c>
      <c r="N322" s="551">
        <f t="shared" si="171"/>
        <v>0</v>
      </c>
      <c r="O322" s="551">
        <f t="shared" si="171"/>
        <v>0</v>
      </c>
      <c r="P322" s="551">
        <f t="shared" si="171"/>
        <v>0.5</v>
      </c>
      <c r="Q322" s="551">
        <f t="shared" si="171"/>
        <v>0</v>
      </c>
      <c r="R322" s="551">
        <f t="shared" si="171"/>
        <v>0.5</v>
      </c>
      <c r="S322" s="551">
        <f t="shared" si="171"/>
        <v>2.5</v>
      </c>
      <c r="T322" s="551">
        <f t="shared" si="171"/>
        <v>0</v>
      </c>
      <c r="U322" s="551">
        <f t="shared" si="171"/>
        <v>4</v>
      </c>
      <c r="V322" s="551">
        <f t="shared" si="171"/>
        <v>0</v>
      </c>
      <c r="W322" s="551">
        <f t="shared" si="171"/>
        <v>0</v>
      </c>
      <c r="X322" s="551">
        <f t="shared" si="171"/>
        <v>0</v>
      </c>
      <c r="Y322" s="432">
        <f t="shared" si="168"/>
        <v>11.04</v>
      </c>
      <c r="Z322" s="538">
        <f>'MF Pricing'!F138</f>
        <v>42</v>
      </c>
      <c r="AA322" s="394">
        <f t="shared" si="169"/>
        <v>463.67999999999995</v>
      </c>
      <c r="AB322" s="208"/>
      <c r="AC322" s="208"/>
    </row>
    <row r="323" spans="3:29" outlineLevel="1">
      <c r="C323" s="200" t="s">
        <v>1042</v>
      </c>
      <c r="D323" s="433" t="str">
        <f t="shared" si="166"/>
        <v>7</v>
      </c>
      <c r="E323" s="200" t="s">
        <v>1058</v>
      </c>
      <c r="F323" s="551">
        <f t="shared" ref="F323:Q323" si="172">F297*(1/inp_floors)*$L$2</f>
        <v>0</v>
      </c>
      <c r="G323" s="551">
        <f t="shared" si="172"/>
        <v>4</v>
      </c>
      <c r="H323" s="551">
        <f t="shared" si="172"/>
        <v>0</v>
      </c>
      <c r="I323" s="551">
        <f t="shared" si="172"/>
        <v>1</v>
      </c>
      <c r="J323" s="551">
        <f t="shared" si="172"/>
        <v>0.75</v>
      </c>
      <c r="K323" s="551">
        <f t="shared" si="172"/>
        <v>0.75</v>
      </c>
      <c r="L323" s="551">
        <f t="shared" si="172"/>
        <v>6.25</v>
      </c>
      <c r="M323" s="551">
        <f t="shared" si="172"/>
        <v>7.5</v>
      </c>
      <c r="N323" s="551">
        <f t="shared" si="172"/>
        <v>4.75</v>
      </c>
      <c r="O323" s="551">
        <f t="shared" si="172"/>
        <v>11.25</v>
      </c>
      <c r="P323" s="551">
        <f t="shared" si="172"/>
        <v>5.75</v>
      </c>
      <c r="Q323" s="551">
        <f t="shared" si="172"/>
        <v>4.75</v>
      </c>
      <c r="R323" s="551">
        <v>4</v>
      </c>
      <c r="S323" s="551">
        <f t="shared" ref="S323:X330" si="173">S297*(1/inp_floors)*$L$2</f>
        <v>12.75</v>
      </c>
      <c r="T323" s="551">
        <f t="shared" si="173"/>
        <v>5</v>
      </c>
      <c r="U323" s="551">
        <f t="shared" si="173"/>
        <v>8.5</v>
      </c>
      <c r="V323" s="551">
        <f t="shared" si="173"/>
        <v>0</v>
      </c>
      <c r="W323" s="551">
        <f t="shared" si="173"/>
        <v>0</v>
      </c>
      <c r="X323" s="551">
        <f t="shared" si="173"/>
        <v>0</v>
      </c>
      <c r="Y323" s="432">
        <f t="shared" si="168"/>
        <v>90.767999999999986</v>
      </c>
      <c r="Z323" s="538">
        <f>'MF Pricing'!F139</f>
        <v>54.3</v>
      </c>
      <c r="AA323" s="394">
        <f t="shared" si="169"/>
        <v>4928.7023999999992</v>
      </c>
      <c r="AB323" s="208"/>
      <c r="AC323" s="208"/>
    </row>
    <row r="324" spans="3:29" outlineLevel="1">
      <c r="C324" s="200" t="s">
        <v>1044</v>
      </c>
      <c r="D324" s="433" t="str">
        <f t="shared" si="166"/>
        <v>8</v>
      </c>
      <c r="E324" s="200" t="s">
        <v>1058</v>
      </c>
      <c r="F324" s="551">
        <f t="shared" ref="F324:Q324" si="174">F298*(1/inp_floors)*$L$2</f>
        <v>0</v>
      </c>
      <c r="G324" s="551">
        <f t="shared" si="174"/>
        <v>0.5</v>
      </c>
      <c r="H324" s="551">
        <f t="shared" si="174"/>
        <v>0</v>
      </c>
      <c r="I324" s="551">
        <f t="shared" si="174"/>
        <v>2.75</v>
      </c>
      <c r="J324" s="551">
        <f t="shared" si="174"/>
        <v>1.25</v>
      </c>
      <c r="K324" s="551">
        <f t="shared" si="174"/>
        <v>1.25</v>
      </c>
      <c r="L324" s="551">
        <f t="shared" si="174"/>
        <v>1.25</v>
      </c>
      <c r="M324" s="551">
        <f t="shared" si="174"/>
        <v>1.25</v>
      </c>
      <c r="N324" s="551">
        <f t="shared" si="174"/>
        <v>8.5</v>
      </c>
      <c r="O324" s="551">
        <f t="shared" si="174"/>
        <v>3.75</v>
      </c>
      <c r="P324" s="551">
        <f t="shared" si="174"/>
        <v>4.75</v>
      </c>
      <c r="Q324" s="551">
        <f t="shared" si="174"/>
        <v>4.25</v>
      </c>
      <c r="R324" s="551">
        <v>9</v>
      </c>
      <c r="S324" s="551">
        <f t="shared" si="173"/>
        <v>5</v>
      </c>
      <c r="T324" s="551">
        <f t="shared" si="173"/>
        <v>11.5</v>
      </c>
      <c r="U324" s="551">
        <f t="shared" si="173"/>
        <v>7.5</v>
      </c>
      <c r="V324" s="551">
        <f t="shared" si="173"/>
        <v>0</v>
      </c>
      <c r="W324" s="551">
        <f t="shared" si="173"/>
        <v>0</v>
      </c>
      <c r="X324" s="551">
        <f t="shared" si="173"/>
        <v>0</v>
      </c>
      <c r="Y324" s="432">
        <f t="shared" si="168"/>
        <v>67.043999999999997</v>
      </c>
      <c r="Z324" s="538">
        <f>'MF Pricing'!F140</f>
        <v>58.8</v>
      </c>
      <c r="AA324" s="394">
        <f t="shared" si="169"/>
        <v>3942.1871999999998</v>
      </c>
      <c r="AB324" s="208"/>
      <c r="AC324" s="208"/>
    </row>
    <row r="325" spans="3:29" outlineLevel="1">
      <c r="C325" s="200" t="s">
        <v>1046</v>
      </c>
      <c r="D325" s="433" t="str">
        <f t="shared" si="166"/>
        <v>9</v>
      </c>
      <c r="E325" s="200" t="s">
        <v>1058</v>
      </c>
      <c r="F325" s="551">
        <f t="shared" ref="F325:Q325" si="175">F299*(1/inp_floors)*$L$2</f>
        <v>2</v>
      </c>
      <c r="G325" s="551">
        <f t="shared" si="175"/>
        <v>0</v>
      </c>
      <c r="H325" s="551">
        <f t="shared" si="175"/>
        <v>3.25</v>
      </c>
      <c r="I325" s="551">
        <f t="shared" si="175"/>
        <v>0</v>
      </c>
      <c r="J325" s="551">
        <f t="shared" si="175"/>
        <v>0</v>
      </c>
      <c r="K325" s="551">
        <f t="shared" si="175"/>
        <v>0</v>
      </c>
      <c r="L325" s="551">
        <f t="shared" si="175"/>
        <v>0</v>
      </c>
      <c r="M325" s="551">
        <f t="shared" si="175"/>
        <v>0</v>
      </c>
      <c r="N325" s="551">
        <f t="shared" si="175"/>
        <v>0</v>
      </c>
      <c r="O325" s="551">
        <f t="shared" si="175"/>
        <v>0</v>
      </c>
      <c r="P325" s="551">
        <f t="shared" si="175"/>
        <v>4</v>
      </c>
      <c r="Q325" s="551">
        <f t="shared" si="175"/>
        <v>9.75</v>
      </c>
      <c r="R325" s="551">
        <f t="shared" ref="R325:R330" si="176">R299*(1/inp_floors)*$L$2</f>
        <v>5.5</v>
      </c>
      <c r="S325" s="551">
        <f t="shared" si="173"/>
        <v>3.75</v>
      </c>
      <c r="T325" s="551">
        <f t="shared" si="173"/>
        <v>0</v>
      </c>
      <c r="U325" s="551">
        <f t="shared" si="173"/>
        <v>0</v>
      </c>
      <c r="V325" s="551">
        <f t="shared" si="173"/>
        <v>0</v>
      </c>
      <c r="W325" s="551">
        <f t="shared" si="173"/>
        <v>0</v>
      </c>
      <c r="X325" s="551">
        <f t="shared" si="173"/>
        <v>0</v>
      </c>
      <c r="Y325" s="432">
        <f t="shared" si="168"/>
        <v>26.111999999999998</v>
      </c>
      <c r="Z325" s="538">
        <f>'MF Pricing'!F141</f>
        <v>56.4</v>
      </c>
      <c r="AA325" s="394">
        <f t="shared" si="169"/>
        <v>1472.7167999999999</v>
      </c>
      <c r="AB325" s="208"/>
      <c r="AC325" s="208"/>
    </row>
    <row r="326" spans="3:29" outlineLevel="1">
      <c r="C326" s="200" t="s">
        <v>1048</v>
      </c>
      <c r="D326" s="433" t="str">
        <f t="shared" si="166"/>
        <v>10</v>
      </c>
      <c r="E326" s="200" t="s">
        <v>1058</v>
      </c>
      <c r="F326" s="551">
        <f t="shared" ref="F326:Q326" si="177">F300*(1/inp_floors)*$L$2</f>
        <v>0</v>
      </c>
      <c r="G326" s="551">
        <f t="shared" si="177"/>
        <v>0</v>
      </c>
      <c r="H326" s="551">
        <f t="shared" si="177"/>
        <v>0</v>
      </c>
      <c r="I326" s="551">
        <f t="shared" si="177"/>
        <v>3.5</v>
      </c>
      <c r="J326" s="551">
        <f t="shared" si="177"/>
        <v>2</v>
      </c>
      <c r="K326" s="551">
        <f t="shared" si="177"/>
        <v>1.75</v>
      </c>
      <c r="L326" s="551">
        <f t="shared" si="177"/>
        <v>1.75</v>
      </c>
      <c r="M326" s="551">
        <f t="shared" si="177"/>
        <v>1.75</v>
      </c>
      <c r="N326" s="551">
        <f t="shared" si="177"/>
        <v>0</v>
      </c>
      <c r="O326" s="551">
        <f t="shared" si="177"/>
        <v>0</v>
      </c>
      <c r="P326" s="551">
        <f t="shared" si="177"/>
        <v>0</v>
      </c>
      <c r="Q326" s="551">
        <f t="shared" si="177"/>
        <v>0</v>
      </c>
      <c r="R326" s="551">
        <f t="shared" si="176"/>
        <v>0</v>
      </c>
      <c r="S326" s="551">
        <f t="shared" si="173"/>
        <v>0</v>
      </c>
      <c r="T326" s="551">
        <f t="shared" si="173"/>
        <v>0</v>
      </c>
      <c r="U326" s="551">
        <f t="shared" si="173"/>
        <v>0</v>
      </c>
      <c r="V326" s="551">
        <f t="shared" si="173"/>
        <v>0</v>
      </c>
      <c r="W326" s="551">
        <f t="shared" si="173"/>
        <v>0</v>
      </c>
      <c r="X326" s="551">
        <f t="shared" si="173"/>
        <v>0</v>
      </c>
      <c r="Y326" s="432">
        <f t="shared" si="168"/>
        <v>10.992000000000001</v>
      </c>
      <c r="Z326" s="538">
        <f>'MF Pricing'!F142</f>
        <v>60</v>
      </c>
      <c r="AA326" s="394">
        <f t="shared" si="169"/>
        <v>659.5200000000001</v>
      </c>
      <c r="AB326" s="208"/>
      <c r="AC326" s="208"/>
    </row>
    <row r="327" spans="3:29" outlineLevel="1">
      <c r="C327" s="200" t="s">
        <v>1050</v>
      </c>
      <c r="D327" s="433" t="str">
        <f t="shared" si="166"/>
        <v>12</v>
      </c>
      <c r="E327" s="200" t="s">
        <v>1058</v>
      </c>
      <c r="F327" s="551">
        <f t="shared" ref="F327:Q327" si="178">F301*(1/inp_floors)*$L$2</f>
        <v>0.5</v>
      </c>
      <c r="G327" s="551">
        <f t="shared" si="178"/>
        <v>0</v>
      </c>
      <c r="H327" s="551">
        <f t="shared" si="178"/>
        <v>0</v>
      </c>
      <c r="I327" s="551">
        <f t="shared" si="178"/>
        <v>0</v>
      </c>
      <c r="J327" s="551">
        <f t="shared" si="178"/>
        <v>0</v>
      </c>
      <c r="K327" s="551">
        <f t="shared" si="178"/>
        <v>0</v>
      </c>
      <c r="L327" s="551">
        <f t="shared" si="178"/>
        <v>0</v>
      </c>
      <c r="M327" s="551">
        <f t="shared" si="178"/>
        <v>0</v>
      </c>
      <c r="N327" s="551">
        <f t="shared" si="178"/>
        <v>0</v>
      </c>
      <c r="O327" s="551">
        <f t="shared" si="178"/>
        <v>0</v>
      </c>
      <c r="P327" s="551">
        <f t="shared" si="178"/>
        <v>0</v>
      </c>
      <c r="Q327" s="551">
        <f t="shared" si="178"/>
        <v>0</v>
      </c>
      <c r="R327" s="551">
        <f t="shared" si="176"/>
        <v>0</v>
      </c>
      <c r="S327" s="551">
        <f t="shared" si="173"/>
        <v>0</v>
      </c>
      <c r="T327" s="551">
        <f t="shared" si="173"/>
        <v>0</v>
      </c>
      <c r="U327" s="551">
        <f t="shared" si="173"/>
        <v>0</v>
      </c>
      <c r="V327" s="551">
        <f t="shared" si="173"/>
        <v>0</v>
      </c>
      <c r="W327" s="551">
        <f t="shared" si="173"/>
        <v>0</v>
      </c>
      <c r="X327" s="551">
        <f t="shared" si="173"/>
        <v>0</v>
      </c>
      <c r="Y327" s="432">
        <f t="shared" si="168"/>
        <v>0.192</v>
      </c>
      <c r="Z327" s="538">
        <f>'MF Pricing'!F143</f>
        <v>79.2</v>
      </c>
      <c r="AA327" s="394">
        <f t="shared" si="169"/>
        <v>15.2064</v>
      </c>
      <c r="AB327" s="208"/>
      <c r="AC327" s="208"/>
    </row>
    <row r="328" spans="3:29" outlineLevel="1">
      <c r="C328" s="200" t="s">
        <v>1052</v>
      </c>
      <c r="D328" s="433" t="str">
        <f t="shared" si="166"/>
        <v>14</v>
      </c>
      <c r="E328" s="200" t="s">
        <v>1058</v>
      </c>
      <c r="F328" s="551">
        <f t="shared" ref="F328:Q328" si="179">F302*(1/inp_floors)*$L$2</f>
        <v>0</v>
      </c>
      <c r="G328" s="551">
        <f t="shared" si="179"/>
        <v>0</v>
      </c>
      <c r="H328" s="551">
        <f t="shared" si="179"/>
        <v>0</v>
      </c>
      <c r="I328" s="551">
        <f t="shared" si="179"/>
        <v>0</v>
      </c>
      <c r="J328" s="551">
        <f t="shared" si="179"/>
        <v>0</v>
      </c>
      <c r="K328" s="551">
        <f t="shared" si="179"/>
        <v>0</v>
      </c>
      <c r="L328" s="551">
        <f t="shared" si="179"/>
        <v>0</v>
      </c>
      <c r="M328" s="551">
        <f t="shared" si="179"/>
        <v>0</v>
      </c>
      <c r="N328" s="551">
        <f t="shared" si="179"/>
        <v>0</v>
      </c>
      <c r="O328" s="551">
        <f t="shared" si="179"/>
        <v>0</v>
      </c>
      <c r="P328" s="551">
        <f t="shared" si="179"/>
        <v>0</v>
      </c>
      <c r="Q328" s="551">
        <f t="shared" si="179"/>
        <v>0</v>
      </c>
      <c r="R328" s="551">
        <f t="shared" si="176"/>
        <v>0</v>
      </c>
      <c r="S328" s="551">
        <f t="shared" si="173"/>
        <v>0</v>
      </c>
      <c r="T328" s="551">
        <f t="shared" si="173"/>
        <v>0</v>
      </c>
      <c r="U328" s="551">
        <f t="shared" si="173"/>
        <v>0</v>
      </c>
      <c r="V328" s="551">
        <f t="shared" si="173"/>
        <v>0</v>
      </c>
      <c r="W328" s="551">
        <f t="shared" si="173"/>
        <v>0</v>
      </c>
      <c r="X328" s="551">
        <f t="shared" si="173"/>
        <v>0</v>
      </c>
      <c r="Y328" s="432">
        <f t="shared" si="168"/>
        <v>0</v>
      </c>
      <c r="Z328" s="538">
        <f>'MF Pricing'!F144</f>
        <v>121.19999999999999</v>
      </c>
      <c r="AA328" s="394">
        <f t="shared" si="169"/>
        <v>0</v>
      </c>
      <c r="AB328" s="208"/>
      <c r="AC328" s="208"/>
    </row>
    <row r="329" spans="3:29" outlineLevel="1">
      <c r="C329" s="200" t="s">
        <v>1054</v>
      </c>
      <c r="D329" s="433" t="str">
        <f t="shared" si="166"/>
        <v>16</v>
      </c>
      <c r="E329" s="200" t="s">
        <v>1058</v>
      </c>
      <c r="F329" s="551">
        <f t="shared" ref="F329:Q329" si="180">F303*(1/inp_floors)*$L$2</f>
        <v>0</v>
      </c>
      <c r="G329" s="551">
        <f t="shared" si="180"/>
        <v>0</v>
      </c>
      <c r="H329" s="551">
        <f t="shared" si="180"/>
        <v>0</v>
      </c>
      <c r="I329" s="551">
        <f t="shared" si="180"/>
        <v>0</v>
      </c>
      <c r="J329" s="551">
        <f t="shared" si="180"/>
        <v>0</v>
      </c>
      <c r="K329" s="551">
        <f t="shared" si="180"/>
        <v>0</v>
      </c>
      <c r="L329" s="551">
        <f t="shared" si="180"/>
        <v>0</v>
      </c>
      <c r="M329" s="551">
        <f t="shared" si="180"/>
        <v>0</v>
      </c>
      <c r="N329" s="551">
        <f t="shared" si="180"/>
        <v>0</v>
      </c>
      <c r="O329" s="551">
        <f t="shared" si="180"/>
        <v>0</v>
      </c>
      <c r="P329" s="551">
        <f t="shared" si="180"/>
        <v>0</v>
      </c>
      <c r="Q329" s="551">
        <f t="shared" si="180"/>
        <v>0</v>
      </c>
      <c r="R329" s="551">
        <f t="shared" si="176"/>
        <v>0</v>
      </c>
      <c r="S329" s="551">
        <f t="shared" si="173"/>
        <v>0</v>
      </c>
      <c r="T329" s="551">
        <f t="shared" si="173"/>
        <v>0</v>
      </c>
      <c r="U329" s="551">
        <f t="shared" si="173"/>
        <v>0</v>
      </c>
      <c r="V329" s="551">
        <f t="shared" si="173"/>
        <v>0</v>
      </c>
      <c r="W329" s="551">
        <f t="shared" si="173"/>
        <v>0</v>
      </c>
      <c r="X329" s="551">
        <f t="shared" si="173"/>
        <v>0</v>
      </c>
      <c r="Y329" s="432">
        <f t="shared" si="168"/>
        <v>0</v>
      </c>
      <c r="Z329" s="538">
        <f>'MF Pricing'!F145</f>
        <v>147.6</v>
      </c>
      <c r="AA329" s="394">
        <f t="shared" si="169"/>
        <v>0</v>
      </c>
      <c r="AB329" s="208"/>
      <c r="AC329" s="208"/>
    </row>
    <row r="330" spans="3:29" outlineLevel="1">
      <c r="C330" s="200" t="s">
        <v>1056</v>
      </c>
      <c r="D330" s="433" t="str">
        <f t="shared" si="166"/>
        <v>18</v>
      </c>
      <c r="E330" s="200" t="s">
        <v>1058</v>
      </c>
      <c r="F330" s="551">
        <f t="shared" ref="F330:Q330" si="181">F304*(1/inp_floors)*$L$2</f>
        <v>0</v>
      </c>
      <c r="G330" s="551">
        <f t="shared" si="181"/>
        <v>0</v>
      </c>
      <c r="H330" s="551">
        <f t="shared" si="181"/>
        <v>0</v>
      </c>
      <c r="I330" s="551">
        <f t="shared" si="181"/>
        <v>0</v>
      </c>
      <c r="J330" s="551">
        <f t="shared" si="181"/>
        <v>0</v>
      </c>
      <c r="K330" s="551">
        <f t="shared" si="181"/>
        <v>0</v>
      </c>
      <c r="L330" s="551">
        <f t="shared" si="181"/>
        <v>0</v>
      </c>
      <c r="M330" s="551">
        <f t="shared" si="181"/>
        <v>0</v>
      </c>
      <c r="N330" s="551">
        <f t="shared" si="181"/>
        <v>0</v>
      </c>
      <c r="O330" s="551">
        <f t="shared" si="181"/>
        <v>0</v>
      </c>
      <c r="P330" s="551">
        <f t="shared" si="181"/>
        <v>0</v>
      </c>
      <c r="Q330" s="551">
        <f t="shared" si="181"/>
        <v>0</v>
      </c>
      <c r="R330" s="551">
        <f t="shared" si="176"/>
        <v>0</v>
      </c>
      <c r="S330" s="551">
        <f t="shared" si="173"/>
        <v>0</v>
      </c>
      <c r="T330" s="551">
        <f t="shared" si="173"/>
        <v>0</v>
      </c>
      <c r="U330" s="551">
        <f t="shared" si="173"/>
        <v>0</v>
      </c>
      <c r="V330" s="551">
        <f t="shared" si="173"/>
        <v>0</v>
      </c>
      <c r="W330" s="551">
        <f t="shared" si="173"/>
        <v>0</v>
      </c>
      <c r="X330" s="551">
        <f t="shared" si="173"/>
        <v>0</v>
      </c>
      <c r="Y330" s="432">
        <f t="shared" si="168"/>
        <v>0</v>
      </c>
      <c r="Z330" s="538">
        <f>'MF Pricing'!F146</f>
        <v>183.6</v>
      </c>
      <c r="AA330" s="394">
        <f t="shared" si="169"/>
        <v>0</v>
      </c>
      <c r="AB330" s="208"/>
      <c r="AC330" s="208"/>
    </row>
    <row r="331" spans="3:29" outlineLevel="1">
      <c r="C331" s="446"/>
      <c r="D331" s="569"/>
      <c r="E331" s="446" t="s">
        <v>1269</v>
      </c>
      <c r="F331" s="568">
        <f t="shared" ref="F331:X331" si="182">SUM(F320:F330)/25*1.2</f>
        <v>0.49199999999999994</v>
      </c>
      <c r="G331" s="568">
        <f t="shared" si="182"/>
        <v>0.57599999999999996</v>
      </c>
      <c r="H331" s="568">
        <f t="shared" si="182"/>
        <v>0.16800000000000001</v>
      </c>
      <c r="I331" s="568">
        <f t="shared" si="182"/>
        <v>0.42</v>
      </c>
      <c r="J331" s="568">
        <f t="shared" si="182"/>
        <v>0.22799999999999998</v>
      </c>
      <c r="K331" s="568">
        <f t="shared" si="182"/>
        <v>0.216</v>
      </c>
      <c r="L331" s="568">
        <f t="shared" si="182"/>
        <v>0.48</v>
      </c>
      <c r="M331" s="568">
        <f t="shared" si="182"/>
        <v>0.54</v>
      </c>
      <c r="N331" s="568">
        <f t="shared" si="182"/>
        <v>0.67200000000000004</v>
      </c>
      <c r="O331" s="568">
        <f t="shared" si="182"/>
        <v>0.94799999999999995</v>
      </c>
      <c r="P331" s="568">
        <f t="shared" si="182"/>
        <v>0.80400000000000005</v>
      </c>
      <c r="Q331" s="568">
        <f t="shared" si="182"/>
        <v>0.96</v>
      </c>
      <c r="R331" s="568">
        <f t="shared" si="182"/>
        <v>1.02</v>
      </c>
      <c r="S331" s="568">
        <f t="shared" si="182"/>
        <v>1.38</v>
      </c>
      <c r="T331" s="568">
        <f t="shared" si="182"/>
        <v>1.272</v>
      </c>
      <c r="U331" s="568">
        <f t="shared" si="182"/>
        <v>1.224</v>
      </c>
      <c r="V331" s="568">
        <f t="shared" si="182"/>
        <v>0</v>
      </c>
      <c r="W331" s="568">
        <f t="shared" si="182"/>
        <v>0</v>
      </c>
      <c r="X331" s="567">
        <f t="shared" si="182"/>
        <v>0</v>
      </c>
      <c r="Y331" s="566"/>
      <c r="Z331" s="565"/>
      <c r="AA331" s="564"/>
      <c r="AB331" s="208"/>
      <c r="AC331" s="208"/>
    </row>
    <row r="332" spans="3:29" outlineLevel="1">
      <c r="C332" s="101"/>
      <c r="D332" s="563"/>
      <c r="E332" s="101" t="s">
        <v>1270</v>
      </c>
      <c r="F332" s="562">
        <f t="shared" ref="F332:X332" ca="1" si="183">F331*F23</f>
        <v>0</v>
      </c>
      <c r="G332" s="562">
        <f t="shared" ca="1" si="183"/>
        <v>0</v>
      </c>
      <c r="H332" s="562">
        <f t="shared" ca="1" si="183"/>
        <v>0</v>
      </c>
      <c r="I332" s="562">
        <f t="shared" ca="1" si="183"/>
        <v>0</v>
      </c>
      <c r="J332" s="562">
        <f t="shared" ca="1" si="183"/>
        <v>0</v>
      </c>
      <c r="K332" s="562">
        <f t="shared" ca="1" si="183"/>
        <v>0</v>
      </c>
      <c r="L332" s="562">
        <f t="shared" ca="1" si="183"/>
        <v>0</v>
      </c>
      <c r="M332" s="562">
        <f t="shared" ca="1" si="183"/>
        <v>0</v>
      </c>
      <c r="N332" s="562">
        <f t="shared" ca="1" si="183"/>
        <v>0</v>
      </c>
      <c r="O332" s="562">
        <f t="shared" ca="1" si="183"/>
        <v>0</v>
      </c>
      <c r="P332" s="562">
        <f t="shared" ca="1" si="183"/>
        <v>0</v>
      </c>
      <c r="Q332" s="562">
        <f t="shared" ca="1" si="183"/>
        <v>0</v>
      </c>
      <c r="R332" s="562">
        <f t="shared" ca="1" si="183"/>
        <v>0</v>
      </c>
      <c r="S332" s="562">
        <f t="shared" ca="1" si="183"/>
        <v>0</v>
      </c>
      <c r="T332" s="562">
        <f t="shared" ca="1" si="183"/>
        <v>0</v>
      </c>
      <c r="U332" s="562">
        <f t="shared" ca="1" si="183"/>
        <v>0</v>
      </c>
      <c r="V332" s="562">
        <f t="shared" si="183"/>
        <v>0</v>
      </c>
      <c r="W332" s="562">
        <f t="shared" si="183"/>
        <v>0</v>
      </c>
      <c r="X332" s="561">
        <f t="shared" si="183"/>
        <v>0</v>
      </c>
      <c r="Y332" s="432"/>
      <c r="Z332" s="557"/>
      <c r="AA332" s="394"/>
      <c r="AB332" s="208"/>
      <c r="AC332" s="208"/>
    </row>
    <row r="333" spans="3:29" outlineLevel="1">
      <c r="C333" s="423" t="s">
        <v>1184</v>
      </c>
      <c r="D333" s="1"/>
      <c r="E333" s="536" t="s">
        <v>1185</v>
      </c>
      <c r="F333" s="535">
        <f t="shared" ref="F333:X333" si="184">IF(F$6=0,0,SUMPRODUCT(F$320:F$330,$Z$320:$Z$330)/25*1.2)</f>
        <v>22.9392</v>
      </c>
      <c r="G333" s="534">
        <f t="shared" si="184"/>
        <v>26.956800000000001</v>
      </c>
      <c r="H333" s="534">
        <f t="shared" si="184"/>
        <v>9.3023999999999987</v>
      </c>
      <c r="I333" s="534">
        <f t="shared" si="184"/>
        <v>23.471999999999998</v>
      </c>
      <c r="J333" s="534">
        <f t="shared" si="184"/>
        <v>12.654</v>
      </c>
      <c r="K333" s="534">
        <f t="shared" si="184"/>
        <v>11.933999999999999</v>
      </c>
      <c r="L333" s="534">
        <f t="shared" si="184"/>
        <v>26.269199999999998</v>
      </c>
      <c r="M333" s="534">
        <f t="shared" si="184"/>
        <v>29.527199999999997</v>
      </c>
      <c r="N333" s="534">
        <f t="shared" si="184"/>
        <v>37.882799999999996</v>
      </c>
      <c r="O333" s="534">
        <f t="shared" si="184"/>
        <v>49.481999999999999</v>
      </c>
      <c r="P333" s="534">
        <f t="shared" si="184"/>
        <v>43.758000000000003</v>
      </c>
      <c r="Q333" s="534">
        <f t="shared" si="184"/>
        <v>53.290799999999997</v>
      </c>
      <c r="R333" s="534">
        <f t="shared" si="184"/>
        <v>56.260799999999989</v>
      </c>
      <c r="S333" s="534">
        <f t="shared" si="184"/>
        <v>72.111599999999981</v>
      </c>
      <c r="T333" s="534">
        <f t="shared" si="184"/>
        <v>65.649599999999992</v>
      </c>
      <c r="U333" s="534">
        <f t="shared" si="184"/>
        <v>62.474399999999996</v>
      </c>
      <c r="V333" s="534">
        <f t="shared" si="184"/>
        <v>0</v>
      </c>
      <c r="W333" s="534">
        <f t="shared" si="184"/>
        <v>0</v>
      </c>
      <c r="X333" s="533">
        <f t="shared" si="184"/>
        <v>0</v>
      </c>
      <c r="Y333" s="432"/>
      <c r="Z333" s="532"/>
      <c r="AA333" s="394"/>
      <c r="AB333" s="208"/>
      <c r="AC333" s="208"/>
    </row>
    <row r="334" spans="3:29" ht="18.95" customHeight="1" outlineLevel="1">
      <c r="C334" s="423" t="s">
        <v>988</v>
      </c>
      <c r="D334" s="101"/>
      <c r="E334" s="447" t="s">
        <v>961</v>
      </c>
      <c r="F334" s="530">
        <f t="shared" ref="F334:X334" si="185">F333*F$6</f>
        <v>183.5136</v>
      </c>
      <c r="G334" s="529">
        <f t="shared" si="185"/>
        <v>431.30880000000002</v>
      </c>
      <c r="H334" s="529">
        <f t="shared" si="185"/>
        <v>74.419199999999989</v>
      </c>
      <c r="I334" s="529">
        <f t="shared" si="185"/>
        <v>445.96799999999996</v>
      </c>
      <c r="J334" s="529">
        <f t="shared" si="185"/>
        <v>607.39200000000005</v>
      </c>
      <c r="K334" s="529">
        <f t="shared" si="185"/>
        <v>47.735999999999997</v>
      </c>
      <c r="L334" s="529">
        <f t="shared" si="185"/>
        <v>630.46079999999995</v>
      </c>
      <c r="M334" s="529">
        <f t="shared" si="185"/>
        <v>295.27199999999999</v>
      </c>
      <c r="N334" s="529">
        <f t="shared" si="185"/>
        <v>1212.2495999999999</v>
      </c>
      <c r="O334" s="529">
        <f t="shared" si="185"/>
        <v>3166.848</v>
      </c>
      <c r="P334" s="529">
        <f t="shared" si="185"/>
        <v>2012.8680000000002</v>
      </c>
      <c r="Q334" s="529">
        <f t="shared" si="185"/>
        <v>852.65279999999996</v>
      </c>
      <c r="R334" s="529">
        <f t="shared" si="185"/>
        <v>1350.2591999999997</v>
      </c>
      <c r="S334" s="529">
        <f t="shared" si="185"/>
        <v>576.89279999999985</v>
      </c>
      <c r="T334" s="529">
        <f t="shared" si="185"/>
        <v>525.19679999999994</v>
      </c>
      <c r="U334" s="529">
        <f t="shared" si="185"/>
        <v>687.21839999999997</v>
      </c>
      <c r="V334" s="529">
        <f t="shared" si="185"/>
        <v>0</v>
      </c>
      <c r="W334" s="529">
        <f t="shared" si="185"/>
        <v>0</v>
      </c>
      <c r="X334" s="528">
        <f t="shared" si="185"/>
        <v>0</v>
      </c>
      <c r="Y334" s="422">
        <f>SUM(Y320:Y330)</f>
        <v>244.88399999999996</v>
      </c>
      <c r="Z334" s="255"/>
      <c r="AA334" s="527">
        <f>SUM(F334:X334)</f>
        <v>13100.255999999999</v>
      </c>
      <c r="AB334" s="558">
        <v>0.15</v>
      </c>
      <c r="AC334" s="557">
        <f>AA334*AB334</f>
        <v>1965.0383999999999</v>
      </c>
    </row>
    <row r="335" spans="3:29">
      <c r="C335" s="96" t="s">
        <v>996</v>
      </c>
      <c r="D335" s="940" t="s">
        <v>1271</v>
      </c>
      <c r="E335" s="940"/>
      <c r="F335" s="62"/>
      <c r="G335" s="62"/>
      <c r="H335" s="62"/>
      <c r="I335" s="62"/>
      <c r="J335" s="62"/>
      <c r="K335" s="62"/>
      <c r="L335" s="62"/>
      <c r="M335" s="62"/>
      <c r="N335" s="62"/>
      <c r="O335" s="62"/>
      <c r="P335" s="62"/>
      <c r="Q335" s="62"/>
      <c r="R335" s="62"/>
      <c r="S335" s="62"/>
      <c r="T335" s="62"/>
      <c r="U335" s="62"/>
      <c r="V335" s="62"/>
      <c r="W335" s="62"/>
      <c r="X335" s="62"/>
      <c r="Y335" s="437" t="s">
        <v>948</v>
      </c>
      <c r="Z335" s="92" t="s">
        <v>949</v>
      </c>
      <c r="AA335" s="541" t="s">
        <v>950</v>
      </c>
      <c r="AB335" s="208"/>
      <c r="AC335" s="208"/>
    </row>
    <row r="336" spans="3:29">
      <c r="D336" s="75"/>
      <c r="E336" s="1" t="s">
        <v>968</v>
      </c>
      <c r="F336" s="547"/>
      <c r="G336" s="546"/>
      <c r="H336" s="546">
        <v>0</v>
      </c>
      <c r="I336" s="546">
        <v>1</v>
      </c>
      <c r="J336" s="546">
        <v>1</v>
      </c>
      <c r="K336" s="546">
        <v>1</v>
      </c>
      <c r="L336" s="546">
        <v>1</v>
      </c>
      <c r="M336" s="546">
        <v>1</v>
      </c>
      <c r="N336" s="546">
        <v>0</v>
      </c>
      <c r="O336" s="546">
        <v>0</v>
      </c>
      <c r="P336" s="546">
        <v>1</v>
      </c>
      <c r="Q336" s="546">
        <v>2</v>
      </c>
      <c r="R336" s="546">
        <v>1</v>
      </c>
      <c r="S336" s="546"/>
      <c r="T336" s="546">
        <v>0</v>
      </c>
      <c r="U336" s="546">
        <v>1</v>
      </c>
      <c r="V336" s="546"/>
      <c r="W336" s="546"/>
      <c r="X336" s="545"/>
      <c r="Y336" s="432">
        <f>SUMPRODUCT($F336:$X336,$F$6:$X$6)</f>
        <v>218</v>
      </c>
      <c r="Z336" s="538">
        <f>'MF Pricing'!F148</f>
        <v>8</v>
      </c>
      <c r="AA336" s="537">
        <f>Y336*Z336</f>
        <v>1744</v>
      </c>
      <c r="AB336" s="208"/>
      <c r="AC336" s="208"/>
    </row>
    <row r="337" spans="2:29" outlineLevel="1">
      <c r="C337" s="423" t="s">
        <v>1184</v>
      </c>
      <c r="D337" s="1"/>
      <c r="E337" s="536" t="s">
        <v>1185</v>
      </c>
      <c r="F337" s="535">
        <f t="shared" ref="F337:X337" si="186">IF(F$6=0,0,F336*$Z336)</f>
        <v>0</v>
      </c>
      <c r="G337" s="534">
        <f t="shared" si="186"/>
        <v>0</v>
      </c>
      <c r="H337" s="534">
        <f t="shared" si="186"/>
        <v>0</v>
      </c>
      <c r="I337" s="534">
        <f t="shared" si="186"/>
        <v>8</v>
      </c>
      <c r="J337" s="534">
        <f t="shared" si="186"/>
        <v>8</v>
      </c>
      <c r="K337" s="534">
        <f t="shared" si="186"/>
        <v>8</v>
      </c>
      <c r="L337" s="534">
        <f t="shared" si="186"/>
        <v>8</v>
      </c>
      <c r="M337" s="534">
        <f t="shared" si="186"/>
        <v>8</v>
      </c>
      <c r="N337" s="534">
        <f t="shared" si="186"/>
        <v>0</v>
      </c>
      <c r="O337" s="534">
        <f t="shared" si="186"/>
        <v>0</v>
      </c>
      <c r="P337" s="534">
        <f t="shared" si="186"/>
        <v>8</v>
      </c>
      <c r="Q337" s="534">
        <f t="shared" si="186"/>
        <v>16</v>
      </c>
      <c r="R337" s="534">
        <f t="shared" si="186"/>
        <v>8</v>
      </c>
      <c r="S337" s="534">
        <f t="shared" si="186"/>
        <v>0</v>
      </c>
      <c r="T337" s="534">
        <f t="shared" si="186"/>
        <v>0</v>
      </c>
      <c r="U337" s="534">
        <f t="shared" si="186"/>
        <v>8</v>
      </c>
      <c r="V337" s="534">
        <f t="shared" si="186"/>
        <v>0</v>
      </c>
      <c r="W337" s="534">
        <f t="shared" si="186"/>
        <v>0</v>
      </c>
      <c r="X337" s="533">
        <f t="shared" si="186"/>
        <v>0</v>
      </c>
      <c r="Y337" s="432"/>
      <c r="Z337" s="532"/>
      <c r="AA337" s="394"/>
      <c r="AB337" s="208"/>
      <c r="AC337" s="208"/>
    </row>
    <row r="338" spans="2:29" ht="2.1" customHeight="1" outlineLevel="1">
      <c r="C338" s="423" t="s">
        <v>988</v>
      </c>
      <c r="D338" s="1"/>
      <c r="E338" s="16" t="s">
        <v>961</v>
      </c>
      <c r="F338" s="530">
        <f t="shared" ref="F338:X338" si="187">F337*F$6</f>
        <v>0</v>
      </c>
      <c r="G338" s="529">
        <f t="shared" si="187"/>
        <v>0</v>
      </c>
      <c r="H338" s="529">
        <f t="shared" si="187"/>
        <v>0</v>
      </c>
      <c r="I338" s="529">
        <f t="shared" si="187"/>
        <v>152</v>
      </c>
      <c r="J338" s="529">
        <f t="shared" si="187"/>
        <v>384</v>
      </c>
      <c r="K338" s="529">
        <f t="shared" si="187"/>
        <v>32</v>
      </c>
      <c r="L338" s="529">
        <f t="shared" si="187"/>
        <v>192</v>
      </c>
      <c r="M338" s="529">
        <f t="shared" si="187"/>
        <v>80</v>
      </c>
      <c r="N338" s="529">
        <f t="shared" si="187"/>
        <v>0</v>
      </c>
      <c r="O338" s="529">
        <f t="shared" si="187"/>
        <v>0</v>
      </c>
      <c r="P338" s="529">
        <f t="shared" si="187"/>
        <v>368</v>
      </c>
      <c r="Q338" s="529">
        <f t="shared" si="187"/>
        <v>256</v>
      </c>
      <c r="R338" s="529">
        <f t="shared" si="187"/>
        <v>192</v>
      </c>
      <c r="S338" s="529">
        <f t="shared" si="187"/>
        <v>0</v>
      </c>
      <c r="T338" s="529">
        <f t="shared" si="187"/>
        <v>0</v>
      </c>
      <c r="U338" s="529">
        <f t="shared" si="187"/>
        <v>88</v>
      </c>
      <c r="V338" s="529">
        <f t="shared" si="187"/>
        <v>0</v>
      </c>
      <c r="W338" s="529">
        <f t="shared" si="187"/>
        <v>0</v>
      </c>
      <c r="X338" s="528">
        <f t="shared" si="187"/>
        <v>0</v>
      </c>
      <c r="Y338" s="422">
        <f>SUM(Y336)</f>
        <v>218</v>
      </c>
      <c r="Z338" s="255"/>
      <c r="AA338" s="527">
        <f>SUM(F338:X338)</f>
        <v>1744</v>
      </c>
      <c r="AB338" s="208"/>
      <c r="AC338" s="208"/>
    </row>
    <row r="339" spans="2:29" outlineLevel="1" collapsed="1">
      <c r="B339" t="s">
        <v>1272</v>
      </c>
      <c r="C339" s="96" t="s">
        <v>1059</v>
      </c>
      <c r="D339" s="940" t="s">
        <v>1273</v>
      </c>
      <c r="E339" s="940"/>
      <c r="F339" s="62"/>
      <c r="G339" s="62"/>
      <c r="H339" s="62"/>
      <c r="I339" s="62"/>
      <c r="J339" s="62"/>
      <c r="K339" s="62"/>
      <c r="L339" s="62"/>
      <c r="M339" s="62"/>
      <c r="N339" s="62"/>
      <c r="O339" s="62"/>
      <c r="P339" s="62"/>
      <c r="Q339" s="62"/>
      <c r="R339" s="62"/>
      <c r="S339" s="62"/>
      <c r="T339" s="62"/>
      <c r="U339" s="62"/>
      <c r="V339" s="62"/>
      <c r="W339" s="62"/>
      <c r="X339" s="62"/>
      <c r="Y339" s="437" t="s">
        <v>948</v>
      </c>
      <c r="Z339" s="92" t="s">
        <v>949</v>
      </c>
      <c r="AA339" s="541" t="s">
        <v>950</v>
      </c>
      <c r="AB339" s="208"/>
      <c r="AC339" s="208"/>
    </row>
    <row r="340" spans="2:29" outlineLevel="2">
      <c r="D340" s="75"/>
      <c r="E340" s="1" t="s">
        <v>1060</v>
      </c>
      <c r="F340" s="551">
        <f t="shared" ref="F340:X340" si="188">IF(F$6=0,0,F252*inp_pookratio)</f>
        <v>0.8</v>
      </c>
      <c r="G340" s="551">
        <f t="shared" si="188"/>
        <v>1.52</v>
      </c>
      <c r="H340" s="551">
        <f t="shared" si="188"/>
        <v>0.8</v>
      </c>
      <c r="I340" s="551">
        <f t="shared" si="188"/>
        <v>0.96799999999999997</v>
      </c>
      <c r="J340" s="551">
        <f t="shared" si="188"/>
        <v>1.1600000000000001</v>
      </c>
      <c r="K340" s="551">
        <f t="shared" si="188"/>
        <v>1.3088000000000002</v>
      </c>
      <c r="L340" s="551">
        <f t="shared" si="188"/>
        <v>1.3280000000000001</v>
      </c>
      <c r="M340" s="551">
        <f t="shared" si="188"/>
        <v>1.3376000000000001</v>
      </c>
      <c r="N340" s="551">
        <f t="shared" si="188"/>
        <v>2.23</v>
      </c>
      <c r="O340" s="551">
        <f t="shared" si="188"/>
        <v>1.3719999999999999</v>
      </c>
      <c r="P340" s="551">
        <f t="shared" si="188"/>
        <v>1.1600000000000001</v>
      </c>
      <c r="Q340" s="551">
        <f t="shared" si="188"/>
        <v>0.8</v>
      </c>
      <c r="R340" s="551">
        <f t="shared" si="188"/>
        <v>2.0384000000000002</v>
      </c>
      <c r="S340" s="551">
        <f t="shared" si="188"/>
        <v>2.0939999999999999</v>
      </c>
      <c r="T340" s="551">
        <f t="shared" si="188"/>
        <v>3.448</v>
      </c>
      <c r="U340" s="551">
        <f t="shared" si="188"/>
        <v>1.9060000000000001</v>
      </c>
      <c r="V340" s="551">
        <f t="shared" si="188"/>
        <v>0</v>
      </c>
      <c r="W340" s="551">
        <f t="shared" si="188"/>
        <v>0</v>
      </c>
      <c r="X340" s="550">
        <f t="shared" si="188"/>
        <v>0</v>
      </c>
      <c r="Y340" s="432">
        <f>SUMPRODUCT($F340:$X340,$F$6:$X$6)</f>
        <v>501.22680000000008</v>
      </c>
      <c r="Z340" s="538">
        <f>'MF Pricing'!F150</f>
        <v>13.5</v>
      </c>
      <c r="AA340" s="537">
        <f>Y340*Z340</f>
        <v>6766.5618000000013</v>
      </c>
      <c r="AB340" s="208"/>
      <c r="AC340" s="208"/>
    </row>
    <row r="341" spans="2:29" outlineLevel="2">
      <c r="C341" s="423" t="s">
        <v>1184</v>
      </c>
      <c r="D341" s="1"/>
      <c r="E341" s="536" t="s">
        <v>1185</v>
      </c>
      <c r="F341" s="535">
        <f t="shared" ref="F341:X341" si="189">F340*$Z340</f>
        <v>10.8</v>
      </c>
      <c r="G341" s="534">
        <f t="shared" si="189"/>
        <v>20.52</v>
      </c>
      <c r="H341" s="534">
        <f t="shared" si="189"/>
        <v>10.8</v>
      </c>
      <c r="I341" s="534">
        <f t="shared" si="189"/>
        <v>13.068</v>
      </c>
      <c r="J341" s="534">
        <f t="shared" si="189"/>
        <v>15.660000000000002</v>
      </c>
      <c r="K341" s="534">
        <f t="shared" si="189"/>
        <v>17.668800000000001</v>
      </c>
      <c r="L341" s="534">
        <f t="shared" si="189"/>
        <v>17.928000000000001</v>
      </c>
      <c r="M341" s="534">
        <f t="shared" si="189"/>
        <v>18.057600000000001</v>
      </c>
      <c r="N341" s="534">
        <f t="shared" si="189"/>
        <v>30.105</v>
      </c>
      <c r="O341" s="534">
        <f t="shared" si="189"/>
        <v>18.521999999999998</v>
      </c>
      <c r="P341" s="534">
        <f t="shared" si="189"/>
        <v>15.660000000000002</v>
      </c>
      <c r="Q341" s="534">
        <f t="shared" si="189"/>
        <v>10.8</v>
      </c>
      <c r="R341" s="534">
        <f t="shared" si="189"/>
        <v>27.518400000000003</v>
      </c>
      <c r="S341" s="534">
        <f t="shared" si="189"/>
        <v>28.268999999999998</v>
      </c>
      <c r="T341" s="534">
        <f t="shared" si="189"/>
        <v>46.548000000000002</v>
      </c>
      <c r="U341" s="534">
        <f t="shared" si="189"/>
        <v>25.731000000000002</v>
      </c>
      <c r="V341" s="534">
        <f t="shared" si="189"/>
        <v>0</v>
      </c>
      <c r="W341" s="534">
        <f t="shared" si="189"/>
        <v>0</v>
      </c>
      <c r="X341" s="533">
        <f t="shared" si="189"/>
        <v>0</v>
      </c>
      <c r="Y341" s="432"/>
      <c r="Z341" s="532"/>
      <c r="AA341" s="394"/>
      <c r="AB341" s="208"/>
      <c r="AC341" s="208"/>
    </row>
    <row r="342" spans="2:29" outlineLevel="2">
      <c r="C342" s="423" t="s">
        <v>988</v>
      </c>
      <c r="D342" s="1"/>
      <c r="E342" s="16" t="s">
        <v>961</v>
      </c>
      <c r="F342" s="530">
        <f t="shared" ref="F342:X342" si="190">F341*F$6</f>
        <v>86.4</v>
      </c>
      <c r="G342" s="529">
        <f t="shared" si="190"/>
        <v>328.32</v>
      </c>
      <c r="H342" s="529">
        <f t="shared" si="190"/>
        <v>86.4</v>
      </c>
      <c r="I342" s="529">
        <f t="shared" si="190"/>
        <v>248.292</v>
      </c>
      <c r="J342" s="529">
        <f t="shared" si="190"/>
        <v>751.68000000000006</v>
      </c>
      <c r="K342" s="529">
        <f t="shared" si="190"/>
        <v>70.675200000000004</v>
      </c>
      <c r="L342" s="529">
        <f t="shared" si="190"/>
        <v>430.27200000000005</v>
      </c>
      <c r="M342" s="529">
        <f t="shared" si="190"/>
        <v>180.57600000000002</v>
      </c>
      <c r="N342" s="529">
        <f t="shared" si="190"/>
        <v>963.36</v>
      </c>
      <c r="O342" s="529">
        <f t="shared" si="190"/>
        <v>1185.4079999999999</v>
      </c>
      <c r="P342" s="529">
        <f t="shared" si="190"/>
        <v>720.36000000000013</v>
      </c>
      <c r="Q342" s="529">
        <f t="shared" si="190"/>
        <v>172.8</v>
      </c>
      <c r="R342" s="529">
        <f t="shared" si="190"/>
        <v>660.44160000000011</v>
      </c>
      <c r="S342" s="529">
        <f t="shared" si="190"/>
        <v>226.15199999999999</v>
      </c>
      <c r="T342" s="529">
        <f t="shared" si="190"/>
        <v>372.38400000000001</v>
      </c>
      <c r="U342" s="529">
        <f t="shared" si="190"/>
        <v>283.041</v>
      </c>
      <c r="V342" s="529">
        <f t="shared" si="190"/>
        <v>0</v>
      </c>
      <c r="W342" s="529">
        <f t="shared" si="190"/>
        <v>0</v>
      </c>
      <c r="X342" s="528">
        <f t="shared" si="190"/>
        <v>0</v>
      </c>
      <c r="Y342" s="422">
        <f>SUM(Y340)</f>
        <v>501.22680000000008</v>
      </c>
      <c r="Z342" s="255"/>
      <c r="AA342" s="527">
        <f>SUM(F342:X342)</f>
        <v>6766.5618000000013</v>
      </c>
      <c r="AB342" s="558">
        <v>0.2</v>
      </c>
      <c r="AC342" s="557">
        <f>AA342*AB342</f>
        <v>1353.3123600000004</v>
      </c>
    </row>
    <row r="343" spans="2:29" outlineLevel="1">
      <c r="C343" s="96" t="s">
        <v>1061</v>
      </c>
      <c r="D343" s="940" t="s">
        <v>1274</v>
      </c>
      <c r="E343" s="940"/>
      <c r="F343" s="62"/>
      <c r="G343" s="62"/>
      <c r="H343" s="62"/>
      <c r="I343" s="62"/>
      <c r="J343" s="62"/>
      <c r="K343" s="62"/>
      <c r="L343" s="62"/>
      <c r="M343" s="62"/>
      <c r="N343" s="62"/>
      <c r="O343" s="62"/>
      <c r="P343" s="62"/>
      <c r="Q343" s="62"/>
      <c r="R343" s="62"/>
      <c r="S343" s="62"/>
      <c r="T343" s="62"/>
      <c r="U343" s="62"/>
      <c r="V343" s="62"/>
      <c r="W343" s="62"/>
      <c r="X343" s="62"/>
      <c r="Y343" s="437" t="s">
        <v>948</v>
      </c>
      <c r="Z343" s="92" t="s">
        <v>949</v>
      </c>
      <c r="AA343" s="541" t="s">
        <v>950</v>
      </c>
      <c r="AB343" s="208"/>
      <c r="AC343" s="208"/>
    </row>
    <row r="344" spans="2:29" outlineLevel="2">
      <c r="D344" s="75"/>
      <c r="E344" s="1" t="s">
        <v>1060</v>
      </c>
      <c r="F344" s="560">
        <f t="shared" ref="F344:X344" ca="1" si="191">IF(F$6=0,0,(SUM(F$43:F$49)+SUM(F$51:F$57))/inp_firecaulkratio)</f>
        <v>3.3333333333333333E-2</v>
      </c>
      <c r="G344" s="560">
        <f t="shared" ca="1" si="191"/>
        <v>3.3333333333333333E-2</v>
      </c>
      <c r="H344" s="560">
        <f t="shared" ca="1" si="191"/>
        <v>3.3333333333333333E-2</v>
      </c>
      <c r="I344" s="560">
        <f t="shared" ca="1" si="191"/>
        <v>3.3333333333333333E-2</v>
      </c>
      <c r="J344" s="560">
        <f t="shared" ca="1" si="191"/>
        <v>3.3333333333333333E-2</v>
      </c>
      <c r="K344" s="560">
        <f t="shared" ca="1" si="191"/>
        <v>3.3333333333333333E-2</v>
      </c>
      <c r="L344" s="560">
        <f t="shared" ca="1" si="191"/>
        <v>3.3333333333333333E-2</v>
      </c>
      <c r="M344" s="560">
        <f t="shared" ca="1" si="191"/>
        <v>3.3333333333333333E-2</v>
      </c>
      <c r="N344" s="560">
        <f t="shared" ca="1" si="191"/>
        <v>3.3333333333333333E-2</v>
      </c>
      <c r="O344" s="560">
        <f t="shared" ca="1" si="191"/>
        <v>3.3333333333333333E-2</v>
      </c>
      <c r="P344" s="560">
        <f t="shared" ca="1" si="191"/>
        <v>3.3333333333333333E-2</v>
      </c>
      <c r="Q344" s="560">
        <f t="shared" ca="1" si="191"/>
        <v>3.3333333333333333E-2</v>
      </c>
      <c r="R344" s="560">
        <f t="shared" ca="1" si="191"/>
        <v>3.3333333333333333E-2</v>
      </c>
      <c r="S344" s="560">
        <f t="shared" ca="1" si="191"/>
        <v>3.3333333333333333E-2</v>
      </c>
      <c r="T344" s="560">
        <f t="shared" ca="1" si="191"/>
        <v>6.6666666666666666E-2</v>
      </c>
      <c r="U344" s="560">
        <f t="shared" ca="1" si="191"/>
        <v>6.6666666666666666E-2</v>
      </c>
      <c r="V344" s="560">
        <f t="shared" si="191"/>
        <v>0</v>
      </c>
      <c r="W344" s="560">
        <f t="shared" si="191"/>
        <v>0</v>
      </c>
      <c r="X344" s="559">
        <f t="shared" si="191"/>
        <v>0</v>
      </c>
      <c r="Y344" s="432">
        <f ca="1">SUMPRODUCT($F344:$X344,$F$6:$X$6)</f>
        <v>12.166666666666666</v>
      </c>
      <c r="Z344" s="538">
        <f>'MF Pricing'!F152</f>
        <v>195</v>
      </c>
      <c r="AA344" s="537">
        <f ca="1">Y344*Z344</f>
        <v>2372.5</v>
      </c>
      <c r="AB344" s="208"/>
      <c r="AC344" s="208"/>
    </row>
    <row r="345" spans="2:29" outlineLevel="2">
      <c r="C345" s="423" t="s">
        <v>1184</v>
      </c>
      <c r="D345" s="1"/>
      <c r="E345" s="536" t="s">
        <v>1185</v>
      </c>
      <c r="F345" s="535">
        <f t="shared" ref="F345:X345" ca="1" si="192">F344*$Z344</f>
        <v>6.5</v>
      </c>
      <c r="G345" s="534">
        <f t="shared" ca="1" si="192"/>
        <v>6.5</v>
      </c>
      <c r="H345" s="534">
        <f t="shared" ca="1" si="192"/>
        <v>6.5</v>
      </c>
      <c r="I345" s="534">
        <f t="shared" ca="1" si="192"/>
        <v>6.5</v>
      </c>
      <c r="J345" s="534">
        <f t="shared" ca="1" si="192"/>
        <v>6.5</v>
      </c>
      <c r="K345" s="534">
        <f t="shared" ca="1" si="192"/>
        <v>6.5</v>
      </c>
      <c r="L345" s="534">
        <f t="shared" ca="1" si="192"/>
        <v>6.5</v>
      </c>
      <c r="M345" s="534">
        <f t="shared" ca="1" si="192"/>
        <v>6.5</v>
      </c>
      <c r="N345" s="534">
        <f t="shared" ca="1" si="192"/>
        <v>6.5</v>
      </c>
      <c r="O345" s="534">
        <f t="shared" ca="1" si="192"/>
        <v>6.5</v>
      </c>
      <c r="P345" s="534">
        <f t="shared" ca="1" si="192"/>
        <v>6.5</v>
      </c>
      <c r="Q345" s="534">
        <f t="shared" ca="1" si="192"/>
        <v>6.5</v>
      </c>
      <c r="R345" s="534">
        <f t="shared" ca="1" si="192"/>
        <v>6.5</v>
      </c>
      <c r="S345" s="534">
        <f t="shared" ca="1" si="192"/>
        <v>6.5</v>
      </c>
      <c r="T345" s="534">
        <f t="shared" ca="1" si="192"/>
        <v>13</v>
      </c>
      <c r="U345" s="534">
        <f t="shared" ca="1" si="192"/>
        <v>13</v>
      </c>
      <c r="V345" s="534">
        <f t="shared" si="192"/>
        <v>0</v>
      </c>
      <c r="W345" s="534">
        <f t="shared" si="192"/>
        <v>0</v>
      </c>
      <c r="X345" s="533">
        <f t="shared" si="192"/>
        <v>0</v>
      </c>
      <c r="Y345" s="432"/>
      <c r="Z345" s="532"/>
      <c r="AA345" s="394"/>
      <c r="AB345" s="208"/>
      <c r="AC345" s="208"/>
    </row>
    <row r="346" spans="2:29" outlineLevel="2">
      <c r="C346" s="423" t="s">
        <v>988</v>
      </c>
      <c r="D346" s="1"/>
      <c r="E346" s="16" t="s">
        <v>961</v>
      </c>
      <c r="F346" s="530">
        <f t="shared" ref="F346:X346" ca="1" si="193">F345*F$6</f>
        <v>52</v>
      </c>
      <c r="G346" s="529">
        <f t="shared" ca="1" si="193"/>
        <v>104</v>
      </c>
      <c r="H346" s="529">
        <f t="shared" ca="1" si="193"/>
        <v>52</v>
      </c>
      <c r="I346" s="529">
        <f t="shared" ca="1" si="193"/>
        <v>123.5</v>
      </c>
      <c r="J346" s="529">
        <f t="shared" ca="1" si="193"/>
        <v>312</v>
      </c>
      <c r="K346" s="529">
        <f t="shared" ca="1" si="193"/>
        <v>26</v>
      </c>
      <c r="L346" s="529">
        <f t="shared" ca="1" si="193"/>
        <v>156</v>
      </c>
      <c r="M346" s="529">
        <f t="shared" ca="1" si="193"/>
        <v>65</v>
      </c>
      <c r="N346" s="529">
        <f t="shared" ca="1" si="193"/>
        <v>208</v>
      </c>
      <c r="O346" s="529">
        <f t="shared" ca="1" si="193"/>
        <v>416</v>
      </c>
      <c r="P346" s="529">
        <f t="shared" ca="1" si="193"/>
        <v>299</v>
      </c>
      <c r="Q346" s="529">
        <f t="shared" ca="1" si="193"/>
        <v>104</v>
      </c>
      <c r="R346" s="529">
        <f t="shared" ca="1" si="193"/>
        <v>156</v>
      </c>
      <c r="S346" s="529">
        <f t="shared" ca="1" si="193"/>
        <v>52</v>
      </c>
      <c r="T346" s="529">
        <f t="shared" ca="1" si="193"/>
        <v>104</v>
      </c>
      <c r="U346" s="529">
        <f t="shared" ca="1" si="193"/>
        <v>143</v>
      </c>
      <c r="V346" s="529">
        <f t="shared" si="193"/>
        <v>0</v>
      </c>
      <c r="W346" s="529">
        <f t="shared" si="193"/>
        <v>0</v>
      </c>
      <c r="X346" s="528">
        <f t="shared" si="193"/>
        <v>0</v>
      </c>
      <c r="Y346" s="422">
        <f ca="1">SUM(Y344)</f>
        <v>12.166666666666666</v>
      </c>
      <c r="Z346" s="255"/>
      <c r="AA346" s="527">
        <f ca="1">SUM(F346:X346)</f>
        <v>2372.5</v>
      </c>
      <c r="AB346" s="208"/>
      <c r="AC346" s="208"/>
    </row>
    <row r="347" spans="2:29" outlineLevel="1">
      <c r="C347" s="96" t="s">
        <v>1062</v>
      </c>
      <c r="D347" s="940" t="s">
        <v>1275</v>
      </c>
      <c r="E347" s="940"/>
      <c r="F347" s="62"/>
      <c r="G347" s="62"/>
      <c r="H347" s="62"/>
      <c r="I347" s="62"/>
      <c r="J347" s="62"/>
      <c r="K347" s="62"/>
      <c r="L347" s="62"/>
      <c r="M347" s="62"/>
      <c r="N347" s="62"/>
      <c r="O347" s="62"/>
      <c r="P347" s="62"/>
      <c r="Q347" s="62"/>
      <c r="R347" s="62"/>
      <c r="S347" s="62"/>
      <c r="T347" s="62"/>
      <c r="U347" s="62"/>
      <c r="V347" s="62"/>
      <c r="W347" s="62"/>
      <c r="X347" s="62"/>
      <c r="Y347" s="437" t="s">
        <v>948</v>
      </c>
      <c r="Z347" s="92" t="s">
        <v>949</v>
      </c>
      <c r="AA347" s="541" t="s">
        <v>950</v>
      </c>
      <c r="AB347" s="208"/>
      <c r="AC347" s="208"/>
    </row>
    <row r="348" spans="2:29" outlineLevel="2">
      <c r="D348" s="75"/>
      <c r="E348" s="1" t="s">
        <v>1001</v>
      </c>
      <c r="F348" s="560">
        <f t="shared" ref="F348:X348" si="194">IF(F$6=0,0,F$252*inp_dbtaperatio)</f>
        <v>0.55999999999999994</v>
      </c>
      <c r="G348" s="560">
        <f t="shared" si="194"/>
        <v>1.0639999999999998</v>
      </c>
      <c r="H348" s="560">
        <f t="shared" si="194"/>
        <v>0.55999999999999994</v>
      </c>
      <c r="I348" s="560">
        <f t="shared" si="194"/>
        <v>0.67759999999999998</v>
      </c>
      <c r="J348" s="560">
        <f t="shared" si="194"/>
        <v>0.81200000000000006</v>
      </c>
      <c r="K348" s="560">
        <f t="shared" si="194"/>
        <v>0.91616000000000009</v>
      </c>
      <c r="L348" s="560">
        <f t="shared" si="194"/>
        <v>0.92959999999999998</v>
      </c>
      <c r="M348" s="560">
        <f t="shared" si="194"/>
        <v>0.93632000000000004</v>
      </c>
      <c r="N348" s="560">
        <f t="shared" si="194"/>
        <v>1.5609999999999999</v>
      </c>
      <c r="O348" s="560">
        <f t="shared" si="194"/>
        <v>0.96039999999999981</v>
      </c>
      <c r="P348" s="560">
        <f t="shared" si="194"/>
        <v>0.81200000000000006</v>
      </c>
      <c r="Q348" s="560">
        <f t="shared" si="194"/>
        <v>0.55999999999999994</v>
      </c>
      <c r="R348" s="560">
        <f t="shared" si="194"/>
        <v>1.4268800000000001</v>
      </c>
      <c r="S348" s="560">
        <f t="shared" si="194"/>
        <v>1.4657999999999998</v>
      </c>
      <c r="T348" s="560">
        <f t="shared" si="194"/>
        <v>2.4135999999999997</v>
      </c>
      <c r="U348" s="560">
        <f t="shared" si="194"/>
        <v>1.3342000000000001</v>
      </c>
      <c r="V348" s="560">
        <f t="shared" si="194"/>
        <v>0</v>
      </c>
      <c r="W348" s="560">
        <f t="shared" si="194"/>
        <v>0</v>
      </c>
      <c r="X348" s="559">
        <f t="shared" si="194"/>
        <v>0</v>
      </c>
      <c r="Y348" s="432">
        <f>SUMPRODUCT($F348:$X348,$F$6:$X$6)</f>
        <v>350.85875999999996</v>
      </c>
      <c r="Z348" s="538">
        <f>'MF Pricing'!F154</f>
        <v>14</v>
      </c>
      <c r="AA348" s="537">
        <f>Y348*Z348</f>
        <v>4912.0226399999992</v>
      </c>
      <c r="AB348" s="208"/>
      <c r="AC348" s="208"/>
    </row>
    <row r="349" spans="2:29" outlineLevel="2">
      <c r="C349" s="423" t="s">
        <v>1184</v>
      </c>
      <c r="D349" s="1"/>
      <c r="E349" s="536" t="s">
        <v>1185</v>
      </c>
      <c r="F349" s="535">
        <f t="shared" ref="F349:X349" si="195">F348*$Z348</f>
        <v>7.839999999999999</v>
      </c>
      <c r="G349" s="534">
        <f t="shared" si="195"/>
        <v>14.895999999999997</v>
      </c>
      <c r="H349" s="534">
        <f t="shared" si="195"/>
        <v>7.839999999999999</v>
      </c>
      <c r="I349" s="534">
        <f t="shared" si="195"/>
        <v>9.4863999999999997</v>
      </c>
      <c r="J349" s="534">
        <f t="shared" si="195"/>
        <v>11.368</v>
      </c>
      <c r="K349" s="534">
        <f t="shared" si="195"/>
        <v>12.826240000000002</v>
      </c>
      <c r="L349" s="534">
        <f t="shared" si="195"/>
        <v>13.0144</v>
      </c>
      <c r="M349" s="534">
        <f t="shared" si="195"/>
        <v>13.10848</v>
      </c>
      <c r="N349" s="534">
        <f t="shared" si="195"/>
        <v>21.853999999999999</v>
      </c>
      <c r="O349" s="534">
        <f t="shared" si="195"/>
        <v>13.445599999999997</v>
      </c>
      <c r="P349" s="534">
        <f t="shared" si="195"/>
        <v>11.368</v>
      </c>
      <c r="Q349" s="534">
        <f t="shared" si="195"/>
        <v>7.839999999999999</v>
      </c>
      <c r="R349" s="534">
        <f t="shared" si="195"/>
        <v>19.976320000000001</v>
      </c>
      <c r="S349" s="534">
        <f t="shared" si="195"/>
        <v>20.521199999999997</v>
      </c>
      <c r="T349" s="534">
        <f t="shared" si="195"/>
        <v>33.790399999999998</v>
      </c>
      <c r="U349" s="534">
        <f t="shared" si="195"/>
        <v>18.678800000000003</v>
      </c>
      <c r="V349" s="534">
        <f t="shared" si="195"/>
        <v>0</v>
      </c>
      <c r="W349" s="534">
        <f t="shared" si="195"/>
        <v>0</v>
      </c>
      <c r="X349" s="533">
        <f t="shared" si="195"/>
        <v>0</v>
      </c>
      <c r="Y349" s="432"/>
      <c r="Z349" s="532"/>
      <c r="AA349" s="394"/>
      <c r="AB349" s="208"/>
      <c r="AC349" s="208"/>
    </row>
    <row r="350" spans="2:29" outlineLevel="2">
      <c r="C350" s="423" t="s">
        <v>988</v>
      </c>
      <c r="D350" s="1"/>
      <c r="E350" s="16" t="s">
        <v>961</v>
      </c>
      <c r="F350" s="530">
        <f t="shared" ref="F350:X350" si="196">F349*F$6</f>
        <v>62.719999999999992</v>
      </c>
      <c r="G350" s="529">
        <f t="shared" si="196"/>
        <v>238.33599999999996</v>
      </c>
      <c r="H350" s="529">
        <f t="shared" si="196"/>
        <v>62.719999999999992</v>
      </c>
      <c r="I350" s="529">
        <f t="shared" si="196"/>
        <v>180.24160000000001</v>
      </c>
      <c r="J350" s="529">
        <f t="shared" si="196"/>
        <v>545.66399999999999</v>
      </c>
      <c r="K350" s="529">
        <f t="shared" si="196"/>
        <v>51.304960000000008</v>
      </c>
      <c r="L350" s="529">
        <f t="shared" si="196"/>
        <v>312.34559999999999</v>
      </c>
      <c r="M350" s="529">
        <f t="shared" si="196"/>
        <v>131.0848</v>
      </c>
      <c r="N350" s="529">
        <f t="shared" si="196"/>
        <v>699.32799999999997</v>
      </c>
      <c r="O350" s="529">
        <f t="shared" si="196"/>
        <v>860.51839999999982</v>
      </c>
      <c r="P350" s="529">
        <f t="shared" si="196"/>
        <v>522.928</v>
      </c>
      <c r="Q350" s="529">
        <f t="shared" si="196"/>
        <v>125.43999999999998</v>
      </c>
      <c r="R350" s="529">
        <f t="shared" si="196"/>
        <v>479.43168000000003</v>
      </c>
      <c r="S350" s="529">
        <f t="shared" si="196"/>
        <v>164.16959999999997</v>
      </c>
      <c r="T350" s="529">
        <f t="shared" si="196"/>
        <v>270.32319999999999</v>
      </c>
      <c r="U350" s="529">
        <f t="shared" si="196"/>
        <v>205.46680000000003</v>
      </c>
      <c r="V350" s="529">
        <f t="shared" si="196"/>
        <v>0</v>
      </c>
      <c r="W350" s="529">
        <f t="shared" si="196"/>
        <v>0</v>
      </c>
      <c r="X350" s="528">
        <f t="shared" si="196"/>
        <v>0</v>
      </c>
      <c r="Y350" s="422">
        <f>SUM(Y348)</f>
        <v>350.85875999999996</v>
      </c>
      <c r="Z350" s="255"/>
      <c r="AA350" s="527">
        <f>SUM(F350:X350)</f>
        <v>4912.0226400000001</v>
      </c>
      <c r="AB350" s="558">
        <v>0.25</v>
      </c>
      <c r="AC350" s="557">
        <f>AA350*AB350</f>
        <v>1228.00566</v>
      </c>
    </row>
    <row r="351" spans="2:29" outlineLevel="1">
      <c r="C351" s="96" t="s">
        <v>1063</v>
      </c>
      <c r="D351" s="940" t="s">
        <v>1276</v>
      </c>
      <c r="E351" s="940"/>
      <c r="F351" s="62"/>
      <c r="G351" s="62"/>
      <c r="H351" s="62"/>
      <c r="I351" s="62"/>
      <c r="J351" s="62"/>
      <c r="K351" s="62"/>
      <c r="L351" s="62"/>
      <c r="M351" s="62"/>
      <c r="N351" s="62"/>
      <c r="O351" s="62"/>
      <c r="P351" s="62"/>
      <c r="Q351" s="62"/>
      <c r="R351" s="62"/>
      <c r="S351" s="62"/>
      <c r="T351" s="62"/>
      <c r="U351" s="62"/>
      <c r="V351" s="62"/>
      <c r="W351" s="62"/>
      <c r="X351" s="62"/>
      <c r="Y351" s="437" t="s">
        <v>948</v>
      </c>
      <c r="Z351" s="92" t="s">
        <v>949</v>
      </c>
      <c r="AA351" s="541" t="s">
        <v>950</v>
      </c>
      <c r="AB351" s="208"/>
      <c r="AC351" s="208"/>
    </row>
    <row r="352" spans="2:29" outlineLevel="2">
      <c r="D352" s="75"/>
      <c r="E352" s="1" t="s">
        <v>968</v>
      </c>
      <c r="F352" s="551">
        <f t="shared" ref="F352:X352" si="197">IF(F$6=0,0,SUM(F$282:F$292)*2)</f>
        <v>8</v>
      </c>
      <c r="G352" s="551">
        <f t="shared" si="197"/>
        <v>12</v>
      </c>
      <c r="H352" s="551">
        <f t="shared" si="197"/>
        <v>6</v>
      </c>
      <c r="I352" s="551">
        <f t="shared" si="197"/>
        <v>10</v>
      </c>
      <c r="J352" s="551">
        <f t="shared" si="197"/>
        <v>10</v>
      </c>
      <c r="K352" s="551">
        <f t="shared" si="197"/>
        <v>10</v>
      </c>
      <c r="L352" s="551">
        <f t="shared" si="197"/>
        <v>12</v>
      </c>
      <c r="M352" s="551">
        <f t="shared" si="197"/>
        <v>12</v>
      </c>
      <c r="N352" s="551">
        <f t="shared" si="197"/>
        <v>10</v>
      </c>
      <c r="O352" s="551">
        <f t="shared" si="197"/>
        <v>12</v>
      </c>
      <c r="P352" s="551">
        <f t="shared" si="197"/>
        <v>14</v>
      </c>
      <c r="Q352" s="551">
        <f t="shared" si="197"/>
        <v>18</v>
      </c>
      <c r="R352" s="551">
        <f t="shared" si="197"/>
        <v>16</v>
      </c>
      <c r="S352" s="551">
        <f t="shared" si="197"/>
        <v>24</v>
      </c>
      <c r="T352" s="551">
        <f t="shared" si="197"/>
        <v>22</v>
      </c>
      <c r="U352" s="551">
        <f t="shared" si="197"/>
        <v>26</v>
      </c>
      <c r="V352" s="551">
        <f t="shared" si="197"/>
        <v>0</v>
      </c>
      <c r="W352" s="551">
        <f t="shared" si="197"/>
        <v>0</v>
      </c>
      <c r="X352" s="550">
        <f t="shared" si="197"/>
        <v>0</v>
      </c>
      <c r="Y352" s="432">
        <f>SUMPRODUCT($F352:$X352,$F$6:$X$6)/50</f>
        <v>89.6</v>
      </c>
      <c r="Z352" s="538">
        <f>'MF Pricing'!F156</f>
        <v>17</v>
      </c>
      <c r="AA352" s="537">
        <f>Y352*Z352</f>
        <v>1523.1999999999998</v>
      </c>
      <c r="AB352" s="208"/>
      <c r="AC352" s="208"/>
    </row>
    <row r="353" spans="3:29" outlineLevel="2">
      <c r="C353" s="423" t="s">
        <v>1184</v>
      </c>
      <c r="D353" s="1"/>
      <c r="E353" s="536" t="s">
        <v>1185</v>
      </c>
      <c r="F353" s="535">
        <f t="shared" ref="F353:X353" si="198">F352*$Z352/50</f>
        <v>2.72</v>
      </c>
      <c r="G353" s="534">
        <f t="shared" si="198"/>
        <v>4.08</v>
      </c>
      <c r="H353" s="534">
        <f t="shared" si="198"/>
        <v>2.04</v>
      </c>
      <c r="I353" s="534">
        <f t="shared" si="198"/>
        <v>3.4</v>
      </c>
      <c r="J353" s="534">
        <f t="shared" si="198"/>
        <v>3.4</v>
      </c>
      <c r="K353" s="534">
        <f t="shared" si="198"/>
        <v>3.4</v>
      </c>
      <c r="L353" s="534">
        <f t="shared" si="198"/>
        <v>4.08</v>
      </c>
      <c r="M353" s="534">
        <f t="shared" si="198"/>
        <v>4.08</v>
      </c>
      <c r="N353" s="534">
        <f t="shared" si="198"/>
        <v>3.4</v>
      </c>
      <c r="O353" s="534">
        <f t="shared" si="198"/>
        <v>4.08</v>
      </c>
      <c r="P353" s="534">
        <f t="shared" si="198"/>
        <v>4.76</v>
      </c>
      <c r="Q353" s="534">
        <f t="shared" si="198"/>
        <v>6.12</v>
      </c>
      <c r="R353" s="534">
        <f t="shared" si="198"/>
        <v>5.44</v>
      </c>
      <c r="S353" s="534">
        <f t="shared" si="198"/>
        <v>8.16</v>
      </c>
      <c r="T353" s="534">
        <f t="shared" si="198"/>
        <v>7.48</v>
      </c>
      <c r="U353" s="534">
        <f t="shared" si="198"/>
        <v>8.84</v>
      </c>
      <c r="V353" s="534">
        <f t="shared" si="198"/>
        <v>0</v>
      </c>
      <c r="W353" s="534">
        <f t="shared" si="198"/>
        <v>0</v>
      </c>
      <c r="X353" s="533">
        <f t="shared" si="198"/>
        <v>0</v>
      </c>
      <c r="Y353" s="432"/>
      <c r="Z353" s="532"/>
      <c r="AA353" s="394"/>
      <c r="AB353" s="208"/>
      <c r="AC353" s="208"/>
    </row>
    <row r="354" spans="3:29" outlineLevel="2">
      <c r="C354" s="423" t="s">
        <v>988</v>
      </c>
      <c r="D354" s="1"/>
      <c r="E354" s="16" t="s">
        <v>961</v>
      </c>
      <c r="F354" s="530">
        <f t="shared" ref="F354:X354" si="199">F353*F$6</f>
        <v>21.76</v>
      </c>
      <c r="G354" s="529">
        <f t="shared" si="199"/>
        <v>65.28</v>
      </c>
      <c r="H354" s="529">
        <f t="shared" si="199"/>
        <v>16.32</v>
      </c>
      <c r="I354" s="529">
        <f t="shared" si="199"/>
        <v>64.599999999999994</v>
      </c>
      <c r="J354" s="529">
        <f t="shared" si="199"/>
        <v>163.19999999999999</v>
      </c>
      <c r="K354" s="529">
        <f t="shared" si="199"/>
        <v>13.6</v>
      </c>
      <c r="L354" s="529">
        <f t="shared" si="199"/>
        <v>97.92</v>
      </c>
      <c r="M354" s="529">
        <f t="shared" si="199"/>
        <v>40.799999999999997</v>
      </c>
      <c r="N354" s="529">
        <f t="shared" si="199"/>
        <v>108.8</v>
      </c>
      <c r="O354" s="529">
        <f t="shared" si="199"/>
        <v>261.12</v>
      </c>
      <c r="P354" s="529">
        <f t="shared" si="199"/>
        <v>218.95999999999998</v>
      </c>
      <c r="Q354" s="529">
        <f t="shared" si="199"/>
        <v>97.92</v>
      </c>
      <c r="R354" s="529">
        <f t="shared" si="199"/>
        <v>130.56</v>
      </c>
      <c r="S354" s="529">
        <f t="shared" si="199"/>
        <v>65.28</v>
      </c>
      <c r="T354" s="529">
        <f t="shared" si="199"/>
        <v>59.84</v>
      </c>
      <c r="U354" s="529">
        <f t="shared" si="199"/>
        <v>97.24</v>
      </c>
      <c r="V354" s="529">
        <f t="shared" si="199"/>
        <v>0</v>
      </c>
      <c r="W354" s="529">
        <f t="shared" si="199"/>
        <v>0</v>
      </c>
      <c r="X354" s="528">
        <f t="shared" si="199"/>
        <v>0</v>
      </c>
      <c r="Y354" s="422">
        <f>SUM(Y352)</f>
        <v>89.6</v>
      </c>
      <c r="Z354" s="255"/>
      <c r="AA354" s="527">
        <f>SUM(F354:X354)</f>
        <v>1523.1999999999998</v>
      </c>
      <c r="AB354" s="558">
        <v>0.35</v>
      </c>
      <c r="AC354" s="557">
        <f>AA354*AB354</f>
        <v>533.11999999999989</v>
      </c>
    </row>
    <row r="355" spans="3:29" outlineLevel="1">
      <c r="C355" s="96" t="s">
        <v>1064</v>
      </c>
      <c r="D355" s="940" t="s">
        <v>1277</v>
      </c>
      <c r="E355" s="940"/>
      <c r="F355" s="62"/>
      <c r="G355" s="62"/>
      <c r="H355" s="62"/>
      <c r="I355" s="62"/>
      <c r="J355" s="62"/>
      <c r="K355" s="62"/>
      <c r="L355" s="62"/>
      <c r="M355" s="62"/>
      <c r="N355" s="62"/>
      <c r="O355" s="62"/>
      <c r="P355" s="62"/>
      <c r="Q355" s="62"/>
      <c r="R355" s="62"/>
      <c r="S355" s="62"/>
      <c r="T355" s="62"/>
      <c r="U355" s="62"/>
      <c r="V355" s="62"/>
      <c r="W355" s="62"/>
      <c r="X355" s="62"/>
      <c r="Y355" s="437" t="s">
        <v>948</v>
      </c>
      <c r="Z355" s="92" t="s">
        <v>949</v>
      </c>
      <c r="AA355" s="541" t="s">
        <v>950</v>
      </c>
      <c r="AB355" s="208"/>
      <c r="AC355" s="208"/>
    </row>
    <row r="356" spans="3:29" outlineLevel="2">
      <c r="D356" s="1"/>
      <c r="E356" s="1" t="s">
        <v>968</v>
      </c>
      <c r="F356" s="551">
        <f t="shared" ref="F356:X356" si="200">IF(F$6=0,0,SUM(F$282:F$292)/inp_flextaperatio)</f>
        <v>0.4</v>
      </c>
      <c r="G356" s="551">
        <f t="shared" si="200"/>
        <v>0.6</v>
      </c>
      <c r="H356" s="551">
        <f t="shared" si="200"/>
        <v>0.3</v>
      </c>
      <c r="I356" s="551">
        <f t="shared" si="200"/>
        <v>0.5</v>
      </c>
      <c r="J356" s="551">
        <f t="shared" si="200"/>
        <v>0.5</v>
      </c>
      <c r="K356" s="551">
        <f t="shared" si="200"/>
        <v>0.5</v>
      </c>
      <c r="L356" s="551">
        <f t="shared" si="200"/>
        <v>0.6</v>
      </c>
      <c r="M356" s="551">
        <f t="shared" si="200"/>
        <v>0.6</v>
      </c>
      <c r="N356" s="551">
        <f t="shared" si="200"/>
        <v>0.5</v>
      </c>
      <c r="O356" s="551">
        <f t="shared" si="200"/>
        <v>0.6</v>
      </c>
      <c r="P356" s="551">
        <f t="shared" si="200"/>
        <v>0.7</v>
      </c>
      <c r="Q356" s="551">
        <f t="shared" si="200"/>
        <v>0.9</v>
      </c>
      <c r="R356" s="551">
        <f t="shared" si="200"/>
        <v>0.8</v>
      </c>
      <c r="S356" s="551">
        <f t="shared" si="200"/>
        <v>1.2</v>
      </c>
      <c r="T356" s="551">
        <f t="shared" si="200"/>
        <v>1.1000000000000001</v>
      </c>
      <c r="U356" s="551">
        <f t="shared" si="200"/>
        <v>1.3</v>
      </c>
      <c r="V356" s="551">
        <f t="shared" si="200"/>
        <v>0</v>
      </c>
      <c r="W356" s="551">
        <f t="shared" si="200"/>
        <v>0</v>
      </c>
      <c r="X356" s="550">
        <f t="shared" si="200"/>
        <v>0</v>
      </c>
      <c r="Y356" s="432">
        <f>SUMPRODUCT($F356:$X356,$F$6:$X$6)</f>
        <v>224.00000000000003</v>
      </c>
      <c r="Z356" s="538">
        <f>'MF Pricing'!F158</f>
        <v>14.5</v>
      </c>
      <c r="AA356" s="537">
        <f>Y356*Z356</f>
        <v>3248.0000000000005</v>
      </c>
      <c r="AB356" s="208"/>
      <c r="AC356" s="208"/>
    </row>
    <row r="357" spans="3:29" outlineLevel="2">
      <c r="C357" s="423" t="s">
        <v>1184</v>
      </c>
      <c r="D357" s="1"/>
      <c r="E357" s="536" t="s">
        <v>1185</v>
      </c>
      <c r="F357" s="535">
        <f t="shared" ref="F357:X357" si="201">F356*$Z356</f>
        <v>5.8000000000000007</v>
      </c>
      <c r="G357" s="534">
        <f t="shared" si="201"/>
        <v>8.6999999999999993</v>
      </c>
      <c r="H357" s="534">
        <f t="shared" si="201"/>
        <v>4.3499999999999996</v>
      </c>
      <c r="I357" s="534">
        <f t="shared" si="201"/>
        <v>7.25</v>
      </c>
      <c r="J357" s="534">
        <f t="shared" si="201"/>
        <v>7.25</v>
      </c>
      <c r="K357" s="534">
        <f t="shared" si="201"/>
        <v>7.25</v>
      </c>
      <c r="L357" s="534">
        <f t="shared" si="201"/>
        <v>8.6999999999999993</v>
      </c>
      <c r="M357" s="534">
        <f t="shared" si="201"/>
        <v>8.6999999999999993</v>
      </c>
      <c r="N357" s="534">
        <f t="shared" si="201"/>
        <v>7.25</v>
      </c>
      <c r="O357" s="534">
        <f t="shared" si="201"/>
        <v>8.6999999999999993</v>
      </c>
      <c r="P357" s="534">
        <f t="shared" si="201"/>
        <v>10.149999999999999</v>
      </c>
      <c r="Q357" s="534">
        <f t="shared" si="201"/>
        <v>13.05</v>
      </c>
      <c r="R357" s="534">
        <f t="shared" si="201"/>
        <v>11.600000000000001</v>
      </c>
      <c r="S357" s="534">
        <f t="shared" si="201"/>
        <v>17.399999999999999</v>
      </c>
      <c r="T357" s="534">
        <f t="shared" si="201"/>
        <v>15.950000000000001</v>
      </c>
      <c r="U357" s="534">
        <f t="shared" si="201"/>
        <v>18.850000000000001</v>
      </c>
      <c r="V357" s="534">
        <f t="shared" si="201"/>
        <v>0</v>
      </c>
      <c r="W357" s="534">
        <f t="shared" si="201"/>
        <v>0</v>
      </c>
      <c r="X357" s="533">
        <f t="shared" si="201"/>
        <v>0</v>
      </c>
      <c r="Y357" s="432"/>
      <c r="Z357" s="532"/>
      <c r="AA357" s="394"/>
      <c r="AB357" s="208"/>
      <c r="AC357" s="208"/>
    </row>
    <row r="358" spans="3:29" outlineLevel="2">
      <c r="C358" s="423" t="s">
        <v>988</v>
      </c>
      <c r="D358" s="1"/>
      <c r="E358" s="16" t="s">
        <v>961</v>
      </c>
      <c r="F358" s="530">
        <f t="shared" ref="F358:X358" si="202">F357*F$6</f>
        <v>46.400000000000006</v>
      </c>
      <c r="G358" s="529">
        <f t="shared" si="202"/>
        <v>139.19999999999999</v>
      </c>
      <c r="H358" s="529">
        <f t="shared" si="202"/>
        <v>34.799999999999997</v>
      </c>
      <c r="I358" s="529">
        <f t="shared" si="202"/>
        <v>137.75</v>
      </c>
      <c r="J358" s="529">
        <f t="shared" si="202"/>
        <v>348</v>
      </c>
      <c r="K358" s="529">
        <f t="shared" si="202"/>
        <v>29</v>
      </c>
      <c r="L358" s="529">
        <f t="shared" si="202"/>
        <v>208.79999999999998</v>
      </c>
      <c r="M358" s="529">
        <f t="shared" si="202"/>
        <v>87</v>
      </c>
      <c r="N358" s="529">
        <f t="shared" si="202"/>
        <v>232</v>
      </c>
      <c r="O358" s="529">
        <f t="shared" si="202"/>
        <v>556.79999999999995</v>
      </c>
      <c r="P358" s="529">
        <f t="shared" si="202"/>
        <v>466.89999999999992</v>
      </c>
      <c r="Q358" s="529">
        <f t="shared" si="202"/>
        <v>208.8</v>
      </c>
      <c r="R358" s="529">
        <f t="shared" si="202"/>
        <v>278.40000000000003</v>
      </c>
      <c r="S358" s="529">
        <f t="shared" si="202"/>
        <v>139.19999999999999</v>
      </c>
      <c r="T358" s="529">
        <f t="shared" si="202"/>
        <v>127.60000000000001</v>
      </c>
      <c r="U358" s="529">
        <f t="shared" si="202"/>
        <v>207.35000000000002</v>
      </c>
      <c r="V358" s="529">
        <f t="shared" si="202"/>
        <v>0</v>
      </c>
      <c r="W358" s="529">
        <f t="shared" si="202"/>
        <v>0</v>
      </c>
      <c r="X358" s="528">
        <f t="shared" si="202"/>
        <v>0</v>
      </c>
      <c r="Y358" s="422">
        <f>SUM(Y356)</f>
        <v>224.00000000000003</v>
      </c>
      <c r="Z358" s="255"/>
      <c r="AA358" s="527">
        <f>SUM(F358:X358)</f>
        <v>3247.9999999999995</v>
      </c>
      <c r="AB358" s="558">
        <v>0.25</v>
      </c>
      <c r="AC358" s="557">
        <f>AA358*AB358</f>
        <v>811.99999999999989</v>
      </c>
    </row>
    <row r="359" spans="3:29" outlineLevel="1">
      <c r="C359" s="96" t="s">
        <v>1066</v>
      </c>
      <c r="D359" s="940" t="s">
        <v>1278</v>
      </c>
      <c r="E359" s="940"/>
      <c r="F359" s="552"/>
      <c r="G359" s="542"/>
      <c r="H359" s="542"/>
      <c r="I359" s="542"/>
      <c r="J359" s="542"/>
      <c r="K359" s="542"/>
      <c r="L359" s="542"/>
      <c r="M359" s="542"/>
      <c r="N359" s="542"/>
      <c r="O359" s="542"/>
      <c r="P359" s="542"/>
      <c r="Q359" s="542"/>
      <c r="R359" s="542"/>
      <c r="S359" s="542"/>
      <c r="T359" s="542"/>
      <c r="U359" s="542"/>
      <c r="V359" s="542"/>
      <c r="W359" s="542"/>
      <c r="X359" s="542"/>
      <c r="Y359" s="437" t="s">
        <v>948</v>
      </c>
      <c r="Z359" s="92" t="s">
        <v>949</v>
      </c>
      <c r="AA359" s="541" t="s">
        <v>950</v>
      </c>
      <c r="AB359" s="208"/>
      <c r="AC359" s="208"/>
    </row>
    <row r="360" spans="3:29" outlineLevel="1">
      <c r="C360" s="198" t="s">
        <v>1035</v>
      </c>
      <c r="D360" s="445" t="str">
        <f t="shared" ref="D360:D370" si="203">D282</f>
        <v>4</v>
      </c>
      <c r="E360" s="198" t="s">
        <v>968</v>
      </c>
      <c r="F360" s="551">
        <f t="shared" ref="F360:X360" si="204">IF(F$6=0,0,F282*2)</f>
        <v>0</v>
      </c>
      <c r="G360" s="551">
        <f t="shared" si="204"/>
        <v>0</v>
      </c>
      <c r="H360" s="551">
        <f t="shared" si="204"/>
        <v>0</v>
      </c>
      <c r="I360" s="551">
        <f t="shared" si="204"/>
        <v>0</v>
      </c>
      <c r="J360" s="551">
        <f t="shared" si="204"/>
        <v>2</v>
      </c>
      <c r="K360" s="551">
        <f t="shared" si="204"/>
        <v>2</v>
      </c>
      <c r="L360" s="551">
        <f t="shared" si="204"/>
        <v>2</v>
      </c>
      <c r="M360" s="551">
        <f t="shared" si="204"/>
        <v>2</v>
      </c>
      <c r="N360" s="551">
        <f t="shared" si="204"/>
        <v>0</v>
      </c>
      <c r="O360" s="551">
        <f t="shared" si="204"/>
        <v>0</v>
      </c>
      <c r="P360" s="551">
        <f t="shared" si="204"/>
        <v>0</v>
      </c>
      <c r="Q360" s="551">
        <f t="shared" si="204"/>
        <v>0</v>
      </c>
      <c r="R360" s="551">
        <f t="shared" si="204"/>
        <v>0</v>
      </c>
      <c r="S360" s="551">
        <f t="shared" si="204"/>
        <v>0</v>
      </c>
      <c r="T360" s="551">
        <f t="shared" si="204"/>
        <v>0</v>
      </c>
      <c r="U360" s="551">
        <f t="shared" si="204"/>
        <v>0</v>
      </c>
      <c r="V360" s="551">
        <f t="shared" si="204"/>
        <v>0</v>
      </c>
      <c r="W360" s="551">
        <f t="shared" si="204"/>
        <v>0</v>
      </c>
      <c r="X360" s="550">
        <f t="shared" si="204"/>
        <v>0</v>
      </c>
      <c r="Y360" s="432">
        <f t="shared" ref="Y360:Y370" si="205">SUMPRODUCT($F360:$X360,$F$6:$X$6)</f>
        <v>172</v>
      </c>
      <c r="Z360" s="538">
        <f>'MF Pricing'!F160</f>
        <v>1.8</v>
      </c>
      <c r="AA360" s="537">
        <f t="shared" ref="AA360:AA370" si="206">Y360*Z360</f>
        <v>309.60000000000002</v>
      </c>
      <c r="AB360" s="208"/>
      <c r="AC360" s="208"/>
    </row>
    <row r="361" spans="3:29" outlineLevel="1">
      <c r="C361" s="200" t="s">
        <v>1038</v>
      </c>
      <c r="D361" s="434" t="str">
        <f t="shared" si="203"/>
        <v>5</v>
      </c>
      <c r="E361" s="200" t="s">
        <v>968</v>
      </c>
      <c r="F361" s="551">
        <f t="shared" ref="F361:X361" si="207">IF(F$6=0,0,F283*2)</f>
        <v>2</v>
      </c>
      <c r="G361" s="551">
        <f t="shared" si="207"/>
        <v>2</v>
      </c>
      <c r="H361" s="551">
        <f t="shared" si="207"/>
        <v>2</v>
      </c>
      <c r="I361" s="551">
        <f t="shared" si="207"/>
        <v>2</v>
      </c>
      <c r="J361" s="551">
        <f t="shared" si="207"/>
        <v>0</v>
      </c>
      <c r="K361" s="551">
        <f t="shared" si="207"/>
        <v>0</v>
      </c>
      <c r="L361" s="551">
        <f t="shared" si="207"/>
        <v>0</v>
      </c>
      <c r="M361" s="551">
        <f t="shared" si="207"/>
        <v>0</v>
      </c>
      <c r="N361" s="551">
        <f t="shared" si="207"/>
        <v>2</v>
      </c>
      <c r="O361" s="551">
        <f t="shared" si="207"/>
        <v>6</v>
      </c>
      <c r="P361" s="551">
        <f t="shared" si="207"/>
        <v>4</v>
      </c>
      <c r="Q361" s="551">
        <f t="shared" si="207"/>
        <v>6</v>
      </c>
      <c r="R361" s="551">
        <f t="shared" si="207"/>
        <v>4</v>
      </c>
      <c r="S361" s="551">
        <f t="shared" si="207"/>
        <v>8</v>
      </c>
      <c r="T361" s="551">
        <f t="shared" si="207"/>
        <v>10</v>
      </c>
      <c r="U361" s="551">
        <f t="shared" si="207"/>
        <v>8</v>
      </c>
      <c r="V361" s="551">
        <f t="shared" si="207"/>
        <v>0</v>
      </c>
      <c r="W361" s="551">
        <f t="shared" si="207"/>
        <v>0</v>
      </c>
      <c r="X361" s="550">
        <f t="shared" si="207"/>
        <v>0</v>
      </c>
      <c r="Y361" s="432">
        <f t="shared" si="205"/>
        <v>1158</v>
      </c>
      <c r="Z361" s="431">
        <f>'MF Pricing'!F161</f>
        <v>1.95</v>
      </c>
      <c r="AA361" s="537">
        <f t="shared" si="206"/>
        <v>2258.1</v>
      </c>
      <c r="AB361" s="208"/>
      <c r="AC361" s="208"/>
    </row>
    <row r="362" spans="3:29" outlineLevel="1">
      <c r="C362" s="200" t="s">
        <v>1040</v>
      </c>
      <c r="D362" s="434" t="str">
        <f t="shared" si="203"/>
        <v>6</v>
      </c>
      <c r="E362" s="200" t="s">
        <v>968</v>
      </c>
      <c r="F362" s="551">
        <f t="shared" ref="F362:X362" si="208">IF(F$6=0,0,F284*2)</f>
        <v>0</v>
      </c>
      <c r="G362" s="551">
        <f t="shared" si="208"/>
        <v>6</v>
      </c>
      <c r="H362" s="551">
        <f t="shared" si="208"/>
        <v>0</v>
      </c>
      <c r="I362" s="551">
        <f t="shared" si="208"/>
        <v>0</v>
      </c>
      <c r="J362" s="551">
        <f t="shared" si="208"/>
        <v>2</v>
      </c>
      <c r="K362" s="551">
        <f t="shared" si="208"/>
        <v>2</v>
      </c>
      <c r="L362" s="551">
        <f t="shared" si="208"/>
        <v>2</v>
      </c>
      <c r="M362" s="551">
        <f t="shared" si="208"/>
        <v>2</v>
      </c>
      <c r="N362" s="551">
        <f t="shared" si="208"/>
        <v>0</v>
      </c>
      <c r="O362" s="551">
        <f t="shared" si="208"/>
        <v>0</v>
      </c>
      <c r="P362" s="551">
        <f t="shared" si="208"/>
        <v>2</v>
      </c>
      <c r="Q362" s="551">
        <f t="shared" si="208"/>
        <v>0</v>
      </c>
      <c r="R362" s="551">
        <f t="shared" si="208"/>
        <v>2</v>
      </c>
      <c r="S362" s="551">
        <f t="shared" si="208"/>
        <v>4</v>
      </c>
      <c r="T362" s="551">
        <f t="shared" si="208"/>
        <v>0</v>
      </c>
      <c r="U362" s="551">
        <f t="shared" si="208"/>
        <v>4</v>
      </c>
      <c r="V362" s="551">
        <f t="shared" si="208"/>
        <v>0</v>
      </c>
      <c r="W362" s="551">
        <f t="shared" si="208"/>
        <v>0</v>
      </c>
      <c r="X362" s="550">
        <f t="shared" si="208"/>
        <v>0</v>
      </c>
      <c r="Y362" s="432">
        <f t="shared" si="205"/>
        <v>484</v>
      </c>
      <c r="Z362" s="431">
        <f>'MF Pricing'!F162</f>
        <v>2.15</v>
      </c>
      <c r="AA362" s="537">
        <f t="shared" si="206"/>
        <v>1040.5999999999999</v>
      </c>
      <c r="AB362" s="208"/>
      <c r="AC362" s="208"/>
    </row>
    <row r="363" spans="3:29" outlineLevel="1">
      <c r="C363" s="200" t="s">
        <v>1042</v>
      </c>
      <c r="D363" s="434" t="str">
        <f t="shared" si="203"/>
        <v>7</v>
      </c>
      <c r="E363" s="200" t="s">
        <v>968</v>
      </c>
      <c r="F363" s="551">
        <f t="shared" ref="F363:X363" si="209">IF(F$6=0,0,F285*2)</f>
        <v>0</v>
      </c>
      <c r="G363" s="551">
        <f t="shared" si="209"/>
        <v>2</v>
      </c>
      <c r="H363" s="551">
        <f t="shared" si="209"/>
        <v>0</v>
      </c>
      <c r="I363" s="551">
        <f t="shared" si="209"/>
        <v>2</v>
      </c>
      <c r="J363" s="551">
        <f t="shared" si="209"/>
        <v>2</v>
      </c>
      <c r="K363" s="551">
        <f t="shared" si="209"/>
        <v>2</v>
      </c>
      <c r="L363" s="551">
        <f t="shared" si="209"/>
        <v>4</v>
      </c>
      <c r="M363" s="551">
        <f t="shared" si="209"/>
        <v>4</v>
      </c>
      <c r="N363" s="551">
        <f t="shared" si="209"/>
        <v>4</v>
      </c>
      <c r="O363" s="551">
        <f t="shared" si="209"/>
        <v>4</v>
      </c>
      <c r="P363" s="551">
        <f t="shared" si="209"/>
        <v>4</v>
      </c>
      <c r="Q363" s="551">
        <f t="shared" si="209"/>
        <v>6</v>
      </c>
      <c r="R363" s="551">
        <f t="shared" si="209"/>
        <v>8</v>
      </c>
      <c r="S363" s="551">
        <f t="shared" si="209"/>
        <v>6</v>
      </c>
      <c r="T363" s="551">
        <f t="shared" si="209"/>
        <v>4</v>
      </c>
      <c r="U363" s="551">
        <f t="shared" si="209"/>
        <v>6</v>
      </c>
      <c r="V363" s="551">
        <f t="shared" si="209"/>
        <v>0</v>
      </c>
      <c r="W363" s="551">
        <f t="shared" si="209"/>
        <v>0</v>
      </c>
      <c r="X363" s="550">
        <f t="shared" si="209"/>
        <v>0</v>
      </c>
      <c r="Y363" s="432">
        <f t="shared" si="205"/>
        <v>1312</v>
      </c>
      <c r="Z363" s="431">
        <f>'MF Pricing'!F163</f>
        <v>2.58</v>
      </c>
      <c r="AA363" s="537">
        <f t="shared" si="206"/>
        <v>3384.96</v>
      </c>
      <c r="AB363" s="208"/>
      <c r="AC363" s="208"/>
    </row>
    <row r="364" spans="3:29" outlineLevel="1">
      <c r="C364" s="200" t="s">
        <v>1044</v>
      </c>
      <c r="D364" s="434" t="str">
        <f t="shared" si="203"/>
        <v>8</v>
      </c>
      <c r="E364" s="200" t="s">
        <v>968</v>
      </c>
      <c r="F364" s="551">
        <f t="shared" ref="F364:X364" si="210">IF(F$6=0,0,F286*2)</f>
        <v>0</v>
      </c>
      <c r="G364" s="551">
        <f t="shared" si="210"/>
        <v>2</v>
      </c>
      <c r="H364" s="551">
        <f t="shared" si="210"/>
        <v>0</v>
      </c>
      <c r="I364" s="551">
        <f t="shared" si="210"/>
        <v>4</v>
      </c>
      <c r="J364" s="551">
        <f t="shared" si="210"/>
        <v>2</v>
      </c>
      <c r="K364" s="551">
        <f t="shared" si="210"/>
        <v>2</v>
      </c>
      <c r="L364" s="551">
        <f t="shared" si="210"/>
        <v>2</v>
      </c>
      <c r="M364" s="551">
        <f t="shared" si="210"/>
        <v>2</v>
      </c>
      <c r="N364" s="551">
        <f t="shared" si="210"/>
        <v>4</v>
      </c>
      <c r="O364" s="551">
        <f t="shared" si="210"/>
        <v>2</v>
      </c>
      <c r="P364" s="551">
        <f t="shared" si="210"/>
        <v>2</v>
      </c>
      <c r="Q364" s="551">
        <f t="shared" si="210"/>
        <v>2</v>
      </c>
      <c r="R364" s="551">
        <f t="shared" si="210"/>
        <v>0</v>
      </c>
      <c r="S364" s="551">
        <f t="shared" si="210"/>
        <v>4</v>
      </c>
      <c r="T364" s="551">
        <f t="shared" si="210"/>
        <v>8</v>
      </c>
      <c r="U364" s="551">
        <f t="shared" si="210"/>
        <v>8</v>
      </c>
      <c r="V364" s="551">
        <f t="shared" si="210"/>
        <v>0</v>
      </c>
      <c r="W364" s="551">
        <f t="shared" si="210"/>
        <v>0</v>
      </c>
      <c r="X364" s="550">
        <f t="shared" si="210"/>
        <v>0</v>
      </c>
      <c r="Y364" s="432">
        <f t="shared" si="205"/>
        <v>844</v>
      </c>
      <c r="Z364" s="431">
        <f>'MF Pricing'!F164</f>
        <v>3.15</v>
      </c>
      <c r="AA364" s="537">
        <f t="shared" si="206"/>
        <v>2658.6</v>
      </c>
      <c r="AB364" s="208"/>
      <c r="AC364" s="208"/>
    </row>
    <row r="365" spans="3:29" outlineLevel="1">
      <c r="C365" s="200" t="s">
        <v>1046</v>
      </c>
      <c r="D365" s="434" t="str">
        <f t="shared" si="203"/>
        <v>9</v>
      </c>
      <c r="E365" s="200" t="s">
        <v>968</v>
      </c>
      <c r="F365" s="551">
        <f t="shared" ref="F365:X365" si="211">IF(F$6=0,0,F287*2)</f>
        <v>4</v>
      </c>
      <c r="G365" s="551">
        <f t="shared" si="211"/>
        <v>0</v>
      </c>
      <c r="H365" s="551">
        <f t="shared" si="211"/>
        <v>4</v>
      </c>
      <c r="I365" s="551">
        <f t="shared" si="211"/>
        <v>0</v>
      </c>
      <c r="J365" s="551">
        <f t="shared" si="211"/>
        <v>0</v>
      </c>
      <c r="K365" s="551">
        <f t="shared" si="211"/>
        <v>0</v>
      </c>
      <c r="L365" s="551">
        <f t="shared" si="211"/>
        <v>0</v>
      </c>
      <c r="M365" s="551">
        <f t="shared" si="211"/>
        <v>0</v>
      </c>
      <c r="N365" s="551">
        <f t="shared" si="211"/>
        <v>0</v>
      </c>
      <c r="O365" s="551">
        <f t="shared" si="211"/>
        <v>0</v>
      </c>
      <c r="P365" s="551">
        <f t="shared" si="211"/>
        <v>2</v>
      </c>
      <c r="Q365" s="551">
        <f t="shared" si="211"/>
        <v>4</v>
      </c>
      <c r="R365" s="551">
        <f t="shared" si="211"/>
        <v>2</v>
      </c>
      <c r="S365" s="551">
        <f t="shared" si="211"/>
        <v>2</v>
      </c>
      <c r="T365" s="551">
        <f t="shared" si="211"/>
        <v>0</v>
      </c>
      <c r="U365" s="551">
        <f t="shared" si="211"/>
        <v>0</v>
      </c>
      <c r="V365" s="551">
        <f t="shared" si="211"/>
        <v>0</v>
      </c>
      <c r="W365" s="551">
        <f t="shared" si="211"/>
        <v>0</v>
      </c>
      <c r="X365" s="550">
        <f t="shared" si="211"/>
        <v>0</v>
      </c>
      <c r="Y365" s="432">
        <f t="shared" si="205"/>
        <v>284</v>
      </c>
      <c r="Z365" s="431">
        <f>'MF Pricing'!F165</f>
        <v>3.5</v>
      </c>
      <c r="AA365" s="537">
        <f t="shared" si="206"/>
        <v>994</v>
      </c>
      <c r="AB365" s="208"/>
      <c r="AC365" s="208"/>
    </row>
    <row r="366" spans="3:29" outlineLevel="1">
      <c r="C366" s="200" t="s">
        <v>1048</v>
      </c>
      <c r="D366" s="434" t="str">
        <f t="shared" si="203"/>
        <v>10</v>
      </c>
      <c r="E366" s="200" t="s">
        <v>968</v>
      </c>
      <c r="F366" s="551">
        <f t="shared" ref="F366:X366" si="212">IF(F$6=0,0,F288*2)</f>
        <v>0</v>
      </c>
      <c r="G366" s="551">
        <f t="shared" si="212"/>
        <v>0</v>
      </c>
      <c r="H366" s="551">
        <f t="shared" si="212"/>
        <v>0</v>
      </c>
      <c r="I366" s="551">
        <f t="shared" si="212"/>
        <v>2</v>
      </c>
      <c r="J366" s="551">
        <f t="shared" si="212"/>
        <v>2</v>
      </c>
      <c r="K366" s="551">
        <f t="shared" si="212"/>
        <v>2</v>
      </c>
      <c r="L366" s="551">
        <f t="shared" si="212"/>
        <v>2</v>
      </c>
      <c r="M366" s="551">
        <f t="shared" si="212"/>
        <v>2</v>
      </c>
      <c r="N366" s="551">
        <f t="shared" si="212"/>
        <v>0</v>
      </c>
      <c r="O366" s="551">
        <f t="shared" si="212"/>
        <v>0</v>
      </c>
      <c r="P366" s="551">
        <f t="shared" si="212"/>
        <v>0</v>
      </c>
      <c r="Q366" s="551">
        <f t="shared" si="212"/>
        <v>0</v>
      </c>
      <c r="R366" s="551">
        <f t="shared" si="212"/>
        <v>0</v>
      </c>
      <c r="S366" s="551">
        <f t="shared" si="212"/>
        <v>0</v>
      </c>
      <c r="T366" s="551">
        <f t="shared" si="212"/>
        <v>0</v>
      </c>
      <c r="U366" s="551">
        <f t="shared" si="212"/>
        <v>0</v>
      </c>
      <c r="V366" s="551">
        <f t="shared" si="212"/>
        <v>0</v>
      </c>
      <c r="W366" s="551">
        <f t="shared" si="212"/>
        <v>0</v>
      </c>
      <c r="X366" s="550">
        <f t="shared" si="212"/>
        <v>0</v>
      </c>
      <c r="Y366" s="432">
        <f t="shared" si="205"/>
        <v>210</v>
      </c>
      <c r="Z366" s="431">
        <f>'MF Pricing'!F166</f>
        <v>4.25</v>
      </c>
      <c r="AA366" s="537">
        <f t="shared" si="206"/>
        <v>892.5</v>
      </c>
      <c r="AB366" s="208"/>
      <c r="AC366" s="208"/>
    </row>
    <row r="367" spans="3:29" outlineLevel="1">
      <c r="C367" s="200" t="s">
        <v>1050</v>
      </c>
      <c r="D367" s="434" t="str">
        <f t="shared" si="203"/>
        <v>12</v>
      </c>
      <c r="E367" s="200" t="s">
        <v>968</v>
      </c>
      <c r="F367" s="551">
        <f t="shared" ref="F367:X367" si="213">IF(F$6=0,0,F289*2)</f>
        <v>2</v>
      </c>
      <c r="G367" s="551">
        <f t="shared" si="213"/>
        <v>0</v>
      </c>
      <c r="H367" s="551">
        <f t="shared" si="213"/>
        <v>0</v>
      </c>
      <c r="I367" s="551">
        <f t="shared" si="213"/>
        <v>0</v>
      </c>
      <c r="J367" s="551">
        <f t="shared" si="213"/>
        <v>0</v>
      </c>
      <c r="K367" s="551">
        <f t="shared" si="213"/>
        <v>0</v>
      </c>
      <c r="L367" s="551">
        <f t="shared" si="213"/>
        <v>0</v>
      </c>
      <c r="M367" s="551">
        <f t="shared" si="213"/>
        <v>0</v>
      </c>
      <c r="N367" s="551">
        <f t="shared" si="213"/>
        <v>0</v>
      </c>
      <c r="O367" s="551">
        <f t="shared" si="213"/>
        <v>0</v>
      </c>
      <c r="P367" s="551">
        <f t="shared" si="213"/>
        <v>0</v>
      </c>
      <c r="Q367" s="551">
        <f t="shared" si="213"/>
        <v>0</v>
      </c>
      <c r="R367" s="551">
        <f t="shared" si="213"/>
        <v>0</v>
      </c>
      <c r="S367" s="551">
        <f t="shared" si="213"/>
        <v>0</v>
      </c>
      <c r="T367" s="551">
        <f t="shared" si="213"/>
        <v>0</v>
      </c>
      <c r="U367" s="551">
        <f t="shared" si="213"/>
        <v>0</v>
      </c>
      <c r="V367" s="551">
        <f t="shared" si="213"/>
        <v>0</v>
      </c>
      <c r="W367" s="551">
        <f t="shared" si="213"/>
        <v>0</v>
      </c>
      <c r="X367" s="550">
        <f t="shared" si="213"/>
        <v>0</v>
      </c>
      <c r="Y367" s="432">
        <f t="shared" si="205"/>
        <v>16</v>
      </c>
      <c r="Z367" s="431">
        <f>'MF Pricing'!F167</f>
        <v>5</v>
      </c>
      <c r="AA367" s="537">
        <f t="shared" si="206"/>
        <v>80</v>
      </c>
      <c r="AB367" s="208"/>
      <c r="AC367" s="208"/>
    </row>
    <row r="368" spans="3:29" outlineLevel="1">
      <c r="C368" s="200" t="s">
        <v>1052</v>
      </c>
      <c r="D368" s="434" t="str">
        <f t="shared" si="203"/>
        <v>14</v>
      </c>
      <c r="E368" s="200" t="s">
        <v>968</v>
      </c>
      <c r="F368" s="551">
        <f t="shared" ref="F368:X368" si="214">IF(F$6=0,0,F290*2)</f>
        <v>0</v>
      </c>
      <c r="G368" s="551">
        <f t="shared" si="214"/>
        <v>0</v>
      </c>
      <c r="H368" s="551">
        <f t="shared" si="214"/>
        <v>0</v>
      </c>
      <c r="I368" s="551">
        <f t="shared" si="214"/>
        <v>0</v>
      </c>
      <c r="J368" s="551">
        <f t="shared" si="214"/>
        <v>0</v>
      </c>
      <c r="K368" s="551">
        <f t="shared" si="214"/>
        <v>0</v>
      </c>
      <c r="L368" s="551">
        <f t="shared" si="214"/>
        <v>0</v>
      </c>
      <c r="M368" s="551">
        <f t="shared" si="214"/>
        <v>0</v>
      </c>
      <c r="N368" s="551">
        <f t="shared" si="214"/>
        <v>0</v>
      </c>
      <c r="O368" s="551">
        <f t="shared" si="214"/>
        <v>0</v>
      </c>
      <c r="P368" s="551">
        <f t="shared" si="214"/>
        <v>0</v>
      </c>
      <c r="Q368" s="551">
        <f t="shared" si="214"/>
        <v>0</v>
      </c>
      <c r="R368" s="551">
        <f t="shared" si="214"/>
        <v>0</v>
      </c>
      <c r="S368" s="551">
        <f t="shared" si="214"/>
        <v>0</v>
      </c>
      <c r="T368" s="551">
        <f t="shared" si="214"/>
        <v>0</v>
      </c>
      <c r="U368" s="551">
        <f t="shared" si="214"/>
        <v>0</v>
      </c>
      <c r="V368" s="551">
        <f t="shared" si="214"/>
        <v>0</v>
      </c>
      <c r="W368" s="551">
        <f t="shared" si="214"/>
        <v>0</v>
      </c>
      <c r="X368" s="550">
        <f t="shared" si="214"/>
        <v>0</v>
      </c>
      <c r="Y368" s="432">
        <f t="shared" si="205"/>
        <v>0</v>
      </c>
      <c r="Z368" s="431">
        <f>'MF Pricing'!F168</f>
        <v>6</v>
      </c>
      <c r="AA368" s="537">
        <f t="shared" si="206"/>
        <v>0</v>
      </c>
      <c r="AB368" s="208"/>
      <c r="AC368" s="208"/>
    </row>
    <row r="369" spans="3:29" outlineLevel="1">
      <c r="C369" s="200" t="s">
        <v>1054</v>
      </c>
      <c r="D369" s="434" t="str">
        <f t="shared" si="203"/>
        <v>16</v>
      </c>
      <c r="E369" s="200" t="s">
        <v>968</v>
      </c>
      <c r="F369" s="551">
        <f t="shared" ref="F369:X369" si="215">IF(F$6=0,0,F291*2)</f>
        <v>0</v>
      </c>
      <c r="G369" s="551">
        <f t="shared" si="215"/>
        <v>0</v>
      </c>
      <c r="H369" s="551">
        <f t="shared" si="215"/>
        <v>0</v>
      </c>
      <c r="I369" s="551">
        <f t="shared" si="215"/>
        <v>0</v>
      </c>
      <c r="J369" s="551">
        <f t="shared" si="215"/>
        <v>0</v>
      </c>
      <c r="K369" s="551">
        <f t="shared" si="215"/>
        <v>0</v>
      </c>
      <c r="L369" s="551">
        <f t="shared" si="215"/>
        <v>0</v>
      </c>
      <c r="M369" s="551">
        <f t="shared" si="215"/>
        <v>0</v>
      </c>
      <c r="N369" s="551">
        <f t="shared" si="215"/>
        <v>0</v>
      </c>
      <c r="O369" s="551">
        <f t="shared" si="215"/>
        <v>0</v>
      </c>
      <c r="P369" s="551">
        <f t="shared" si="215"/>
        <v>0</v>
      </c>
      <c r="Q369" s="551">
        <f t="shared" si="215"/>
        <v>0</v>
      </c>
      <c r="R369" s="551">
        <f t="shared" si="215"/>
        <v>0</v>
      </c>
      <c r="S369" s="551">
        <f t="shared" si="215"/>
        <v>0</v>
      </c>
      <c r="T369" s="551">
        <f t="shared" si="215"/>
        <v>0</v>
      </c>
      <c r="U369" s="551">
        <f t="shared" si="215"/>
        <v>0</v>
      </c>
      <c r="V369" s="551">
        <f t="shared" si="215"/>
        <v>0</v>
      </c>
      <c r="W369" s="551">
        <f t="shared" si="215"/>
        <v>0</v>
      </c>
      <c r="X369" s="550">
        <f t="shared" si="215"/>
        <v>0</v>
      </c>
      <c r="Y369" s="432">
        <f t="shared" si="205"/>
        <v>0</v>
      </c>
      <c r="Z369" s="431">
        <f>'MF Pricing'!F169</f>
        <v>7</v>
      </c>
      <c r="AA369" s="537">
        <f t="shared" si="206"/>
        <v>0</v>
      </c>
      <c r="AB369" s="208"/>
      <c r="AC369" s="208"/>
    </row>
    <row r="370" spans="3:29" outlineLevel="1">
      <c r="C370" s="200" t="s">
        <v>1056</v>
      </c>
      <c r="D370" s="444" t="str">
        <f t="shared" si="203"/>
        <v>18</v>
      </c>
      <c r="E370" s="200" t="s">
        <v>968</v>
      </c>
      <c r="F370" s="551">
        <f t="shared" ref="F370:X370" si="216">IF(F$6=0,0,F292*2)</f>
        <v>0</v>
      </c>
      <c r="G370" s="551">
        <f t="shared" si="216"/>
        <v>0</v>
      </c>
      <c r="H370" s="551">
        <f t="shared" si="216"/>
        <v>0</v>
      </c>
      <c r="I370" s="551">
        <f t="shared" si="216"/>
        <v>0</v>
      </c>
      <c r="J370" s="551">
        <f t="shared" si="216"/>
        <v>0</v>
      </c>
      <c r="K370" s="551">
        <f t="shared" si="216"/>
        <v>0</v>
      </c>
      <c r="L370" s="551">
        <f t="shared" si="216"/>
        <v>0</v>
      </c>
      <c r="M370" s="551">
        <f t="shared" si="216"/>
        <v>0</v>
      </c>
      <c r="N370" s="551">
        <f t="shared" si="216"/>
        <v>0</v>
      </c>
      <c r="O370" s="551">
        <f t="shared" si="216"/>
        <v>0</v>
      </c>
      <c r="P370" s="551">
        <f t="shared" si="216"/>
        <v>0</v>
      </c>
      <c r="Q370" s="551">
        <f t="shared" si="216"/>
        <v>0</v>
      </c>
      <c r="R370" s="551">
        <f t="shared" si="216"/>
        <v>0</v>
      </c>
      <c r="S370" s="551">
        <f t="shared" si="216"/>
        <v>0</v>
      </c>
      <c r="T370" s="551">
        <f t="shared" si="216"/>
        <v>0</v>
      </c>
      <c r="U370" s="551">
        <f t="shared" si="216"/>
        <v>0</v>
      </c>
      <c r="V370" s="551">
        <f t="shared" si="216"/>
        <v>0</v>
      </c>
      <c r="W370" s="551">
        <f t="shared" si="216"/>
        <v>0</v>
      </c>
      <c r="X370" s="550">
        <f t="shared" si="216"/>
        <v>0</v>
      </c>
      <c r="Y370" s="432">
        <f t="shared" si="205"/>
        <v>0</v>
      </c>
      <c r="Z370" s="431">
        <f>'MF Pricing'!F170</f>
        <v>8</v>
      </c>
      <c r="AA370" s="537">
        <f t="shared" si="206"/>
        <v>0</v>
      </c>
      <c r="AB370" s="208"/>
      <c r="AC370" s="208"/>
    </row>
    <row r="371" spans="3:29" outlineLevel="1">
      <c r="C371" s="423" t="s">
        <v>1184</v>
      </c>
      <c r="D371" s="1"/>
      <c r="E371" s="536" t="s">
        <v>1185</v>
      </c>
      <c r="F371" s="535">
        <f t="shared" ref="F371:X371" si="217">SUMPRODUCT(F$360:F$370,$Z$360:$Z$370)</f>
        <v>27.9</v>
      </c>
      <c r="G371" s="534">
        <f t="shared" si="217"/>
        <v>28.259999999999998</v>
      </c>
      <c r="H371" s="534">
        <f t="shared" si="217"/>
        <v>17.899999999999999</v>
      </c>
      <c r="I371" s="534">
        <f t="shared" si="217"/>
        <v>30.16</v>
      </c>
      <c r="J371" s="534">
        <f t="shared" si="217"/>
        <v>27.86</v>
      </c>
      <c r="K371" s="534">
        <f t="shared" si="217"/>
        <v>27.86</v>
      </c>
      <c r="L371" s="534">
        <f t="shared" si="217"/>
        <v>33.019999999999996</v>
      </c>
      <c r="M371" s="534">
        <f t="shared" si="217"/>
        <v>33.019999999999996</v>
      </c>
      <c r="N371" s="534">
        <f t="shared" si="217"/>
        <v>26.82</v>
      </c>
      <c r="O371" s="534">
        <f t="shared" si="217"/>
        <v>28.32</v>
      </c>
      <c r="P371" s="534">
        <f t="shared" si="217"/>
        <v>35.72</v>
      </c>
      <c r="Q371" s="534">
        <f t="shared" si="217"/>
        <v>47.48</v>
      </c>
      <c r="R371" s="534">
        <f t="shared" si="217"/>
        <v>39.74</v>
      </c>
      <c r="S371" s="534">
        <f t="shared" si="217"/>
        <v>59.28</v>
      </c>
      <c r="T371" s="534">
        <f t="shared" si="217"/>
        <v>55.019999999999996</v>
      </c>
      <c r="U371" s="534">
        <f t="shared" si="217"/>
        <v>64.88</v>
      </c>
      <c r="V371" s="534">
        <f t="shared" si="217"/>
        <v>0</v>
      </c>
      <c r="W371" s="534">
        <f t="shared" si="217"/>
        <v>0</v>
      </c>
      <c r="X371" s="533">
        <f t="shared" si="217"/>
        <v>0</v>
      </c>
      <c r="Y371" s="432"/>
      <c r="Z371" s="532"/>
      <c r="AA371" s="394"/>
      <c r="AB371" s="208"/>
      <c r="AC371" s="208"/>
    </row>
    <row r="372" spans="3:29" outlineLevel="1">
      <c r="C372" s="423" t="s">
        <v>988</v>
      </c>
      <c r="D372" s="1"/>
      <c r="E372" s="16" t="s">
        <v>961</v>
      </c>
      <c r="F372" s="530">
        <f t="shared" ref="F372:X372" si="218">F371*F$6</f>
        <v>223.2</v>
      </c>
      <c r="G372" s="529">
        <f t="shared" si="218"/>
        <v>452.15999999999997</v>
      </c>
      <c r="H372" s="529">
        <f t="shared" si="218"/>
        <v>143.19999999999999</v>
      </c>
      <c r="I372" s="529">
        <f t="shared" si="218"/>
        <v>573.04</v>
      </c>
      <c r="J372" s="529">
        <f t="shared" si="218"/>
        <v>1337.28</v>
      </c>
      <c r="K372" s="529">
        <f t="shared" si="218"/>
        <v>111.44</v>
      </c>
      <c r="L372" s="529">
        <f t="shared" si="218"/>
        <v>792.4799999999999</v>
      </c>
      <c r="M372" s="529">
        <f t="shared" si="218"/>
        <v>330.19999999999993</v>
      </c>
      <c r="N372" s="529">
        <f t="shared" si="218"/>
        <v>858.24</v>
      </c>
      <c r="O372" s="529">
        <f t="shared" si="218"/>
        <v>1812.48</v>
      </c>
      <c r="P372" s="529">
        <f t="shared" si="218"/>
        <v>1643.12</v>
      </c>
      <c r="Q372" s="529">
        <f t="shared" si="218"/>
        <v>759.68</v>
      </c>
      <c r="R372" s="529">
        <f t="shared" si="218"/>
        <v>953.76</v>
      </c>
      <c r="S372" s="529">
        <f t="shared" si="218"/>
        <v>474.24</v>
      </c>
      <c r="T372" s="529">
        <f t="shared" si="218"/>
        <v>440.15999999999997</v>
      </c>
      <c r="U372" s="529">
        <f t="shared" si="218"/>
        <v>713.68</v>
      </c>
      <c r="V372" s="529">
        <f t="shared" si="218"/>
        <v>0</v>
      </c>
      <c r="W372" s="529">
        <f t="shared" si="218"/>
        <v>0</v>
      </c>
      <c r="X372" s="528">
        <f t="shared" si="218"/>
        <v>0</v>
      </c>
      <c r="Y372" s="422">
        <f>SUM(Y360:Y370)</f>
        <v>4480</v>
      </c>
      <c r="Z372" s="255"/>
      <c r="AA372" s="527">
        <f>SUM(F372:X372)</f>
        <v>11618.36</v>
      </c>
      <c r="AB372" s="208"/>
      <c r="AC372" s="208"/>
    </row>
    <row r="373" spans="3:29">
      <c r="C373" s="96" t="s">
        <v>1067</v>
      </c>
      <c r="D373" s="940" t="s">
        <v>1279</v>
      </c>
      <c r="E373" s="940"/>
      <c r="F373" s="552"/>
      <c r="G373" s="542"/>
      <c r="H373" s="542"/>
      <c r="I373" s="542"/>
      <c r="J373" s="542"/>
      <c r="K373" s="542"/>
      <c r="L373" s="542"/>
      <c r="M373" s="542"/>
      <c r="N373" s="542"/>
      <c r="O373" s="542"/>
      <c r="P373" s="542"/>
      <c r="Q373" s="542"/>
      <c r="R373" s="542"/>
      <c r="S373" s="542"/>
      <c r="T373" s="542"/>
      <c r="U373" s="542"/>
      <c r="V373" s="542"/>
      <c r="W373" s="542"/>
      <c r="X373" s="542"/>
      <c r="Y373" s="437" t="s">
        <v>948</v>
      </c>
      <c r="Z373" s="92" t="s">
        <v>949</v>
      </c>
      <c r="AA373" s="541" t="s">
        <v>950</v>
      </c>
      <c r="AB373" s="208"/>
      <c r="AC373" s="208"/>
    </row>
    <row r="374" spans="3:29" outlineLevel="1">
      <c r="C374" s="198" t="s">
        <v>1012</v>
      </c>
      <c r="D374" s="443" t="s">
        <v>1068</v>
      </c>
      <c r="E374" s="198" t="s">
        <v>968</v>
      </c>
      <c r="F374" s="555">
        <v>2</v>
      </c>
      <c r="G374" s="555">
        <f>G260</f>
        <v>1</v>
      </c>
      <c r="H374" s="555">
        <f>H260</f>
        <v>2</v>
      </c>
      <c r="I374" s="555">
        <f>I260</f>
        <v>2</v>
      </c>
      <c r="J374" s="555">
        <v>1</v>
      </c>
      <c r="K374" s="555">
        <v>1</v>
      </c>
      <c r="L374" s="555">
        <v>2</v>
      </c>
      <c r="M374" s="555">
        <v>2</v>
      </c>
      <c r="N374" s="555">
        <f>N260</f>
        <v>2</v>
      </c>
      <c r="O374" s="555">
        <f>O260</f>
        <v>1</v>
      </c>
      <c r="P374" s="555">
        <f>P260</f>
        <v>1</v>
      </c>
      <c r="Q374" s="555">
        <f>Q260</f>
        <v>1</v>
      </c>
      <c r="R374" s="555">
        <f>R260</f>
        <v>2</v>
      </c>
      <c r="S374" s="546">
        <v>2</v>
      </c>
      <c r="T374" s="546">
        <v>4</v>
      </c>
      <c r="U374" s="546">
        <v>4</v>
      </c>
      <c r="V374" s="555">
        <f t="shared" ref="V374:X378" si="219">V260</f>
        <v>0</v>
      </c>
      <c r="W374" s="555">
        <f t="shared" si="219"/>
        <v>0</v>
      </c>
      <c r="X374" s="555">
        <f t="shared" si="219"/>
        <v>0</v>
      </c>
      <c r="Y374" s="432">
        <f t="shared" ref="Y374:Y388" si="220">SUMPRODUCT($F374:$X374,$F$6:$X$6)</f>
        <v>536</v>
      </c>
      <c r="Z374" s="538">
        <f>IFERROR(INDEX('MF Pricing'!$F$172:$F$186,MATCH(D374,'MF Pricing'!$D$172:$D$186,0),1),"")</f>
        <v>3.5</v>
      </c>
      <c r="AA374" s="537">
        <f t="shared" ref="AA374:AA388" si="221">IFERROR(Y374*Z374,0)</f>
        <v>1876</v>
      </c>
      <c r="AB374" s="208"/>
      <c r="AC374" s="208"/>
    </row>
    <row r="375" spans="3:29" outlineLevel="1">
      <c r="C375" s="200" t="s">
        <v>1014</v>
      </c>
      <c r="D375" s="442" t="s">
        <v>1069</v>
      </c>
      <c r="E375" s="200" t="s">
        <v>968</v>
      </c>
      <c r="F375" s="555">
        <f t="shared" ref="F375:H377" si="222">F261</f>
        <v>0</v>
      </c>
      <c r="G375" s="555">
        <f t="shared" si="222"/>
        <v>0</v>
      </c>
      <c r="H375" s="555">
        <f t="shared" si="222"/>
        <v>0</v>
      </c>
      <c r="I375" s="555">
        <v>1</v>
      </c>
      <c r="J375" s="555">
        <v>2</v>
      </c>
      <c r="K375" s="555">
        <v>2</v>
      </c>
      <c r="L375" s="555">
        <v>1</v>
      </c>
      <c r="M375" s="555">
        <v>1</v>
      </c>
      <c r="N375" s="555">
        <f t="shared" ref="N375:O378" si="223">N261</f>
        <v>2</v>
      </c>
      <c r="O375" s="555">
        <f t="shared" si="223"/>
        <v>2</v>
      </c>
      <c r="P375" s="555">
        <v>3</v>
      </c>
      <c r="Q375" s="555">
        <v>3</v>
      </c>
      <c r="R375" s="555">
        <v>3</v>
      </c>
      <c r="S375" s="546">
        <v>3</v>
      </c>
      <c r="T375" s="546">
        <v>2</v>
      </c>
      <c r="U375" s="546">
        <v>3</v>
      </c>
      <c r="V375" s="555">
        <f t="shared" si="219"/>
        <v>0</v>
      </c>
      <c r="W375" s="555">
        <f t="shared" si="219"/>
        <v>0</v>
      </c>
      <c r="X375" s="555">
        <f t="shared" si="219"/>
        <v>0</v>
      </c>
      <c r="Y375" s="432">
        <f t="shared" si="220"/>
        <v>680</v>
      </c>
      <c r="Z375" s="538">
        <f>IFERROR(INDEX('MF Pricing'!$F$172:$F$186,MATCH(D375,'MF Pricing'!$D$172:$D$186,0),1),"")</f>
        <v>3.25</v>
      </c>
      <c r="AA375" s="537">
        <f t="shared" si="221"/>
        <v>2210</v>
      </c>
      <c r="AB375" s="208"/>
      <c r="AC375" s="208"/>
    </row>
    <row r="376" spans="3:29" outlineLevel="1">
      <c r="C376" s="200" t="s">
        <v>1016</v>
      </c>
      <c r="D376" s="442" t="s">
        <v>1070</v>
      </c>
      <c r="E376" s="200" t="s">
        <v>968</v>
      </c>
      <c r="F376" s="555">
        <f t="shared" si="222"/>
        <v>0</v>
      </c>
      <c r="G376" s="555">
        <f t="shared" si="222"/>
        <v>3</v>
      </c>
      <c r="H376" s="555">
        <f t="shared" si="222"/>
        <v>0</v>
      </c>
      <c r="I376" s="555">
        <f t="shared" ref="I376:K377" si="224">I262</f>
        <v>0</v>
      </c>
      <c r="J376" s="555">
        <f t="shared" si="224"/>
        <v>0</v>
      </c>
      <c r="K376" s="555">
        <f t="shared" si="224"/>
        <v>0</v>
      </c>
      <c r="L376" s="555">
        <v>1</v>
      </c>
      <c r="M376" s="555">
        <v>1</v>
      </c>
      <c r="N376" s="555">
        <f t="shared" si="223"/>
        <v>0</v>
      </c>
      <c r="O376" s="555">
        <f t="shared" si="223"/>
        <v>0</v>
      </c>
      <c r="P376" s="555">
        <f t="shared" ref="P376:R377" si="225">P262</f>
        <v>0</v>
      </c>
      <c r="Q376" s="555">
        <f t="shared" si="225"/>
        <v>0</v>
      </c>
      <c r="R376" s="555">
        <f t="shared" si="225"/>
        <v>0</v>
      </c>
      <c r="S376" s="546">
        <v>1</v>
      </c>
      <c r="T376" s="546"/>
      <c r="U376" s="546">
        <v>1</v>
      </c>
      <c r="V376" s="555">
        <f t="shared" si="219"/>
        <v>0</v>
      </c>
      <c r="W376" s="555">
        <f t="shared" si="219"/>
        <v>0</v>
      </c>
      <c r="X376" s="555">
        <f t="shared" si="219"/>
        <v>0</v>
      </c>
      <c r="Y376" s="432">
        <f t="shared" si="220"/>
        <v>101</v>
      </c>
      <c r="Z376" s="538">
        <f>IFERROR(INDEX('MF Pricing'!$F$172:$F$186,MATCH(D376,'MF Pricing'!$D$172:$D$186,0),1),"")</f>
        <v>2.95</v>
      </c>
      <c r="AA376" s="537">
        <f t="shared" si="221"/>
        <v>297.95000000000005</v>
      </c>
      <c r="AB376" s="208"/>
      <c r="AC376" s="208"/>
    </row>
    <row r="377" spans="3:29" outlineLevel="1">
      <c r="C377" s="200" t="s">
        <v>1018</v>
      </c>
      <c r="D377" s="442" t="s">
        <v>1071</v>
      </c>
      <c r="E377" s="200" t="s">
        <v>968</v>
      </c>
      <c r="F377" s="555">
        <f t="shared" si="222"/>
        <v>0</v>
      </c>
      <c r="G377" s="555">
        <f t="shared" si="222"/>
        <v>0</v>
      </c>
      <c r="H377" s="555">
        <f t="shared" si="222"/>
        <v>0</v>
      </c>
      <c r="I377" s="555">
        <f t="shared" si="224"/>
        <v>0</v>
      </c>
      <c r="J377" s="555">
        <f t="shared" si="224"/>
        <v>0</v>
      </c>
      <c r="K377" s="555">
        <f t="shared" si="224"/>
        <v>0</v>
      </c>
      <c r="L377" s="555">
        <f>L263</f>
        <v>0</v>
      </c>
      <c r="M377" s="555">
        <f>M263</f>
        <v>0</v>
      </c>
      <c r="N377" s="555">
        <f t="shared" si="223"/>
        <v>0</v>
      </c>
      <c r="O377" s="555">
        <f t="shared" si="223"/>
        <v>0</v>
      </c>
      <c r="P377" s="555">
        <f t="shared" si="225"/>
        <v>0</v>
      </c>
      <c r="Q377" s="555">
        <f t="shared" si="225"/>
        <v>0</v>
      </c>
      <c r="R377" s="555">
        <f t="shared" si="225"/>
        <v>0</v>
      </c>
      <c r="S377" s="546"/>
      <c r="T377" s="546"/>
      <c r="U377" s="546"/>
      <c r="V377" s="555">
        <f t="shared" si="219"/>
        <v>0</v>
      </c>
      <c r="W377" s="555">
        <f t="shared" si="219"/>
        <v>0</v>
      </c>
      <c r="X377" s="555">
        <f t="shared" si="219"/>
        <v>0</v>
      </c>
      <c r="Y377" s="432">
        <f t="shared" si="220"/>
        <v>0</v>
      </c>
      <c r="Z377" s="538">
        <f>IFERROR(INDEX('MF Pricing'!$F$172:$F$186,MATCH(D377,'MF Pricing'!$D$172:$D$186,0),1),"")</f>
        <v>2.7</v>
      </c>
      <c r="AA377" s="537">
        <f t="shared" si="221"/>
        <v>0</v>
      </c>
      <c r="AB377" s="208"/>
      <c r="AC377" s="208"/>
    </row>
    <row r="378" spans="3:29" outlineLevel="1">
      <c r="C378" s="200" t="s">
        <v>1020</v>
      </c>
      <c r="D378" s="442" t="s">
        <v>1072</v>
      </c>
      <c r="E378" s="200" t="s">
        <v>968</v>
      </c>
      <c r="F378" s="555">
        <f>F264</f>
        <v>1</v>
      </c>
      <c r="G378" s="555">
        <f>G264</f>
        <v>1</v>
      </c>
      <c r="H378" s="555">
        <v>1</v>
      </c>
      <c r="I378" s="555">
        <v>1</v>
      </c>
      <c r="J378" s="555">
        <v>1</v>
      </c>
      <c r="K378" s="555">
        <v>1</v>
      </c>
      <c r="L378" s="555">
        <v>1</v>
      </c>
      <c r="M378" s="555">
        <v>1</v>
      </c>
      <c r="N378" s="555">
        <f t="shared" si="223"/>
        <v>1</v>
      </c>
      <c r="O378" s="555">
        <f t="shared" si="223"/>
        <v>3</v>
      </c>
      <c r="P378" s="555">
        <v>3</v>
      </c>
      <c r="Q378" s="555">
        <v>3</v>
      </c>
      <c r="R378" s="555">
        <v>3</v>
      </c>
      <c r="S378" s="546">
        <v>4</v>
      </c>
      <c r="T378" s="546">
        <v>5</v>
      </c>
      <c r="U378" s="546">
        <v>4</v>
      </c>
      <c r="V378" s="555">
        <f t="shared" si="219"/>
        <v>0</v>
      </c>
      <c r="W378" s="555">
        <f t="shared" si="219"/>
        <v>0</v>
      </c>
      <c r="X378" s="555">
        <f t="shared" si="219"/>
        <v>0</v>
      </c>
      <c r="Y378" s="432">
        <f t="shared" si="220"/>
        <v>735</v>
      </c>
      <c r="Z378" s="538">
        <f>IFERROR(INDEX('MF Pricing'!$F$172:$F$186,MATCH(D378,'MF Pricing'!$D$172:$D$186,0),1),"")</f>
        <v>2.5</v>
      </c>
      <c r="AA378" s="537">
        <f t="shared" si="221"/>
        <v>1837.5</v>
      </c>
      <c r="AB378" s="208"/>
      <c r="AC378" s="208"/>
    </row>
    <row r="379" spans="3:29" outlineLevel="1">
      <c r="C379" s="200" t="s">
        <v>1022</v>
      </c>
      <c r="D379" s="442"/>
      <c r="E379" s="200" t="s">
        <v>968</v>
      </c>
      <c r="F379" s="556"/>
      <c r="G379" s="554"/>
      <c r="H379" s="554"/>
      <c r="I379" s="554"/>
      <c r="J379" s="554"/>
      <c r="K379" s="554"/>
      <c r="L379" s="554"/>
      <c r="M379" s="554"/>
      <c r="N379" s="554"/>
      <c r="O379" s="554"/>
      <c r="P379" s="554"/>
      <c r="Q379" s="554"/>
      <c r="R379" s="554"/>
      <c r="S379" s="554"/>
      <c r="T379" s="554"/>
      <c r="U379" s="554"/>
      <c r="V379" s="554"/>
      <c r="W379" s="554"/>
      <c r="X379" s="553"/>
      <c r="Y379" s="432">
        <f t="shared" si="220"/>
        <v>0</v>
      </c>
      <c r="Z379" s="538" t="str">
        <f>IFERROR(INDEX('MF Pricing'!$F$172:$F$186,MATCH(D379,'MF Pricing'!$D$172:$D$186,0),1),"")</f>
        <v/>
      </c>
      <c r="AA379" s="537">
        <f t="shared" si="221"/>
        <v>0</v>
      </c>
      <c r="AB379" s="208"/>
      <c r="AC379" s="208"/>
    </row>
    <row r="380" spans="3:29" outlineLevel="1">
      <c r="C380" s="200" t="s">
        <v>1024</v>
      </c>
      <c r="D380" s="442"/>
      <c r="E380" s="200" t="s">
        <v>968</v>
      </c>
      <c r="F380" s="555"/>
      <c r="G380" s="554"/>
      <c r="H380" s="555"/>
      <c r="I380" s="554"/>
      <c r="J380" s="554"/>
      <c r="K380" s="554"/>
      <c r="L380" s="554"/>
      <c r="M380" s="554"/>
      <c r="N380" s="554"/>
      <c r="O380" s="554"/>
      <c r="P380" s="554"/>
      <c r="Q380" s="554"/>
      <c r="R380" s="554"/>
      <c r="S380" s="554"/>
      <c r="T380" s="554"/>
      <c r="U380" s="554"/>
      <c r="V380" s="554"/>
      <c r="W380" s="554"/>
      <c r="X380" s="553"/>
      <c r="Y380" s="432">
        <f t="shared" si="220"/>
        <v>0</v>
      </c>
      <c r="Z380" s="538" t="str">
        <f>IFERROR(INDEX('MF Pricing'!$F$172:$F$186,MATCH(D380,'MF Pricing'!$D$172:$D$186,0),1),"")</f>
        <v/>
      </c>
      <c r="AA380" s="537">
        <f t="shared" si="221"/>
        <v>0</v>
      </c>
      <c r="AB380" s="208"/>
      <c r="AC380" s="208"/>
    </row>
    <row r="381" spans="3:29" outlineLevel="1">
      <c r="C381" s="200" t="s">
        <v>1025</v>
      </c>
      <c r="D381" s="442"/>
      <c r="E381" s="200" t="s">
        <v>968</v>
      </c>
      <c r="F381" s="555"/>
      <c r="G381" s="554"/>
      <c r="H381" s="554"/>
      <c r="I381" s="554"/>
      <c r="J381" s="554"/>
      <c r="K381" s="554"/>
      <c r="L381" s="554"/>
      <c r="M381" s="554"/>
      <c r="N381" s="554"/>
      <c r="O381" s="554"/>
      <c r="P381" s="554"/>
      <c r="Q381" s="554"/>
      <c r="R381" s="554"/>
      <c r="S381" s="554"/>
      <c r="T381" s="554"/>
      <c r="U381" s="554"/>
      <c r="V381" s="554"/>
      <c r="W381" s="554"/>
      <c r="X381" s="553"/>
      <c r="Y381" s="432">
        <f t="shared" si="220"/>
        <v>0</v>
      </c>
      <c r="Z381" s="538" t="str">
        <f>IFERROR(INDEX('MF Pricing'!$F$172:$F$186,MATCH(D381,'MF Pricing'!$D$172:$D$186,0),1),"")</f>
        <v/>
      </c>
      <c r="AA381" s="537">
        <f t="shared" si="221"/>
        <v>0</v>
      </c>
      <c r="AB381" s="208"/>
      <c r="AC381" s="208"/>
    </row>
    <row r="382" spans="3:29" outlineLevel="1">
      <c r="C382" s="200" t="s">
        <v>1026</v>
      </c>
      <c r="D382" s="442"/>
      <c r="E382" s="200" t="s">
        <v>968</v>
      </c>
      <c r="F382" s="555"/>
      <c r="G382" s="554"/>
      <c r="H382" s="554"/>
      <c r="I382" s="554"/>
      <c r="J382" s="554"/>
      <c r="K382" s="554"/>
      <c r="L382" s="554"/>
      <c r="M382" s="554"/>
      <c r="N382" s="554"/>
      <c r="O382" s="554"/>
      <c r="P382" s="554"/>
      <c r="Q382" s="554"/>
      <c r="R382" s="554"/>
      <c r="S382" s="554"/>
      <c r="T382" s="554"/>
      <c r="U382" s="554"/>
      <c r="V382" s="554"/>
      <c r="W382" s="554"/>
      <c r="X382" s="553"/>
      <c r="Y382" s="432">
        <f t="shared" si="220"/>
        <v>0</v>
      </c>
      <c r="Z382" s="538" t="str">
        <f>IFERROR(INDEX('MF Pricing'!$F$172:$F$186,MATCH(D382,'MF Pricing'!$D$172:$D$186,0),1),"")</f>
        <v/>
      </c>
      <c r="AA382" s="537">
        <f t="shared" si="221"/>
        <v>0</v>
      </c>
      <c r="AB382" s="208"/>
      <c r="AC382" s="208"/>
    </row>
    <row r="383" spans="3:29" outlineLevel="1">
      <c r="C383" s="200" t="s">
        <v>1027</v>
      </c>
      <c r="D383" s="442"/>
      <c r="E383" s="200" t="s">
        <v>968</v>
      </c>
      <c r="F383" s="555"/>
      <c r="G383" s="554"/>
      <c r="H383" s="554"/>
      <c r="I383" s="554"/>
      <c r="J383" s="554"/>
      <c r="K383" s="554"/>
      <c r="L383" s="554"/>
      <c r="M383" s="554"/>
      <c r="N383" s="554"/>
      <c r="O383" s="554"/>
      <c r="P383" s="554"/>
      <c r="Q383" s="554"/>
      <c r="R383" s="554"/>
      <c r="S383" s="554"/>
      <c r="T383" s="554"/>
      <c r="U383" s="554"/>
      <c r="V383" s="554"/>
      <c r="W383" s="554"/>
      <c r="X383" s="553"/>
      <c r="Y383" s="432">
        <f t="shared" si="220"/>
        <v>0</v>
      </c>
      <c r="Z383" s="538" t="str">
        <f>IFERROR(INDEX('MF Pricing'!$F$172:$F$186,MATCH(D383,'MF Pricing'!$D$172:$D$186,0),1),"")</f>
        <v/>
      </c>
      <c r="AA383" s="537">
        <f t="shared" si="221"/>
        <v>0</v>
      </c>
      <c r="AB383" s="208"/>
      <c r="AC383" s="208"/>
    </row>
    <row r="384" spans="3:29" outlineLevel="1">
      <c r="C384" s="200" t="s">
        <v>1028</v>
      </c>
      <c r="D384" s="442"/>
      <c r="E384" s="200" t="s">
        <v>968</v>
      </c>
      <c r="F384" s="555"/>
      <c r="G384" s="554"/>
      <c r="H384" s="554"/>
      <c r="I384" s="554"/>
      <c r="J384" s="554"/>
      <c r="K384" s="554"/>
      <c r="L384" s="554"/>
      <c r="M384" s="554"/>
      <c r="N384" s="554"/>
      <c r="O384" s="554"/>
      <c r="P384" s="554"/>
      <c r="Q384" s="554"/>
      <c r="R384" s="554"/>
      <c r="S384" s="554"/>
      <c r="T384" s="554"/>
      <c r="U384" s="554"/>
      <c r="V384" s="554"/>
      <c r="W384" s="554"/>
      <c r="X384" s="553"/>
      <c r="Y384" s="432">
        <f t="shared" si="220"/>
        <v>0</v>
      </c>
      <c r="Z384" s="538" t="str">
        <f>IFERROR(INDEX('MF Pricing'!$F$172:$F$186,MATCH(D384,'MF Pricing'!$D$172:$D$186,0),1),"")</f>
        <v/>
      </c>
      <c r="AA384" s="537">
        <f t="shared" si="221"/>
        <v>0</v>
      </c>
      <c r="AB384" s="208"/>
      <c r="AC384" s="208"/>
    </row>
    <row r="385" spans="3:29" outlineLevel="1">
      <c r="C385" s="200" t="s">
        <v>1029</v>
      </c>
      <c r="D385" s="442"/>
      <c r="E385" s="200" t="s">
        <v>968</v>
      </c>
      <c r="F385" s="555"/>
      <c r="G385" s="554"/>
      <c r="H385" s="554"/>
      <c r="I385" s="554"/>
      <c r="J385" s="554"/>
      <c r="K385" s="554"/>
      <c r="L385" s="554"/>
      <c r="M385" s="554"/>
      <c r="N385" s="554"/>
      <c r="O385" s="554"/>
      <c r="P385" s="554"/>
      <c r="Q385" s="554"/>
      <c r="R385" s="554"/>
      <c r="S385" s="554"/>
      <c r="T385" s="554"/>
      <c r="U385" s="554"/>
      <c r="V385" s="554"/>
      <c r="W385" s="554"/>
      <c r="X385" s="553"/>
      <c r="Y385" s="432">
        <f t="shared" si="220"/>
        <v>0</v>
      </c>
      <c r="Z385" s="538" t="str">
        <f>IFERROR(INDEX('MF Pricing'!$F$172:$F$186,MATCH(D385,'MF Pricing'!$D$172:$D$186,0),1),"")</f>
        <v/>
      </c>
      <c r="AA385" s="537">
        <f t="shared" si="221"/>
        <v>0</v>
      </c>
      <c r="AB385" s="208"/>
      <c r="AC385" s="208"/>
    </row>
    <row r="386" spans="3:29" outlineLevel="1">
      <c r="C386" s="200" t="s">
        <v>1030</v>
      </c>
      <c r="D386" s="442"/>
      <c r="E386" s="200" t="s">
        <v>968</v>
      </c>
      <c r="F386" s="555"/>
      <c r="G386" s="554"/>
      <c r="H386" s="554"/>
      <c r="I386" s="554"/>
      <c r="J386" s="554"/>
      <c r="K386" s="554"/>
      <c r="L386" s="554"/>
      <c r="M386" s="554"/>
      <c r="N386" s="554"/>
      <c r="O386" s="554"/>
      <c r="P386" s="554"/>
      <c r="Q386" s="554"/>
      <c r="R386" s="554"/>
      <c r="S386" s="554"/>
      <c r="T386" s="554"/>
      <c r="U386" s="554"/>
      <c r="V386" s="554"/>
      <c r="W386" s="554"/>
      <c r="X386" s="553"/>
      <c r="Y386" s="432">
        <f t="shared" si="220"/>
        <v>0</v>
      </c>
      <c r="Z386" s="538" t="str">
        <f>IFERROR(INDEX('MF Pricing'!$F$172:$F$186,MATCH(D386,'MF Pricing'!$D$172:$D$186,0),1),"")</f>
        <v/>
      </c>
      <c r="AA386" s="537">
        <f t="shared" si="221"/>
        <v>0</v>
      </c>
      <c r="AB386" s="208"/>
      <c r="AC386" s="208"/>
    </row>
    <row r="387" spans="3:29" outlineLevel="1">
      <c r="C387" s="200" t="s">
        <v>1031</v>
      </c>
      <c r="D387" s="442"/>
      <c r="E387" s="200" t="s">
        <v>968</v>
      </c>
      <c r="F387" s="555"/>
      <c r="G387" s="554"/>
      <c r="H387" s="554"/>
      <c r="I387" s="554"/>
      <c r="J387" s="554"/>
      <c r="K387" s="554"/>
      <c r="L387" s="554"/>
      <c r="M387" s="554"/>
      <c r="N387" s="554"/>
      <c r="O387" s="554"/>
      <c r="P387" s="554"/>
      <c r="Q387" s="554"/>
      <c r="R387" s="554"/>
      <c r="S387" s="554"/>
      <c r="T387" s="554"/>
      <c r="U387" s="554"/>
      <c r="V387" s="554"/>
      <c r="W387" s="554"/>
      <c r="X387" s="553"/>
      <c r="Y387" s="432">
        <f t="shared" si="220"/>
        <v>0</v>
      </c>
      <c r="Z387" s="538" t="str">
        <f>IFERROR(INDEX('MF Pricing'!$F$172:$F$186,MATCH(D387,'MF Pricing'!$D$172:$D$186,0),1),"")</f>
        <v/>
      </c>
      <c r="AA387" s="537">
        <f t="shared" si="221"/>
        <v>0</v>
      </c>
      <c r="AB387" s="208"/>
      <c r="AC387" s="208"/>
    </row>
    <row r="388" spans="3:29" outlineLevel="1">
      <c r="C388" s="200" t="s">
        <v>1032</v>
      </c>
      <c r="D388" s="441"/>
      <c r="E388" s="200" t="s">
        <v>968</v>
      </c>
      <c r="F388" s="555"/>
      <c r="G388" s="554"/>
      <c r="H388" s="554"/>
      <c r="I388" s="554"/>
      <c r="J388" s="554"/>
      <c r="K388" s="554"/>
      <c r="L388" s="554"/>
      <c r="M388" s="554"/>
      <c r="N388" s="554"/>
      <c r="O388" s="554"/>
      <c r="P388" s="554"/>
      <c r="Q388" s="554"/>
      <c r="R388" s="554"/>
      <c r="S388" s="554"/>
      <c r="T388" s="554"/>
      <c r="U388" s="554"/>
      <c r="V388" s="554"/>
      <c r="W388" s="554"/>
      <c r="X388" s="553"/>
      <c r="Y388" s="432">
        <f t="shared" si="220"/>
        <v>0</v>
      </c>
      <c r="Z388" s="538" t="str">
        <f>IFERROR(INDEX('MF Pricing'!$F$172:$F$186,MATCH(D388,'MF Pricing'!$D$172:$D$186,0),1),"")</f>
        <v/>
      </c>
      <c r="AA388" s="537">
        <f t="shared" si="221"/>
        <v>0</v>
      </c>
      <c r="AB388" s="208"/>
      <c r="AC388" s="208"/>
    </row>
    <row r="389" spans="3:29" outlineLevel="1">
      <c r="C389" s="423" t="s">
        <v>1184</v>
      </c>
      <c r="D389" s="1"/>
      <c r="E389" s="536" t="s">
        <v>1185</v>
      </c>
      <c r="F389" s="535">
        <f t="shared" ref="F389:X389" si="226">IF(F$6=0,0,SUMPRODUCT(F$374:F$388,$Z$374:$Z$388))</f>
        <v>9.5</v>
      </c>
      <c r="G389" s="534">
        <f t="shared" si="226"/>
        <v>14.850000000000001</v>
      </c>
      <c r="H389" s="534">
        <f t="shared" si="226"/>
        <v>9.5</v>
      </c>
      <c r="I389" s="534">
        <f t="shared" si="226"/>
        <v>12.75</v>
      </c>
      <c r="J389" s="534">
        <f t="shared" si="226"/>
        <v>12.5</v>
      </c>
      <c r="K389" s="534">
        <f t="shared" si="226"/>
        <v>12.5</v>
      </c>
      <c r="L389" s="534">
        <f t="shared" si="226"/>
        <v>15.7</v>
      </c>
      <c r="M389" s="534">
        <f t="shared" si="226"/>
        <v>15.7</v>
      </c>
      <c r="N389" s="534">
        <f t="shared" si="226"/>
        <v>16</v>
      </c>
      <c r="O389" s="534">
        <f t="shared" si="226"/>
        <v>17.5</v>
      </c>
      <c r="P389" s="534">
        <f t="shared" si="226"/>
        <v>20.75</v>
      </c>
      <c r="Q389" s="534">
        <f t="shared" si="226"/>
        <v>20.75</v>
      </c>
      <c r="R389" s="534">
        <f t="shared" si="226"/>
        <v>24.25</v>
      </c>
      <c r="S389" s="534">
        <f t="shared" si="226"/>
        <v>29.7</v>
      </c>
      <c r="T389" s="534">
        <f t="shared" si="226"/>
        <v>33</v>
      </c>
      <c r="U389" s="534">
        <f t="shared" si="226"/>
        <v>36.700000000000003</v>
      </c>
      <c r="V389" s="534">
        <f t="shared" si="226"/>
        <v>0</v>
      </c>
      <c r="W389" s="534">
        <f t="shared" si="226"/>
        <v>0</v>
      </c>
      <c r="X389" s="533">
        <f t="shared" si="226"/>
        <v>0</v>
      </c>
      <c r="Y389" s="432"/>
      <c r="Z389" s="532"/>
      <c r="AA389" s="394"/>
      <c r="AB389" s="208"/>
      <c r="AC389" s="208"/>
    </row>
    <row r="390" spans="3:29" outlineLevel="1">
      <c r="C390" s="423" t="s">
        <v>988</v>
      </c>
      <c r="D390" s="1"/>
      <c r="E390" s="16" t="s">
        <v>961</v>
      </c>
      <c r="F390" s="530">
        <f t="shared" ref="F390:X390" si="227">F389*F$6</f>
        <v>76</v>
      </c>
      <c r="G390" s="529">
        <f t="shared" si="227"/>
        <v>237.60000000000002</v>
      </c>
      <c r="H390" s="529">
        <f t="shared" si="227"/>
        <v>76</v>
      </c>
      <c r="I390" s="529">
        <f t="shared" si="227"/>
        <v>242.25</v>
      </c>
      <c r="J390" s="529">
        <f t="shared" si="227"/>
        <v>600</v>
      </c>
      <c r="K390" s="529">
        <f t="shared" si="227"/>
        <v>50</v>
      </c>
      <c r="L390" s="529">
        <f t="shared" si="227"/>
        <v>376.79999999999995</v>
      </c>
      <c r="M390" s="529">
        <f t="shared" si="227"/>
        <v>157</v>
      </c>
      <c r="N390" s="529">
        <f t="shared" si="227"/>
        <v>512</v>
      </c>
      <c r="O390" s="529">
        <f t="shared" si="227"/>
        <v>1120</v>
      </c>
      <c r="P390" s="529">
        <f t="shared" si="227"/>
        <v>954.5</v>
      </c>
      <c r="Q390" s="529">
        <f t="shared" si="227"/>
        <v>332</v>
      </c>
      <c r="R390" s="529">
        <f t="shared" si="227"/>
        <v>582</v>
      </c>
      <c r="S390" s="529">
        <f t="shared" si="227"/>
        <v>237.6</v>
      </c>
      <c r="T390" s="529">
        <f t="shared" si="227"/>
        <v>264</v>
      </c>
      <c r="U390" s="529">
        <f t="shared" si="227"/>
        <v>403.70000000000005</v>
      </c>
      <c r="V390" s="529">
        <f t="shared" si="227"/>
        <v>0</v>
      </c>
      <c r="W390" s="529">
        <f t="shared" si="227"/>
        <v>0</v>
      </c>
      <c r="X390" s="528">
        <f t="shared" si="227"/>
        <v>0</v>
      </c>
      <c r="Y390" s="422">
        <f>SUM(Y374:Y388)</f>
        <v>2052</v>
      </c>
      <c r="Z390" s="255"/>
      <c r="AA390" s="527">
        <f>SUM(F390:X390)</f>
        <v>6221.45</v>
      </c>
      <c r="AB390" s="208"/>
      <c r="AC390" s="208"/>
    </row>
    <row r="391" spans="3:29">
      <c r="C391" s="96" t="s">
        <v>1073</v>
      </c>
      <c r="D391" s="940" t="s">
        <v>1280</v>
      </c>
      <c r="E391" s="940"/>
      <c r="F391" s="552"/>
      <c r="G391" s="542"/>
      <c r="H391" s="542"/>
      <c r="I391" s="542"/>
      <c r="J391" s="542"/>
      <c r="K391" s="542"/>
      <c r="L391" s="542"/>
      <c r="M391" s="542"/>
      <c r="N391" s="542"/>
      <c r="O391" s="542"/>
      <c r="P391" s="542"/>
      <c r="Q391" s="542"/>
      <c r="R391" s="542"/>
      <c r="S391" s="542"/>
      <c r="T391" s="542"/>
      <c r="U391" s="542"/>
      <c r="V391" s="542"/>
      <c r="W391" s="542"/>
      <c r="X391" s="542"/>
      <c r="Y391" s="437" t="s">
        <v>948</v>
      </c>
      <c r="Z391" s="92" t="s">
        <v>949</v>
      </c>
      <c r="AA391" s="541" t="s">
        <v>950</v>
      </c>
      <c r="AB391" s="208"/>
      <c r="AC391" s="208"/>
    </row>
    <row r="392" spans="3:29">
      <c r="C392" s="198" t="s">
        <v>1012</v>
      </c>
      <c r="D392" s="443" t="s">
        <v>1074</v>
      </c>
      <c r="E392" s="198" t="s">
        <v>968</v>
      </c>
      <c r="F392" s="547"/>
      <c r="G392" s="546"/>
      <c r="H392" s="546"/>
      <c r="I392" s="546"/>
      <c r="J392" s="546"/>
      <c r="K392" s="546"/>
      <c r="L392" s="546"/>
      <c r="M392" s="546"/>
      <c r="N392" s="546"/>
      <c r="O392" s="546"/>
      <c r="P392" s="546"/>
      <c r="Q392" s="546"/>
      <c r="R392" s="546"/>
      <c r="S392" s="546"/>
      <c r="T392" s="546"/>
      <c r="U392" s="546"/>
      <c r="V392" s="546"/>
      <c r="W392" s="546"/>
      <c r="X392" s="545"/>
      <c r="Y392" s="432">
        <f t="shared" ref="Y392:Y406" si="228">SUMPRODUCT($F392:$X392,$F$6:$X$6)</f>
        <v>0</v>
      </c>
      <c r="Z392" s="538">
        <f>IFERROR(INDEX('MF Pricing'!$F$188:$F$202,MATCH(D392,'MF Pricing'!$D$188:$D$202,0),1),"")</f>
        <v>9</v>
      </c>
      <c r="AA392" s="537">
        <f t="shared" ref="AA392:AA406" si="229">IFERROR(Y392*Z392,0)</f>
        <v>0</v>
      </c>
      <c r="AB392" s="208"/>
      <c r="AC392" s="208"/>
    </row>
    <row r="393" spans="3:29">
      <c r="C393" s="200" t="s">
        <v>1014</v>
      </c>
      <c r="D393" s="442" t="s">
        <v>1075</v>
      </c>
      <c r="E393" s="200" t="s">
        <v>968</v>
      </c>
      <c r="F393" s="547"/>
      <c r="G393" s="546"/>
      <c r="H393" s="546"/>
      <c r="I393" s="546"/>
      <c r="J393" s="546"/>
      <c r="K393" s="546"/>
      <c r="L393" s="546"/>
      <c r="M393" s="546"/>
      <c r="N393" s="546"/>
      <c r="O393" s="546"/>
      <c r="P393" s="546"/>
      <c r="Q393" s="546"/>
      <c r="R393" s="546"/>
      <c r="S393" s="546"/>
      <c r="T393" s="546"/>
      <c r="U393" s="546"/>
      <c r="V393" s="546"/>
      <c r="W393" s="546"/>
      <c r="X393" s="545"/>
      <c r="Y393" s="432">
        <f t="shared" si="228"/>
        <v>0</v>
      </c>
      <c r="Z393" s="538">
        <f>IFERROR(INDEX('MF Pricing'!$F$188:$F$202,MATCH(D393,'MF Pricing'!$D$188:$D$202,0),1),"")</f>
        <v>11</v>
      </c>
      <c r="AA393" s="537">
        <f t="shared" si="229"/>
        <v>0</v>
      </c>
      <c r="AB393" s="208"/>
      <c r="AC393" s="208"/>
    </row>
    <row r="394" spans="3:29">
      <c r="C394" s="200" t="s">
        <v>1016</v>
      </c>
      <c r="D394" s="442" t="s">
        <v>1076</v>
      </c>
      <c r="E394" s="200" t="s">
        <v>968</v>
      </c>
      <c r="F394" s="547"/>
      <c r="G394" s="546"/>
      <c r="H394" s="546"/>
      <c r="I394" s="546"/>
      <c r="J394" s="546"/>
      <c r="K394" s="546"/>
      <c r="L394" s="546"/>
      <c r="M394" s="546"/>
      <c r="N394" s="546"/>
      <c r="O394" s="546"/>
      <c r="P394" s="546"/>
      <c r="Q394" s="546"/>
      <c r="R394" s="546"/>
      <c r="S394" s="546"/>
      <c r="T394" s="546"/>
      <c r="U394" s="546"/>
      <c r="V394" s="546"/>
      <c r="W394" s="546"/>
      <c r="X394" s="545"/>
      <c r="Y394" s="432">
        <f t="shared" si="228"/>
        <v>0</v>
      </c>
      <c r="Z394" s="538">
        <f>IFERROR(INDEX('MF Pricing'!$F$188:$F$202,MATCH(D394,'MF Pricing'!$D$188:$D$202,0),1),"")</f>
        <v>12.25</v>
      </c>
      <c r="AA394" s="537">
        <f t="shared" si="229"/>
        <v>0</v>
      </c>
      <c r="AB394" s="208"/>
      <c r="AC394" s="208"/>
    </row>
    <row r="395" spans="3:29">
      <c r="C395" s="200" t="s">
        <v>1018</v>
      </c>
      <c r="D395" s="442" t="s">
        <v>1077</v>
      </c>
      <c r="E395" s="200" t="s">
        <v>968</v>
      </c>
      <c r="F395" s="547"/>
      <c r="G395" s="546"/>
      <c r="H395" s="546"/>
      <c r="I395" s="546"/>
      <c r="J395" s="546"/>
      <c r="K395" s="546"/>
      <c r="L395" s="546"/>
      <c r="M395" s="546"/>
      <c r="N395" s="546"/>
      <c r="O395" s="546"/>
      <c r="P395" s="546"/>
      <c r="Q395" s="546">
        <v>1</v>
      </c>
      <c r="R395" s="546">
        <v>1</v>
      </c>
      <c r="S395" s="546">
        <v>1</v>
      </c>
      <c r="T395" s="546"/>
      <c r="U395" s="546"/>
      <c r="V395" s="546"/>
      <c r="W395" s="546"/>
      <c r="X395" s="545"/>
      <c r="Y395" s="432">
        <f t="shared" si="228"/>
        <v>48</v>
      </c>
      <c r="Z395" s="538">
        <f>IFERROR(INDEX('MF Pricing'!$F$188:$F$202,MATCH(D395,'MF Pricing'!$D$188:$D$202,0),1),"")</f>
        <v>13</v>
      </c>
      <c r="AA395" s="537">
        <f t="shared" si="229"/>
        <v>624</v>
      </c>
      <c r="AB395" s="208"/>
      <c r="AC395" s="208"/>
    </row>
    <row r="396" spans="3:29">
      <c r="C396" s="200" t="s">
        <v>1020</v>
      </c>
      <c r="D396" s="442" t="s">
        <v>1078</v>
      </c>
      <c r="E396" s="200" t="s">
        <v>968</v>
      </c>
      <c r="F396" s="547">
        <v>1</v>
      </c>
      <c r="G396" s="546">
        <v>1</v>
      </c>
      <c r="H396" s="546">
        <v>1</v>
      </c>
      <c r="I396" s="546">
        <v>1</v>
      </c>
      <c r="J396" s="546">
        <v>1</v>
      </c>
      <c r="K396" s="546">
        <v>1</v>
      </c>
      <c r="L396" s="546">
        <v>1</v>
      </c>
      <c r="M396" s="546">
        <v>1</v>
      </c>
      <c r="N396" s="546">
        <v>1</v>
      </c>
      <c r="O396" s="546">
        <v>1</v>
      </c>
      <c r="P396" s="546">
        <v>1</v>
      </c>
      <c r="Q396" s="546"/>
      <c r="R396" s="546"/>
      <c r="S396" s="546"/>
      <c r="T396" s="546">
        <v>2</v>
      </c>
      <c r="U396" s="546">
        <v>2</v>
      </c>
      <c r="V396" s="546"/>
      <c r="W396" s="546"/>
      <c r="X396" s="545"/>
      <c r="Y396" s="432">
        <f t="shared" si="228"/>
        <v>317</v>
      </c>
      <c r="Z396" s="538">
        <f>IFERROR(INDEX('MF Pricing'!$F$188:$F$202,MATCH(D396,'MF Pricing'!$D$188:$D$202,0),1),"")</f>
        <v>10</v>
      </c>
      <c r="AA396" s="537">
        <f t="shared" si="229"/>
        <v>3170</v>
      </c>
      <c r="AB396" s="208"/>
      <c r="AC396" s="208"/>
    </row>
    <row r="397" spans="3:29">
      <c r="C397" s="200" t="s">
        <v>1022</v>
      </c>
      <c r="D397" s="442"/>
      <c r="E397" s="200" t="s">
        <v>968</v>
      </c>
      <c r="F397" s="547"/>
      <c r="G397" s="546"/>
      <c r="H397" s="546"/>
      <c r="I397" s="546"/>
      <c r="J397" s="546"/>
      <c r="K397" s="546"/>
      <c r="L397" s="546"/>
      <c r="M397" s="546"/>
      <c r="N397" s="546"/>
      <c r="O397" s="546"/>
      <c r="P397" s="546"/>
      <c r="Q397" s="546"/>
      <c r="R397" s="546"/>
      <c r="S397" s="546"/>
      <c r="T397" s="546"/>
      <c r="U397" s="546"/>
      <c r="V397" s="546"/>
      <c r="W397" s="546"/>
      <c r="X397" s="545"/>
      <c r="Y397" s="432">
        <f t="shared" si="228"/>
        <v>0</v>
      </c>
      <c r="Z397" s="538" t="str">
        <f>IFERROR(INDEX('MF Pricing'!$F$188:$F$202,MATCH(D397,'MF Pricing'!$D$188:$D$202,0),1),"")</f>
        <v/>
      </c>
      <c r="AA397" s="537">
        <f t="shared" si="229"/>
        <v>0</v>
      </c>
      <c r="AB397" s="208"/>
      <c r="AC397" s="208"/>
    </row>
    <row r="398" spans="3:29">
      <c r="C398" s="200" t="s">
        <v>1024</v>
      </c>
      <c r="D398" s="442" t="s">
        <v>1079</v>
      </c>
      <c r="E398" s="200" t="s">
        <v>968</v>
      </c>
      <c r="F398" s="547"/>
      <c r="G398" s="546"/>
      <c r="H398" s="546"/>
      <c r="I398" s="546"/>
      <c r="J398" s="546">
        <v>1</v>
      </c>
      <c r="K398" s="546">
        <v>1</v>
      </c>
      <c r="L398" s="546">
        <v>1</v>
      </c>
      <c r="M398" s="546">
        <v>1</v>
      </c>
      <c r="N398" s="546">
        <v>1</v>
      </c>
      <c r="O398" s="546">
        <v>1</v>
      </c>
      <c r="P398" s="546">
        <v>1</v>
      </c>
      <c r="Q398" s="546">
        <v>1</v>
      </c>
      <c r="R398" s="546">
        <v>1</v>
      </c>
      <c r="S398" s="546">
        <v>1</v>
      </c>
      <c r="T398" s="546">
        <v>1</v>
      </c>
      <c r="U398" s="546">
        <v>1</v>
      </c>
      <c r="V398" s="546"/>
      <c r="W398" s="546"/>
      <c r="X398" s="545"/>
      <c r="Y398" s="432">
        <f t="shared" si="228"/>
        <v>295</v>
      </c>
      <c r="Z398" s="538">
        <f>IFERROR(INDEX('MF Pricing'!$F$188:$F$202,MATCH(D398,'MF Pricing'!$D$188:$D$202,0),1),"")</f>
        <v>11</v>
      </c>
      <c r="AA398" s="537">
        <f t="shared" si="229"/>
        <v>3245</v>
      </c>
      <c r="AB398" s="208"/>
      <c r="AC398" s="208"/>
    </row>
    <row r="399" spans="3:29">
      <c r="C399" s="200" t="s">
        <v>1025</v>
      </c>
      <c r="D399" s="442"/>
      <c r="E399" s="200" t="s">
        <v>968</v>
      </c>
      <c r="F399" s="547"/>
      <c r="G399" s="546"/>
      <c r="H399" s="546"/>
      <c r="I399" s="546"/>
      <c r="J399" s="546"/>
      <c r="K399" s="546"/>
      <c r="L399" s="546"/>
      <c r="M399" s="546"/>
      <c r="N399" s="546"/>
      <c r="O399" s="546"/>
      <c r="P399" s="546"/>
      <c r="Q399" s="546"/>
      <c r="R399" s="546"/>
      <c r="S399" s="546"/>
      <c r="T399" s="546"/>
      <c r="U399" s="546"/>
      <c r="V399" s="546"/>
      <c r="W399" s="546"/>
      <c r="X399" s="545"/>
      <c r="Y399" s="432">
        <f t="shared" si="228"/>
        <v>0</v>
      </c>
      <c r="Z399" s="538" t="str">
        <f>IFERROR(INDEX('MF Pricing'!$F$188:$F$202,MATCH(D399,'MF Pricing'!$D$188:$D$202,0),1),"")</f>
        <v/>
      </c>
      <c r="AA399" s="537">
        <f t="shared" si="229"/>
        <v>0</v>
      </c>
      <c r="AB399" s="208"/>
      <c r="AC399" s="208"/>
    </row>
    <row r="400" spans="3:29">
      <c r="C400" s="200" t="s">
        <v>1026</v>
      </c>
      <c r="D400" s="442"/>
      <c r="E400" s="200" t="s">
        <v>968</v>
      </c>
      <c r="F400" s="547"/>
      <c r="G400" s="546"/>
      <c r="H400" s="546"/>
      <c r="I400" s="546"/>
      <c r="J400" s="546"/>
      <c r="K400" s="546"/>
      <c r="L400" s="546"/>
      <c r="M400" s="546"/>
      <c r="N400" s="546"/>
      <c r="O400" s="546"/>
      <c r="P400" s="546"/>
      <c r="Q400" s="546"/>
      <c r="R400" s="546"/>
      <c r="S400" s="546"/>
      <c r="T400" s="546"/>
      <c r="U400" s="546"/>
      <c r="V400" s="546"/>
      <c r="W400" s="546"/>
      <c r="X400" s="545"/>
      <c r="Y400" s="432">
        <f t="shared" si="228"/>
        <v>0</v>
      </c>
      <c r="Z400" s="538" t="str">
        <f>IFERROR(INDEX('MF Pricing'!$F$188:$F$202,MATCH(D400,'MF Pricing'!$D$188:$D$202,0),1),"")</f>
        <v/>
      </c>
      <c r="AA400" s="537">
        <f t="shared" si="229"/>
        <v>0</v>
      </c>
      <c r="AB400" s="208"/>
      <c r="AC400" s="208"/>
    </row>
    <row r="401" spans="3:29">
      <c r="C401" s="200" t="s">
        <v>1027</v>
      </c>
      <c r="D401" s="442"/>
      <c r="E401" s="200" t="s">
        <v>968</v>
      </c>
      <c r="F401" s="547"/>
      <c r="G401" s="546"/>
      <c r="H401" s="546"/>
      <c r="I401" s="546"/>
      <c r="J401" s="546"/>
      <c r="K401" s="546"/>
      <c r="L401" s="546"/>
      <c r="M401" s="546"/>
      <c r="N401" s="546"/>
      <c r="O401" s="546"/>
      <c r="P401" s="546"/>
      <c r="Q401" s="546"/>
      <c r="R401" s="546"/>
      <c r="S401" s="546"/>
      <c r="T401" s="546"/>
      <c r="U401" s="546"/>
      <c r="V401" s="546"/>
      <c r="W401" s="546"/>
      <c r="X401" s="545"/>
      <c r="Y401" s="432">
        <f t="shared" si="228"/>
        <v>0</v>
      </c>
      <c r="Z401" s="538" t="str">
        <f>IFERROR(INDEX('MF Pricing'!$F$188:$F$202,MATCH(D401,'MF Pricing'!$D$188:$D$202,0),1),"")</f>
        <v/>
      </c>
      <c r="AA401" s="537">
        <f t="shared" si="229"/>
        <v>0</v>
      </c>
      <c r="AB401" s="208"/>
      <c r="AC401" s="208"/>
    </row>
    <row r="402" spans="3:29">
      <c r="C402" s="200" t="s">
        <v>1028</v>
      </c>
      <c r="D402" s="442"/>
      <c r="E402" s="200" t="s">
        <v>968</v>
      </c>
      <c r="F402" s="547"/>
      <c r="G402" s="546"/>
      <c r="H402" s="546"/>
      <c r="I402" s="546"/>
      <c r="J402" s="546"/>
      <c r="K402" s="546"/>
      <c r="L402" s="546"/>
      <c r="M402" s="546"/>
      <c r="N402" s="546"/>
      <c r="O402" s="546"/>
      <c r="P402" s="546"/>
      <c r="Q402" s="546"/>
      <c r="R402" s="546"/>
      <c r="S402" s="546"/>
      <c r="T402" s="546"/>
      <c r="U402" s="546"/>
      <c r="V402" s="546"/>
      <c r="W402" s="546"/>
      <c r="X402" s="545"/>
      <c r="Y402" s="432">
        <f t="shared" si="228"/>
        <v>0</v>
      </c>
      <c r="Z402" s="538" t="str">
        <f>IFERROR(INDEX('MF Pricing'!$F$188:$F$202,MATCH(D402,'MF Pricing'!$D$188:$D$202,0),1),"")</f>
        <v/>
      </c>
      <c r="AA402" s="537">
        <f t="shared" si="229"/>
        <v>0</v>
      </c>
      <c r="AB402" s="208"/>
      <c r="AC402" s="208"/>
    </row>
    <row r="403" spans="3:29">
      <c r="C403" s="200" t="s">
        <v>1029</v>
      </c>
      <c r="D403" s="442"/>
      <c r="E403" s="200" t="s">
        <v>968</v>
      </c>
      <c r="F403" s="547"/>
      <c r="G403" s="546"/>
      <c r="H403" s="546"/>
      <c r="I403" s="546"/>
      <c r="J403" s="546"/>
      <c r="K403" s="546"/>
      <c r="L403" s="546"/>
      <c r="M403" s="546"/>
      <c r="N403" s="546"/>
      <c r="O403" s="546"/>
      <c r="P403" s="546"/>
      <c r="Q403" s="546"/>
      <c r="R403" s="546"/>
      <c r="S403" s="546"/>
      <c r="T403" s="546"/>
      <c r="U403" s="546"/>
      <c r="V403" s="546"/>
      <c r="W403" s="546"/>
      <c r="X403" s="545"/>
      <c r="Y403" s="432">
        <f t="shared" si="228"/>
        <v>0</v>
      </c>
      <c r="Z403" s="538" t="str">
        <f>IFERROR(INDEX('MF Pricing'!$F$188:$F$202,MATCH(D403,'MF Pricing'!$D$188:$D$202,0),1),"")</f>
        <v/>
      </c>
      <c r="AA403" s="537">
        <f t="shared" si="229"/>
        <v>0</v>
      </c>
      <c r="AB403" s="208"/>
      <c r="AC403" s="208"/>
    </row>
    <row r="404" spans="3:29">
      <c r="C404" s="200" t="s">
        <v>1030</v>
      </c>
      <c r="D404" s="442"/>
      <c r="E404" s="200" t="s">
        <v>968</v>
      </c>
      <c r="F404" s="547"/>
      <c r="G404" s="546"/>
      <c r="H404" s="546"/>
      <c r="I404" s="546"/>
      <c r="J404" s="546"/>
      <c r="K404" s="546"/>
      <c r="L404" s="546"/>
      <c r="M404" s="546"/>
      <c r="N404" s="546"/>
      <c r="O404" s="546"/>
      <c r="P404" s="546"/>
      <c r="Q404" s="546"/>
      <c r="R404" s="546"/>
      <c r="S404" s="546"/>
      <c r="T404" s="546"/>
      <c r="U404" s="546"/>
      <c r="V404" s="546"/>
      <c r="W404" s="546"/>
      <c r="X404" s="545"/>
      <c r="Y404" s="432">
        <f t="shared" si="228"/>
        <v>0</v>
      </c>
      <c r="Z404" s="538" t="str">
        <f>IFERROR(INDEX('MF Pricing'!$F$188:$F$202,MATCH(D404,'MF Pricing'!$D$188:$D$202,0),1),"")</f>
        <v/>
      </c>
      <c r="AA404" s="537">
        <f t="shared" si="229"/>
        <v>0</v>
      </c>
      <c r="AB404" s="208"/>
      <c r="AC404" s="208"/>
    </row>
    <row r="405" spans="3:29">
      <c r="C405" s="200" t="s">
        <v>1031</v>
      </c>
      <c r="D405" s="442"/>
      <c r="E405" s="200" t="s">
        <v>968</v>
      </c>
      <c r="F405" s="547"/>
      <c r="G405" s="546"/>
      <c r="H405" s="546"/>
      <c r="I405" s="546"/>
      <c r="J405" s="546"/>
      <c r="K405" s="546"/>
      <c r="L405" s="546"/>
      <c r="M405" s="546"/>
      <c r="N405" s="546"/>
      <c r="O405" s="546"/>
      <c r="P405" s="546"/>
      <c r="Q405" s="546"/>
      <c r="R405" s="546"/>
      <c r="S405" s="546"/>
      <c r="T405" s="546"/>
      <c r="U405" s="546"/>
      <c r="V405" s="546"/>
      <c r="W405" s="546"/>
      <c r="X405" s="545"/>
      <c r="Y405" s="432">
        <f t="shared" si="228"/>
        <v>0</v>
      </c>
      <c r="Z405" s="538" t="str">
        <f>IFERROR(INDEX('MF Pricing'!$F$188:$F$202,MATCH(D405,'MF Pricing'!$D$188:$D$202,0),1),"")</f>
        <v/>
      </c>
      <c r="AA405" s="537">
        <f t="shared" si="229"/>
        <v>0</v>
      </c>
      <c r="AB405" s="208"/>
      <c r="AC405" s="208"/>
    </row>
    <row r="406" spans="3:29">
      <c r="C406" s="200" t="s">
        <v>1032</v>
      </c>
      <c r="D406" s="441"/>
      <c r="E406" s="200" t="s">
        <v>968</v>
      </c>
      <c r="F406" s="547"/>
      <c r="G406" s="546"/>
      <c r="H406" s="546"/>
      <c r="I406" s="546"/>
      <c r="J406" s="546"/>
      <c r="K406" s="546"/>
      <c r="L406" s="546"/>
      <c r="M406" s="546"/>
      <c r="N406" s="546"/>
      <c r="O406" s="546"/>
      <c r="P406" s="546"/>
      <c r="Q406" s="546"/>
      <c r="R406" s="546"/>
      <c r="S406" s="546"/>
      <c r="T406" s="546"/>
      <c r="U406" s="546"/>
      <c r="V406" s="546"/>
      <c r="W406" s="546"/>
      <c r="X406" s="545"/>
      <c r="Y406" s="432">
        <f t="shared" si="228"/>
        <v>0</v>
      </c>
      <c r="Z406" s="538" t="str">
        <f>IFERROR(INDEX('MF Pricing'!$F$188:$F$202,MATCH(D406,'MF Pricing'!$D$188:$D$202,0),1),"")</f>
        <v/>
      </c>
      <c r="AA406" s="537">
        <f t="shared" si="229"/>
        <v>0</v>
      </c>
      <c r="AB406" s="208"/>
      <c r="AC406" s="208"/>
    </row>
    <row r="407" spans="3:29" outlineLevel="1">
      <c r="C407" s="423" t="s">
        <v>1184</v>
      </c>
      <c r="D407" s="1"/>
      <c r="E407" s="536" t="s">
        <v>1185</v>
      </c>
      <c r="F407" s="535">
        <f t="shared" ref="F407:X407" si="230">IF(F$6=0,0,SUMPRODUCT(F$392:F$406,$Z$392:$Z$406))</f>
        <v>10</v>
      </c>
      <c r="G407" s="534">
        <f t="shared" si="230"/>
        <v>10</v>
      </c>
      <c r="H407" s="534">
        <f t="shared" si="230"/>
        <v>10</v>
      </c>
      <c r="I407" s="534">
        <f t="shared" si="230"/>
        <v>10</v>
      </c>
      <c r="J407" s="534">
        <f t="shared" si="230"/>
        <v>21</v>
      </c>
      <c r="K407" s="534">
        <f t="shared" si="230"/>
        <v>21</v>
      </c>
      <c r="L407" s="534">
        <f t="shared" si="230"/>
        <v>21</v>
      </c>
      <c r="M407" s="534">
        <f t="shared" si="230"/>
        <v>21</v>
      </c>
      <c r="N407" s="534">
        <f t="shared" si="230"/>
        <v>21</v>
      </c>
      <c r="O407" s="534">
        <f t="shared" si="230"/>
        <v>21</v>
      </c>
      <c r="P407" s="534">
        <f t="shared" si="230"/>
        <v>21</v>
      </c>
      <c r="Q407" s="534">
        <f t="shared" si="230"/>
        <v>24</v>
      </c>
      <c r="R407" s="534">
        <f t="shared" si="230"/>
        <v>24</v>
      </c>
      <c r="S407" s="534">
        <f t="shared" si="230"/>
        <v>24</v>
      </c>
      <c r="T407" s="534">
        <f t="shared" si="230"/>
        <v>31</v>
      </c>
      <c r="U407" s="534">
        <f t="shared" si="230"/>
        <v>31</v>
      </c>
      <c r="V407" s="534">
        <f t="shared" si="230"/>
        <v>0</v>
      </c>
      <c r="W407" s="534">
        <f t="shared" si="230"/>
        <v>0</v>
      </c>
      <c r="X407" s="533">
        <f t="shared" si="230"/>
        <v>0</v>
      </c>
      <c r="Y407" s="432"/>
      <c r="Z407" s="532"/>
      <c r="AA407" s="394"/>
      <c r="AB407" s="208"/>
      <c r="AC407" s="208"/>
    </row>
    <row r="408" spans="3:29" outlineLevel="1">
      <c r="C408" s="423" t="s">
        <v>988</v>
      </c>
      <c r="D408" s="1"/>
      <c r="E408" s="16" t="s">
        <v>961</v>
      </c>
      <c r="F408" s="530">
        <f t="shared" ref="F408:X408" si="231">F407*F$6</f>
        <v>80</v>
      </c>
      <c r="G408" s="529">
        <f t="shared" si="231"/>
        <v>160</v>
      </c>
      <c r="H408" s="529">
        <f t="shared" si="231"/>
        <v>80</v>
      </c>
      <c r="I408" s="529">
        <f t="shared" si="231"/>
        <v>190</v>
      </c>
      <c r="J408" s="529">
        <f t="shared" si="231"/>
        <v>1008</v>
      </c>
      <c r="K408" s="529">
        <f t="shared" si="231"/>
        <v>84</v>
      </c>
      <c r="L408" s="529">
        <f t="shared" si="231"/>
        <v>504</v>
      </c>
      <c r="M408" s="529">
        <f t="shared" si="231"/>
        <v>210</v>
      </c>
      <c r="N408" s="529">
        <f t="shared" si="231"/>
        <v>672</v>
      </c>
      <c r="O408" s="529">
        <f t="shared" si="231"/>
        <v>1344</v>
      </c>
      <c r="P408" s="529">
        <f t="shared" si="231"/>
        <v>966</v>
      </c>
      <c r="Q408" s="529">
        <f t="shared" si="231"/>
        <v>384</v>
      </c>
      <c r="R408" s="529">
        <f t="shared" si="231"/>
        <v>576</v>
      </c>
      <c r="S408" s="529">
        <f t="shared" si="231"/>
        <v>192</v>
      </c>
      <c r="T408" s="529">
        <f t="shared" si="231"/>
        <v>248</v>
      </c>
      <c r="U408" s="529">
        <f t="shared" si="231"/>
        <v>341</v>
      </c>
      <c r="V408" s="529">
        <f t="shared" si="231"/>
        <v>0</v>
      </c>
      <c r="W408" s="529">
        <f t="shared" si="231"/>
        <v>0</v>
      </c>
      <c r="X408" s="528">
        <f t="shared" si="231"/>
        <v>0</v>
      </c>
      <c r="Y408" s="422">
        <f>SUM(Y392:Y406)</f>
        <v>660</v>
      </c>
      <c r="Z408" s="255"/>
      <c r="AA408" s="527">
        <f>SUM(F408:X408)</f>
        <v>7039</v>
      </c>
      <c r="AB408" s="208"/>
      <c r="AC408" s="208"/>
    </row>
    <row r="409" spans="3:29">
      <c r="C409" s="96" t="s">
        <v>1080</v>
      </c>
      <c r="D409" s="940" t="s">
        <v>1281</v>
      </c>
      <c r="E409" s="940"/>
      <c r="F409" s="552"/>
      <c r="G409" s="542"/>
      <c r="H409" s="542"/>
      <c r="I409" s="542"/>
      <c r="J409" s="542"/>
      <c r="K409" s="542"/>
      <c r="L409" s="542"/>
      <c r="M409" s="542"/>
      <c r="N409" s="542"/>
      <c r="O409" s="542"/>
      <c r="P409" s="542"/>
      <c r="Q409" s="542"/>
      <c r="R409" s="542"/>
      <c r="S409" s="542"/>
      <c r="T409" s="542"/>
      <c r="U409" s="542"/>
      <c r="V409" s="542"/>
      <c r="W409" s="542"/>
      <c r="X409" s="542"/>
      <c r="Y409" s="437" t="s">
        <v>948</v>
      </c>
      <c r="Z409" s="92" t="s">
        <v>949</v>
      </c>
      <c r="AA409" s="541" t="s">
        <v>950</v>
      </c>
      <c r="AB409" s="208"/>
      <c r="AC409" s="208"/>
    </row>
    <row r="410" spans="3:29" outlineLevel="1">
      <c r="C410" s="198" t="s">
        <v>1012</v>
      </c>
      <c r="D410" s="440" t="str">
        <f t="shared" ref="D410:D424" si="232">D374</f>
        <v>14*6</v>
      </c>
      <c r="E410" s="198" t="s">
        <v>968</v>
      </c>
      <c r="F410" s="551">
        <f t="shared" ref="F410:X410" si="233">IF(F$6=0,0,F374)</f>
        <v>2</v>
      </c>
      <c r="G410" s="551">
        <f t="shared" si="233"/>
        <v>1</v>
      </c>
      <c r="H410" s="551">
        <f t="shared" si="233"/>
        <v>2</v>
      </c>
      <c r="I410" s="551">
        <f t="shared" si="233"/>
        <v>2</v>
      </c>
      <c r="J410" s="551">
        <f t="shared" si="233"/>
        <v>1</v>
      </c>
      <c r="K410" s="551">
        <f t="shared" si="233"/>
        <v>1</v>
      </c>
      <c r="L410" s="551">
        <f t="shared" si="233"/>
        <v>2</v>
      </c>
      <c r="M410" s="551">
        <f t="shared" si="233"/>
        <v>2</v>
      </c>
      <c r="N410" s="551">
        <f t="shared" si="233"/>
        <v>2</v>
      </c>
      <c r="O410" s="551">
        <f t="shared" si="233"/>
        <v>1</v>
      </c>
      <c r="P410" s="551">
        <f t="shared" si="233"/>
        <v>1</v>
      </c>
      <c r="Q410" s="551">
        <f t="shared" si="233"/>
        <v>1</v>
      </c>
      <c r="R410" s="551">
        <f t="shared" si="233"/>
        <v>2</v>
      </c>
      <c r="S410" s="551">
        <f t="shared" si="233"/>
        <v>2</v>
      </c>
      <c r="T410" s="551">
        <f t="shared" si="233"/>
        <v>4</v>
      </c>
      <c r="U410" s="551">
        <f t="shared" si="233"/>
        <v>4</v>
      </c>
      <c r="V410" s="551">
        <f t="shared" si="233"/>
        <v>0</v>
      </c>
      <c r="W410" s="551">
        <f t="shared" si="233"/>
        <v>0</v>
      </c>
      <c r="X410" s="550">
        <f t="shared" si="233"/>
        <v>0</v>
      </c>
      <c r="Y410" s="432">
        <f t="shared" ref="Y410:Y424" si="234">SUMPRODUCT($F410:$X410,$F$6:$X$6)</f>
        <v>536</v>
      </c>
      <c r="Z410" s="538">
        <f>IFERROR(INDEX('MF Pricing'!$F$204:$F$218,MATCH(D410,'MF Pricing'!$D$204:$D$218,0),1),"")</f>
        <v>12</v>
      </c>
      <c r="AA410" s="537">
        <f t="shared" ref="AA410:AA424" si="235">IFERROR(Y410*Z410,0)</f>
        <v>6432</v>
      </c>
      <c r="AB410" s="208"/>
      <c r="AC410" s="208"/>
    </row>
    <row r="411" spans="3:29" outlineLevel="1">
      <c r="C411" s="200" t="s">
        <v>1014</v>
      </c>
      <c r="D411" s="439" t="str">
        <f t="shared" si="232"/>
        <v>12*6</v>
      </c>
      <c r="E411" s="200" t="s">
        <v>968</v>
      </c>
      <c r="F411" s="551">
        <f t="shared" ref="F411:X411" si="236">IF(F$6=0,0,F375)</f>
        <v>0</v>
      </c>
      <c r="G411" s="551">
        <f t="shared" si="236"/>
        <v>0</v>
      </c>
      <c r="H411" s="551">
        <f t="shared" si="236"/>
        <v>0</v>
      </c>
      <c r="I411" s="551">
        <f t="shared" si="236"/>
        <v>1</v>
      </c>
      <c r="J411" s="551">
        <f t="shared" si="236"/>
        <v>2</v>
      </c>
      <c r="K411" s="551">
        <f t="shared" si="236"/>
        <v>2</v>
      </c>
      <c r="L411" s="551">
        <f t="shared" si="236"/>
        <v>1</v>
      </c>
      <c r="M411" s="551">
        <f t="shared" si="236"/>
        <v>1</v>
      </c>
      <c r="N411" s="551">
        <f t="shared" si="236"/>
        <v>2</v>
      </c>
      <c r="O411" s="551">
        <f t="shared" si="236"/>
        <v>2</v>
      </c>
      <c r="P411" s="551">
        <f t="shared" si="236"/>
        <v>3</v>
      </c>
      <c r="Q411" s="551">
        <f t="shared" si="236"/>
        <v>3</v>
      </c>
      <c r="R411" s="551">
        <f t="shared" si="236"/>
        <v>3</v>
      </c>
      <c r="S411" s="551">
        <f t="shared" si="236"/>
        <v>3</v>
      </c>
      <c r="T411" s="551">
        <f t="shared" si="236"/>
        <v>2</v>
      </c>
      <c r="U411" s="551">
        <f t="shared" si="236"/>
        <v>3</v>
      </c>
      <c r="V411" s="551">
        <f t="shared" si="236"/>
        <v>0</v>
      </c>
      <c r="W411" s="551">
        <f t="shared" si="236"/>
        <v>0</v>
      </c>
      <c r="X411" s="550">
        <f t="shared" si="236"/>
        <v>0</v>
      </c>
      <c r="Y411" s="432">
        <f t="shared" si="234"/>
        <v>680</v>
      </c>
      <c r="Z411" s="538">
        <f>IFERROR(INDEX('MF Pricing'!$F$204:$F$218,MATCH(D411,'MF Pricing'!$D$204:$D$218,0),1),"")</f>
        <v>13.5</v>
      </c>
      <c r="AA411" s="537">
        <f t="shared" si="235"/>
        <v>9180</v>
      </c>
      <c r="AB411" s="208"/>
      <c r="AC411" s="208"/>
    </row>
    <row r="412" spans="3:29" outlineLevel="1">
      <c r="C412" s="200" t="s">
        <v>1016</v>
      </c>
      <c r="D412" s="439" t="str">
        <f t="shared" si="232"/>
        <v>10*6</v>
      </c>
      <c r="E412" s="200" t="s">
        <v>968</v>
      </c>
      <c r="F412" s="551">
        <f t="shared" ref="F412:X412" si="237">IF(F$6=0,0,F376)</f>
        <v>0</v>
      </c>
      <c r="G412" s="551">
        <f t="shared" si="237"/>
        <v>3</v>
      </c>
      <c r="H412" s="551">
        <f t="shared" si="237"/>
        <v>0</v>
      </c>
      <c r="I412" s="551">
        <f t="shared" si="237"/>
        <v>0</v>
      </c>
      <c r="J412" s="551">
        <f t="shared" si="237"/>
        <v>0</v>
      </c>
      <c r="K412" s="551">
        <f t="shared" si="237"/>
        <v>0</v>
      </c>
      <c r="L412" s="551">
        <f t="shared" si="237"/>
        <v>1</v>
      </c>
      <c r="M412" s="551">
        <f t="shared" si="237"/>
        <v>1</v>
      </c>
      <c r="N412" s="551">
        <f t="shared" si="237"/>
        <v>0</v>
      </c>
      <c r="O412" s="551">
        <f t="shared" si="237"/>
        <v>0</v>
      </c>
      <c r="P412" s="551">
        <f t="shared" si="237"/>
        <v>0</v>
      </c>
      <c r="Q412" s="551">
        <f t="shared" si="237"/>
        <v>0</v>
      </c>
      <c r="R412" s="551">
        <f t="shared" si="237"/>
        <v>0</v>
      </c>
      <c r="S412" s="551">
        <f t="shared" si="237"/>
        <v>1</v>
      </c>
      <c r="T412" s="551">
        <f t="shared" si="237"/>
        <v>0</v>
      </c>
      <c r="U412" s="551">
        <f t="shared" si="237"/>
        <v>1</v>
      </c>
      <c r="V412" s="551">
        <f t="shared" si="237"/>
        <v>0</v>
      </c>
      <c r="W412" s="551">
        <f t="shared" si="237"/>
        <v>0</v>
      </c>
      <c r="X412" s="550">
        <f t="shared" si="237"/>
        <v>0</v>
      </c>
      <c r="Y412" s="432">
        <f t="shared" si="234"/>
        <v>101</v>
      </c>
      <c r="Z412" s="538">
        <f>IFERROR(INDEX('MF Pricing'!$F$204:$F$218,MATCH(D412,'MF Pricing'!$D$204:$D$218,0),1),"")</f>
        <v>12.25</v>
      </c>
      <c r="AA412" s="537">
        <f t="shared" si="235"/>
        <v>1237.25</v>
      </c>
      <c r="AB412" s="208"/>
      <c r="AC412" s="208"/>
    </row>
    <row r="413" spans="3:29" outlineLevel="1">
      <c r="C413" s="200" t="s">
        <v>1018</v>
      </c>
      <c r="D413" s="439" t="str">
        <f t="shared" si="232"/>
        <v>8*6</v>
      </c>
      <c r="E413" s="200" t="s">
        <v>968</v>
      </c>
      <c r="F413" s="551">
        <f t="shared" ref="F413:X413" si="238">IF(F$6=0,0,F377)</f>
        <v>0</v>
      </c>
      <c r="G413" s="551">
        <f t="shared" si="238"/>
        <v>0</v>
      </c>
      <c r="H413" s="551">
        <f t="shared" si="238"/>
        <v>0</v>
      </c>
      <c r="I413" s="551">
        <f t="shared" si="238"/>
        <v>0</v>
      </c>
      <c r="J413" s="551">
        <f t="shared" si="238"/>
        <v>0</v>
      </c>
      <c r="K413" s="551">
        <f t="shared" si="238"/>
        <v>0</v>
      </c>
      <c r="L413" s="551">
        <f t="shared" si="238"/>
        <v>0</v>
      </c>
      <c r="M413" s="551">
        <f t="shared" si="238"/>
        <v>0</v>
      </c>
      <c r="N413" s="551">
        <f t="shared" si="238"/>
        <v>0</v>
      </c>
      <c r="O413" s="551">
        <f t="shared" si="238"/>
        <v>0</v>
      </c>
      <c r="P413" s="551">
        <f t="shared" si="238"/>
        <v>0</v>
      </c>
      <c r="Q413" s="551">
        <f t="shared" si="238"/>
        <v>0</v>
      </c>
      <c r="R413" s="551">
        <f t="shared" si="238"/>
        <v>0</v>
      </c>
      <c r="S413" s="551">
        <f t="shared" si="238"/>
        <v>0</v>
      </c>
      <c r="T413" s="551">
        <f t="shared" si="238"/>
        <v>0</v>
      </c>
      <c r="U413" s="551">
        <f t="shared" si="238"/>
        <v>0</v>
      </c>
      <c r="V413" s="551">
        <f t="shared" si="238"/>
        <v>0</v>
      </c>
      <c r="W413" s="551">
        <f t="shared" si="238"/>
        <v>0</v>
      </c>
      <c r="X413" s="550">
        <f t="shared" si="238"/>
        <v>0</v>
      </c>
      <c r="Y413" s="432">
        <f t="shared" si="234"/>
        <v>0</v>
      </c>
      <c r="Z413" s="538">
        <f>IFERROR(INDEX('MF Pricing'!$F$204:$F$218,MATCH(D413,'MF Pricing'!$D$204:$D$218,0),1),"")</f>
        <v>11.9</v>
      </c>
      <c r="AA413" s="537">
        <f t="shared" si="235"/>
        <v>0</v>
      </c>
      <c r="AB413" s="208"/>
      <c r="AC413" s="208"/>
    </row>
    <row r="414" spans="3:29" outlineLevel="1">
      <c r="C414" s="200" t="s">
        <v>1020</v>
      </c>
      <c r="D414" s="439" t="str">
        <f t="shared" si="232"/>
        <v>8*4</v>
      </c>
      <c r="E414" s="200" t="s">
        <v>968</v>
      </c>
      <c r="F414" s="551">
        <f t="shared" ref="F414:X414" si="239">IF(F$6=0,0,F378)</f>
        <v>1</v>
      </c>
      <c r="G414" s="551">
        <f t="shared" si="239"/>
        <v>1</v>
      </c>
      <c r="H414" s="551">
        <f t="shared" si="239"/>
        <v>1</v>
      </c>
      <c r="I414" s="551">
        <f t="shared" si="239"/>
        <v>1</v>
      </c>
      <c r="J414" s="551">
        <f t="shared" si="239"/>
        <v>1</v>
      </c>
      <c r="K414" s="551">
        <f t="shared" si="239"/>
        <v>1</v>
      </c>
      <c r="L414" s="551">
        <f t="shared" si="239"/>
        <v>1</v>
      </c>
      <c r="M414" s="551">
        <f t="shared" si="239"/>
        <v>1</v>
      </c>
      <c r="N414" s="551">
        <f t="shared" si="239"/>
        <v>1</v>
      </c>
      <c r="O414" s="551">
        <f t="shared" si="239"/>
        <v>3</v>
      </c>
      <c r="P414" s="551">
        <f t="shared" si="239"/>
        <v>3</v>
      </c>
      <c r="Q414" s="551">
        <f t="shared" si="239"/>
        <v>3</v>
      </c>
      <c r="R414" s="551">
        <f t="shared" si="239"/>
        <v>3</v>
      </c>
      <c r="S414" s="551">
        <f t="shared" si="239"/>
        <v>4</v>
      </c>
      <c r="T414" s="551">
        <f t="shared" si="239"/>
        <v>5</v>
      </c>
      <c r="U414" s="551">
        <f t="shared" si="239"/>
        <v>4</v>
      </c>
      <c r="V414" s="551">
        <f t="shared" si="239"/>
        <v>0</v>
      </c>
      <c r="W414" s="551">
        <f t="shared" si="239"/>
        <v>0</v>
      </c>
      <c r="X414" s="550">
        <f t="shared" si="239"/>
        <v>0</v>
      </c>
      <c r="Y414" s="432">
        <f t="shared" si="234"/>
        <v>735</v>
      </c>
      <c r="Z414" s="538">
        <f>IFERROR(INDEX('MF Pricing'!$F$204:$F$218,MATCH(D414,'MF Pricing'!$D$204:$D$218,0),1),"")</f>
        <v>11.75</v>
      </c>
      <c r="AA414" s="537">
        <f t="shared" si="235"/>
        <v>8636.25</v>
      </c>
      <c r="AB414" s="208"/>
      <c r="AC414" s="208"/>
    </row>
    <row r="415" spans="3:29" outlineLevel="1">
      <c r="C415" s="200" t="s">
        <v>1022</v>
      </c>
      <c r="D415" s="439">
        <f t="shared" si="232"/>
        <v>0</v>
      </c>
      <c r="E415" s="200" t="s">
        <v>968</v>
      </c>
      <c r="F415" s="551">
        <f>IF(F$6=0,0,H380)</f>
        <v>0</v>
      </c>
      <c r="G415" s="551">
        <f t="shared" ref="G415:X415" si="240">IF(G$6=0,0,G379)</f>
        <v>0</v>
      </c>
      <c r="H415" s="551">
        <f t="shared" si="240"/>
        <v>0</v>
      </c>
      <c r="I415" s="551">
        <f t="shared" si="240"/>
        <v>0</v>
      </c>
      <c r="J415" s="551">
        <f t="shared" si="240"/>
        <v>0</v>
      </c>
      <c r="K415" s="551">
        <f t="shared" si="240"/>
        <v>0</v>
      </c>
      <c r="L415" s="551">
        <f t="shared" si="240"/>
        <v>0</v>
      </c>
      <c r="M415" s="551">
        <f t="shared" si="240"/>
        <v>0</v>
      </c>
      <c r="N415" s="551">
        <f t="shared" si="240"/>
        <v>0</v>
      </c>
      <c r="O415" s="551">
        <f t="shared" si="240"/>
        <v>0</v>
      </c>
      <c r="P415" s="551">
        <f t="shared" si="240"/>
        <v>0</v>
      </c>
      <c r="Q415" s="551">
        <f t="shared" si="240"/>
        <v>0</v>
      </c>
      <c r="R415" s="551">
        <f t="shared" si="240"/>
        <v>0</v>
      </c>
      <c r="S415" s="551">
        <f t="shared" si="240"/>
        <v>0</v>
      </c>
      <c r="T415" s="551">
        <f t="shared" si="240"/>
        <v>0</v>
      </c>
      <c r="U415" s="551">
        <f t="shared" si="240"/>
        <v>0</v>
      </c>
      <c r="V415" s="551">
        <f t="shared" si="240"/>
        <v>0</v>
      </c>
      <c r="W415" s="551">
        <f t="shared" si="240"/>
        <v>0</v>
      </c>
      <c r="X415" s="550">
        <f t="shared" si="240"/>
        <v>0</v>
      </c>
      <c r="Y415" s="432">
        <f t="shared" si="234"/>
        <v>0</v>
      </c>
      <c r="Z415" s="538">
        <f>IFERROR(INDEX('MF Pricing'!$F$204:$F$218,MATCH(D415,'MF Pricing'!$D$204:$D$218,0),1),"")</f>
        <v>0</v>
      </c>
      <c r="AA415" s="537">
        <f t="shared" si="235"/>
        <v>0</v>
      </c>
      <c r="AB415" s="208"/>
      <c r="AC415" s="208"/>
    </row>
    <row r="416" spans="3:29" outlineLevel="1">
      <c r="C416" s="200" t="s">
        <v>1024</v>
      </c>
      <c r="D416" s="439">
        <f t="shared" si="232"/>
        <v>0</v>
      </c>
      <c r="E416" s="200" t="s">
        <v>968</v>
      </c>
      <c r="F416" s="551">
        <f t="shared" ref="F416:F424" si="241">IF(F$6=0,0,F380)</f>
        <v>0</v>
      </c>
      <c r="G416" s="551">
        <f t="shared" ref="G416:X416" si="242">IF(G$6=0,0,G380)</f>
        <v>0</v>
      </c>
      <c r="H416" s="551">
        <f t="shared" si="242"/>
        <v>0</v>
      </c>
      <c r="I416" s="551">
        <f t="shared" si="242"/>
        <v>0</v>
      </c>
      <c r="J416" s="551">
        <f t="shared" si="242"/>
        <v>0</v>
      </c>
      <c r="K416" s="551">
        <f t="shared" si="242"/>
        <v>0</v>
      </c>
      <c r="L416" s="551">
        <f t="shared" si="242"/>
        <v>0</v>
      </c>
      <c r="M416" s="551">
        <f t="shared" si="242"/>
        <v>0</v>
      </c>
      <c r="N416" s="551">
        <f t="shared" si="242"/>
        <v>0</v>
      </c>
      <c r="O416" s="551">
        <f t="shared" si="242"/>
        <v>0</v>
      </c>
      <c r="P416" s="551">
        <f t="shared" si="242"/>
        <v>0</v>
      </c>
      <c r="Q416" s="551">
        <f t="shared" si="242"/>
        <v>0</v>
      </c>
      <c r="R416" s="551">
        <f t="shared" si="242"/>
        <v>0</v>
      </c>
      <c r="S416" s="551">
        <f t="shared" si="242"/>
        <v>0</v>
      </c>
      <c r="T416" s="551">
        <f t="shared" si="242"/>
        <v>0</v>
      </c>
      <c r="U416" s="551">
        <f t="shared" si="242"/>
        <v>0</v>
      </c>
      <c r="V416" s="551">
        <f t="shared" si="242"/>
        <v>0</v>
      </c>
      <c r="W416" s="551">
        <f t="shared" si="242"/>
        <v>0</v>
      </c>
      <c r="X416" s="550">
        <f t="shared" si="242"/>
        <v>0</v>
      </c>
      <c r="Y416" s="432">
        <f t="shared" si="234"/>
        <v>0</v>
      </c>
      <c r="Z416" s="538">
        <f>IFERROR(INDEX('MF Pricing'!$F$204:$F$218,MATCH(D416,'MF Pricing'!$D$204:$D$218,0),1),"")</f>
        <v>0</v>
      </c>
      <c r="AA416" s="537">
        <f t="shared" si="235"/>
        <v>0</v>
      </c>
      <c r="AB416" s="208"/>
      <c r="AC416" s="208"/>
    </row>
    <row r="417" spans="2:29" outlineLevel="1">
      <c r="C417" s="200" t="s">
        <v>1025</v>
      </c>
      <c r="D417" s="439">
        <f t="shared" si="232"/>
        <v>0</v>
      </c>
      <c r="E417" s="200" t="s">
        <v>968</v>
      </c>
      <c r="F417" s="551">
        <f t="shared" si="241"/>
        <v>0</v>
      </c>
      <c r="G417" s="551">
        <f t="shared" ref="G417:X417" si="243">IF(G$6=0,0,G381)</f>
        <v>0</v>
      </c>
      <c r="H417" s="551">
        <f t="shared" si="243"/>
        <v>0</v>
      </c>
      <c r="I417" s="551">
        <f t="shared" si="243"/>
        <v>0</v>
      </c>
      <c r="J417" s="551">
        <f t="shared" si="243"/>
        <v>0</v>
      </c>
      <c r="K417" s="551">
        <f t="shared" si="243"/>
        <v>0</v>
      </c>
      <c r="L417" s="551">
        <f t="shared" si="243"/>
        <v>0</v>
      </c>
      <c r="M417" s="551">
        <f t="shared" si="243"/>
        <v>0</v>
      </c>
      <c r="N417" s="551">
        <f t="shared" si="243"/>
        <v>0</v>
      </c>
      <c r="O417" s="551">
        <f t="shared" si="243"/>
        <v>0</v>
      </c>
      <c r="P417" s="551">
        <f t="shared" si="243"/>
        <v>0</v>
      </c>
      <c r="Q417" s="551">
        <f t="shared" si="243"/>
        <v>0</v>
      </c>
      <c r="R417" s="551">
        <f t="shared" si="243"/>
        <v>0</v>
      </c>
      <c r="S417" s="551">
        <f t="shared" si="243"/>
        <v>0</v>
      </c>
      <c r="T417" s="551">
        <f t="shared" si="243"/>
        <v>0</v>
      </c>
      <c r="U417" s="551">
        <f t="shared" si="243"/>
        <v>0</v>
      </c>
      <c r="V417" s="551">
        <f t="shared" si="243"/>
        <v>0</v>
      </c>
      <c r="W417" s="551">
        <f t="shared" si="243"/>
        <v>0</v>
      </c>
      <c r="X417" s="550">
        <f t="shared" si="243"/>
        <v>0</v>
      </c>
      <c r="Y417" s="432">
        <f t="shared" si="234"/>
        <v>0</v>
      </c>
      <c r="Z417" s="538">
        <f>IFERROR(INDEX('MF Pricing'!$F$204:$F$218,MATCH(D417,'MF Pricing'!$D$204:$D$218,0),1),"")</f>
        <v>0</v>
      </c>
      <c r="AA417" s="537">
        <f t="shared" si="235"/>
        <v>0</v>
      </c>
      <c r="AB417" s="208"/>
      <c r="AC417" s="208"/>
    </row>
    <row r="418" spans="2:29" outlineLevel="1">
      <c r="C418" s="200" t="s">
        <v>1026</v>
      </c>
      <c r="D418" s="439">
        <f t="shared" si="232"/>
        <v>0</v>
      </c>
      <c r="E418" s="200" t="s">
        <v>968</v>
      </c>
      <c r="F418" s="551">
        <f t="shared" si="241"/>
        <v>0</v>
      </c>
      <c r="G418" s="551">
        <f t="shared" ref="G418:X418" si="244">IF(G$6=0,0,G382)</f>
        <v>0</v>
      </c>
      <c r="H418" s="551">
        <f t="shared" si="244"/>
        <v>0</v>
      </c>
      <c r="I418" s="551">
        <f t="shared" si="244"/>
        <v>0</v>
      </c>
      <c r="J418" s="551">
        <f t="shared" si="244"/>
        <v>0</v>
      </c>
      <c r="K418" s="551">
        <f t="shared" si="244"/>
        <v>0</v>
      </c>
      <c r="L418" s="551">
        <f t="shared" si="244"/>
        <v>0</v>
      </c>
      <c r="M418" s="551">
        <f t="shared" si="244"/>
        <v>0</v>
      </c>
      <c r="N418" s="551">
        <f t="shared" si="244"/>
        <v>0</v>
      </c>
      <c r="O418" s="551">
        <f t="shared" si="244"/>
        <v>0</v>
      </c>
      <c r="P418" s="551">
        <f t="shared" si="244"/>
        <v>0</v>
      </c>
      <c r="Q418" s="551">
        <f t="shared" si="244"/>
        <v>0</v>
      </c>
      <c r="R418" s="551">
        <f t="shared" si="244"/>
        <v>0</v>
      </c>
      <c r="S418" s="551">
        <f t="shared" si="244"/>
        <v>0</v>
      </c>
      <c r="T418" s="551">
        <f t="shared" si="244"/>
        <v>0</v>
      </c>
      <c r="U418" s="551">
        <f t="shared" si="244"/>
        <v>0</v>
      </c>
      <c r="V418" s="551">
        <f t="shared" si="244"/>
        <v>0</v>
      </c>
      <c r="W418" s="551">
        <f t="shared" si="244"/>
        <v>0</v>
      </c>
      <c r="X418" s="550">
        <f t="shared" si="244"/>
        <v>0</v>
      </c>
      <c r="Y418" s="432">
        <f t="shared" si="234"/>
        <v>0</v>
      </c>
      <c r="Z418" s="538">
        <f>IFERROR(INDEX('MF Pricing'!$F$204:$F$218,MATCH(D418,'MF Pricing'!$D$204:$D$218,0),1),"")</f>
        <v>0</v>
      </c>
      <c r="AA418" s="537">
        <f t="shared" si="235"/>
        <v>0</v>
      </c>
      <c r="AB418" s="208"/>
      <c r="AC418" s="208"/>
    </row>
    <row r="419" spans="2:29" outlineLevel="1">
      <c r="C419" s="200" t="s">
        <v>1027</v>
      </c>
      <c r="D419" s="439">
        <f t="shared" si="232"/>
        <v>0</v>
      </c>
      <c r="E419" s="200" t="s">
        <v>968</v>
      </c>
      <c r="F419" s="551">
        <f t="shared" si="241"/>
        <v>0</v>
      </c>
      <c r="G419" s="551">
        <f t="shared" ref="G419:X419" si="245">IF(G$6=0,0,G383)</f>
        <v>0</v>
      </c>
      <c r="H419" s="551">
        <f t="shared" si="245"/>
        <v>0</v>
      </c>
      <c r="I419" s="551">
        <f t="shared" si="245"/>
        <v>0</v>
      </c>
      <c r="J419" s="551">
        <f t="shared" si="245"/>
        <v>0</v>
      </c>
      <c r="K419" s="551">
        <f t="shared" si="245"/>
        <v>0</v>
      </c>
      <c r="L419" s="551">
        <f t="shared" si="245"/>
        <v>0</v>
      </c>
      <c r="M419" s="551">
        <f t="shared" si="245"/>
        <v>0</v>
      </c>
      <c r="N419" s="551">
        <f t="shared" si="245"/>
        <v>0</v>
      </c>
      <c r="O419" s="551">
        <f t="shared" si="245"/>
        <v>0</v>
      </c>
      <c r="P419" s="551">
        <f t="shared" si="245"/>
        <v>0</v>
      </c>
      <c r="Q419" s="551">
        <f t="shared" si="245"/>
        <v>0</v>
      </c>
      <c r="R419" s="551">
        <f t="shared" si="245"/>
        <v>0</v>
      </c>
      <c r="S419" s="551">
        <f t="shared" si="245"/>
        <v>0</v>
      </c>
      <c r="T419" s="551">
        <f t="shared" si="245"/>
        <v>0</v>
      </c>
      <c r="U419" s="551">
        <f t="shared" si="245"/>
        <v>0</v>
      </c>
      <c r="V419" s="551">
        <f t="shared" si="245"/>
        <v>0</v>
      </c>
      <c r="W419" s="551">
        <f t="shared" si="245"/>
        <v>0</v>
      </c>
      <c r="X419" s="550">
        <f t="shared" si="245"/>
        <v>0</v>
      </c>
      <c r="Y419" s="432">
        <f t="shared" si="234"/>
        <v>0</v>
      </c>
      <c r="Z419" s="538">
        <f>IFERROR(INDEX('MF Pricing'!$F$204:$F$218,MATCH(D419,'MF Pricing'!$D$204:$D$218,0),1),"")</f>
        <v>0</v>
      </c>
      <c r="AA419" s="537">
        <f t="shared" si="235"/>
        <v>0</v>
      </c>
      <c r="AB419" s="208"/>
      <c r="AC419" s="208"/>
    </row>
    <row r="420" spans="2:29" outlineLevel="1">
      <c r="C420" s="200" t="s">
        <v>1028</v>
      </c>
      <c r="D420" s="439">
        <f t="shared" si="232"/>
        <v>0</v>
      </c>
      <c r="E420" s="200" t="s">
        <v>968</v>
      </c>
      <c r="F420" s="551">
        <f t="shared" si="241"/>
        <v>0</v>
      </c>
      <c r="G420" s="551">
        <f t="shared" ref="G420:X420" si="246">IF(G$6=0,0,G384)</f>
        <v>0</v>
      </c>
      <c r="H420" s="551">
        <f t="shared" si="246"/>
        <v>0</v>
      </c>
      <c r="I420" s="551">
        <f t="shared" si="246"/>
        <v>0</v>
      </c>
      <c r="J420" s="551">
        <f t="shared" si="246"/>
        <v>0</v>
      </c>
      <c r="K420" s="551">
        <f t="shared" si="246"/>
        <v>0</v>
      </c>
      <c r="L420" s="551">
        <f t="shared" si="246"/>
        <v>0</v>
      </c>
      <c r="M420" s="551">
        <f t="shared" si="246"/>
        <v>0</v>
      </c>
      <c r="N420" s="551">
        <f t="shared" si="246"/>
        <v>0</v>
      </c>
      <c r="O420" s="551">
        <f t="shared" si="246"/>
        <v>0</v>
      </c>
      <c r="P420" s="551">
        <f t="shared" si="246"/>
        <v>0</v>
      </c>
      <c r="Q420" s="551">
        <f t="shared" si="246"/>
        <v>0</v>
      </c>
      <c r="R420" s="551">
        <f t="shared" si="246"/>
        <v>0</v>
      </c>
      <c r="S420" s="551">
        <f t="shared" si="246"/>
        <v>0</v>
      </c>
      <c r="T420" s="551">
        <f t="shared" si="246"/>
        <v>0</v>
      </c>
      <c r="U420" s="551">
        <f t="shared" si="246"/>
        <v>0</v>
      </c>
      <c r="V420" s="551">
        <f t="shared" si="246"/>
        <v>0</v>
      </c>
      <c r="W420" s="551">
        <f t="shared" si="246"/>
        <v>0</v>
      </c>
      <c r="X420" s="550">
        <f t="shared" si="246"/>
        <v>0</v>
      </c>
      <c r="Y420" s="432">
        <f t="shared" si="234"/>
        <v>0</v>
      </c>
      <c r="Z420" s="538">
        <f>IFERROR(INDEX('MF Pricing'!$F$204:$F$218,MATCH(D420,'MF Pricing'!$D$204:$D$218,0),1),"")</f>
        <v>0</v>
      </c>
      <c r="AA420" s="537">
        <f t="shared" si="235"/>
        <v>0</v>
      </c>
      <c r="AB420" s="208"/>
      <c r="AC420" s="208"/>
    </row>
    <row r="421" spans="2:29" outlineLevel="1">
      <c r="C421" s="200" t="s">
        <v>1029</v>
      </c>
      <c r="D421" s="439">
        <f t="shared" si="232"/>
        <v>0</v>
      </c>
      <c r="E421" s="200" t="s">
        <v>968</v>
      </c>
      <c r="F421" s="551">
        <f t="shared" si="241"/>
        <v>0</v>
      </c>
      <c r="G421" s="551">
        <f t="shared" ref="G421:X421" si="247">IF(G$6=0,0,G385)</f>
        <v>0</v>
      </c>
      <c r="H421" s="551">
        <f t="shared" si="247"/>
        <v>0</v>
      </c>
      <c r="I421" s="551">
        <f t="shared" si="247"/>
        <v>0</v>
      </c>
      <c r="J421" s="551">
        <f t="shared" si="247"/>
        <v>0</v>
      </c>
      <c r="K421" s="551">
        <f t="shared" si="247"/>
        <v>0</v>
      </c>
      <c r="L421" s="551">
        <f t="shared" si="247"/>
        <v>0</v>
      </c>
      <c r="M421" s="551">
        <f t="shared" si="247"/>
        <v>0</v>
      </c>
      <c r="N421" s="551">
        <f t="shared" si="247"/>
        <v>0</v>
      </c>
      <c r="O421" s="551">
        <f t="shared" si="247"/>
        <v>0</v>
      </c>
      <c r="P421" s="551">
        <f t="shared" si="247"/>
        <v>0</v>
      </c>
      <c r="Q421" s="551">
        <f t="shared" si="247"/>
        <v>0</v>
      </c>
      <c r="R421" s="551">
        <f t="shared" si="247"/>
        <v>0</v>
      </c>
      <c r="S421" s="551">
        <f t="shared" si="247"/>
        <v>0</v>
      </c>
      <c r="T421" s="551">
        <f t="shared" si="247"/>
        <v>0</v>
      </c>
      <c r="U421" s="551">
        <f t="shared" si="247"/>
        <v>0</v>
      </c>
      <c r="V421" s="551">
        <f t="shared" si="247"/>
        <v>0</v>
      </c>
      <c r="W421" s="551">
        <f t="shared" si="247"/>
        <v>0</v>
      </c>
      <c r="X421" s="550">
        <f t="shared" si="247"/>
        <v>0</v>
      </c>
      <c r="Y421" s="432">
        <f t="shared" si="234"/>
        <v>0</v>
      </c>
      <c r="Z421" s="538">
        <f>IFERROR(INDEX('MF Pricing'!$F$204:$F$218,MATCH(D421,'MF Pricing'!$D$204:$D$218,0),1),"")</f>
        <v>0</v>
      </c>
      <c r="AA421" s="537">
        <f t="shared" si="235"/>
        <v>0</v>
      </c>
      <c r="AB421" s="208"/>
      <c r="AC421" s="208"/>
    </row>
    <row r="422" spans="2:29" outlineLevel="1">
      <c r="C422" s="200" t="s">
        <v>1030</v>
      </c>
      <c r="D422" s="439">
        <f t="shared" si="232"/>
        <v>0</v>
      </c>
      <c r="E422" s="200" t="s">
        <v>968</v>
      </c>
      <c r="F422" s="551">
        <f t="shared" si="241"/>
        <v>0</v>
      </c>
      <c r="G422" s="551">
        <f t="shared" ref="G422:X422" si="248">IF(G$6=0,0,G386)</f>
        <v>0</v>
      </c>
      <c r="H422" s="551">
        <f t="shared" si="248"/>
        <v>0</v>
      </c>
      <c r="I422" s="551">
        <f t="shared" si="248"/>
        <v>0</v>
      </c>
      <c r="J422" s="551">
        <f t="shared" si="248"/>
        <v>0</v>
      </c>
      <c r="K422" s="551">
        <f t="shared" si="248"/>
        <v>0</v>
      </c>
      <c r="L422" s="551">
        <f t="shared" si="248"/>
        <v>0</v>
      </c>
      <c r="M422" s="551">
        <f t="shared" si="248"/>
        <v>0</v>
      </c>
      <c r="N422" s="551">
        <f t="shared" si="248"/>
        <v>0</v>
      </c>
      <c r="O422" s="551">
        <f t="shared" si="248"/>
        <v>0</v>
      </c>
      <c r="P422" s="551">
        <f t="shared" si="248"/>
        <v>0</v>
      </c>
      <c r="Q422" s="551">
        <f t="shared" si="248"/>
        <v>0</v>
      </c>
      <c r="R422" s="551">
        <f t="shared" si="248"/>
        <v>0</v>
      </c>
      <c r="S422" s="551">
        <f t="shared" si="248"/>
        <v>0</v>
      </c>
      <c r="T422" s="551">
        <f t="shared" si="248"/>
        <v>0</v>
      </c>
      <c r="U422" s="551">
        <f t="shared" si="248"/>
        <v>0</v>
      </c>
      <c r="V422" s="551">
        <f t="shared" si="248"/>
        <v>0</v>
      </c>
      <c r="W422" s="551">
        <f t="shared" si="248"/>
        <v>0</v>
      </c>
      <c r="X422" s="550">
        <f t="shared" si="248"/>
        <v>0</v>
      </c>
      <c r="Y422" s="432">
        <f t="shared" si="234"/>
        <v>0</v>
      </c>
      <c r="Z422" s="538">
        <f>IFERROR(INDEX('MF Pricing'!$F$204:$F$218,MATCH(D422,'MF Pricing'!$D$204:$D$218,0),1),"")</f>
        <v>0</v>
      </c>
      <c r="AA422" s="537">
        <f t="shared" si="235"/>
        <v>0</v>
      </c>
      <c r="AB422" s="208"/>
      <c r="AC422" s="208"/>
    </row>
    <row r="423" spans="2:29" outlineLevel="1">
      <c r="C423" s="200" t="s">
        <v>1031</v>
      </c>
      <c r="D423" s="439">
        <f t="shared" si="232"/>
        <v>0</v>
      </c>
      <c r="E423" s="200" t="s">
        <v>968</v>
      </c>
      <c r="F423" s="551">
        <f t="shared" si="241"/>
        <v>0</v>
      </c>
      <c r="G423" s="551">
        <f t="shared" ref="G423:X423" si="249">IF(G$6=0,0,G387)</f>
        <v>0</v>
      </c>
      <c r="H423" s="551">
        <f t="shared" si="249"/>
        <v>0</v>
      </c>
      <c r="I423" s="551">
        <f t="shared" si="249"/>
        <v>0</v>
      </c>
      <c r="J423" s="551">
        <f t="shared" si="249"/>
        <v>0</v>
      </c>
      <c r="K423" s="551">
        <f t="shared" si="249"/>
        <v>0</v>
      </c>
      <c r="L423" s="551">
        <f t="shared" si="249"/>
        <v>0</v>
      </c>
      <c r="M423" s="551">
        <f t="shared" si="249"/>
        <v>0</v>
      </c>
      <c r="N423" s="551">
        <f t="shared" si="249"/>
        <v>0</v>
      </c>
      <c r="O423" s="551">
        <f t="shared" si="249"/>
        <v>0</v>
      </c>
      <c r="P423" s="551">
        <f t="shared" si="249"/>
        <v>0</v>
      </c>
      <c r="Q423" s="551">
        <f t="shared" si="249"/>
        <v>0</v>
      </c>
      <c r="R423" s="551">
        <f t="shared" si="249"/>
        <v>0</v>
      </c>
      <c r="S423" s="551">
        <f t="shared" si="249"/>
        <v>0</v>
      </c>
      <c r="T423" s="551">
        <f t="shared" si="249"/>
        <v>0</v>
      </c>
      <c r="U423" s="551">
        <f t="shared" si="249"/>
        <v>0</v>
      </c>
      <c r="V423" s="551">
        <f t="shared" si="249"/>
        <v>0</v>
      </c>
      <c r="W423" s="551">
        <f t="shared" si="249"/>
        <v>0</v>
      </c>
      <c r="X423" s="550">
        <f t="shared" si="249"/>
        <v>0</v>
      </c>
      <c r="Y423" s="432">
        <f t="shared" si="234"/>
        <v>0</v>
      </c>
      <c r="Z423" s="538">
        <f>IFERROR(INDEX('MF Pricing'!$F$204:$F$218,MATCH(D423,'MF Pricing'!$D$204:$D$218,0),1),"")</f>
        <v>0</v>
      </c>
      <c r="AA423" s="537">
        <f t="shared" si="235"/>
        <v>0</v>
      </c>
      <c r="AB423" s="208"/>
      <c r="AC423" s="208"/>
    </row>
    <row r="424" spans="2:29" outlineLevel="1">
      <c r="C424" s="200" t="s">
        <v>1032</v>
      </c>
      <c r="D424" s="439">
        <f t="shared" si="232"/>
        <v>0</v>
      </c>
      <c r="E424" s="200" t="s">
        <v>968</v>
      </c>
      <c r="F424" s="551">
        <f t="shared" si="241"/>
        <v>0</v>
      </c>
      <c r="G424" s="551">
        <f t="shared" ref="G424:X424" si="250">IF(G$6=0,0,G388)</f>
        <v>0</v>
      </c>
      <c r="H424" s="551">
        <f t="shared" si="250"/>
        <v>0</v>
      </c>
      <c r="I424" s="551">
        <f t="shared" si="250"/>
        <v>0</v>
      </c>
      <c r="J424" s="551">
        <f t="shared" si="250"/>
        <v>0</v>
      </c>
      <c r="K424" s="551">
        <f t="shared" si="250"/>
        <v>0</v>
      </c>
      <c r="L424" s="551">
        <f t="shared" si="250"/>
        <v>0</v>
      </c>
      <c r="M424" s="551">
        <f t="shared" si="250"/>
        <v>0</v>
      </c>
      <c r="N424" s="551">
        <f t="shared" si="250"/>
        <v>0</v>
      </c>
      <c r="O424" s="551">
        <f t="shared" si="250"/>
        <v>0</v>
      </c>
      <c r="P424" s="551">
        <f t="shared" si="250"/>
        <v>0</v>
      </c>
      <c r="Q424" s="551">
        <f t="shared" si="250"/>
        <v>0</v>
      </c>
      <c r="R424" s="551">
        <f t="shared" si="250"/>
        <v>0</v>
      </c>
      <c r="S424" s="551">
        <f t="shared" si="250"/>
        <v>0</v>
      </c>
      <c r="T424" s="551">
        <f t="shared" si="250"/>
        <v>0</v>
      </c>
      <c r="U424" s="551">
        <f t="shared" si="250"/>
        <v>0</v>
      </c>
      <c r="V424" s="551">
        <f t="shared" si="250"/>
        <v>0</v>
      </c>
      <c r="W424" s="551">
        <f t="shared" si="250"/>
        <v>0</v>
      </c>
      <c r="X424" s="550">
        <f t="shared" si="250"/>
        <v>0</v>
      </c>
      <c r="Y424" s="432">
        <f t="shared" si="234"/>
        <v>0</v>
      </c>
      <c r="Z424" s="538">
        <f>IFERROR(INDEX('MF Pricing'!$F$204:$F$218,MATCH(D424,'MF Pricing'!$D$204:$D$218,0),1),"")</f>
        <v>0</v>
      </c>
      <c r="AA424" s="537">
        <f t="shared" si="235"/>
        <v>0</v>
      </c>
      <c r="AB424" s="208"/>
      <c r="AC424" s="208"/>
    </row>
    <row r="425" spans="2:29" outlineLevel="1">
      <c r="C425" s="423" t="s">
        <v>1184</v>
      </c>
      <c r="D425" s="1"/>
      <c r="E425" s="536" t="s">
        <v>1185</v>
      </c>
      <c r="F425" s="535">
        <f t="shared" ref="F425:X425" si="251">SUMPRODUCT(F$410:F$424,$Z$410:$Z$424)</f>
        <v>35.75</v>
      </c>
      <c r="G425" s="534">
        <f t="shared" si="251"/>
        <v>60.5</v>
      </c>
      <c r="H425" s="534">
        <f t="shared" si="251"/>
        <v>35.75</v>
      </c>
      <c r="I425" s="534">
        <f t="shared" si="251"/>
        <v>49.25</v>
      </c>
      <c r="J425" s="534">
        <f t="shared" si="251"/>
        <v>50.75</v>
      </c>
      <c r="K425" s="534">
        <f t="shared" si="251"/>
        <v>50.75</v>
      </c>
      <c r="L425" s="534">
        <f t="shared" si="251"/>
        <v>61.5</v>
      </c>
      <c r="M425" s="534">
        <f t="shared" si="251"/>
        <v>61.5</v>
      </c>
      <c r="N425" s="534">
        <f t="shared" si="251"/>
        <v>62.75</v>
      </c>
      <c r="O425" s="534">
        <f t="shared" si="251"/>
        <v>74.25</v>
      </c>
      <c r="P425" s="534">
        <f t="shared" si="251"/>
        <v>87.75</v>
      </c>
      <c r="Q425" s="534">
        <f t="shared" si="251"/>
        <v>87.75</v>
      </c>
      <c r="R425" s="534">
        <f t="shared" si="251"/>
        <v>99.75</v>
      </c>
      <c r="S425" s="534">
        <f t="shared" si="251"/>
        <v>123.75</v>
      </c>
      <c r="T425" s="534">
        <f t="shared" si="251"/>
        <v>133.75</v>
      </c>
      <c r="U425" s="534">
        <f t="shared" si="251"/>
        <v>147.75</v>
      </c>
      <c r="V425" s="534">
        <f t="shared" si="251"/>
        <v>0</v>
      </c>
      <c r="W425" s="534">
        <f t="shared" si="251"/>
        <v>0</v>
      </c>
      <c r="X425" s="533">
        <f t="shared" si="251"/>
        <v>0</v>
      </c>
      <c r="Y425" s="432"/>
      <c r="Z425" s="532"/>
      <c r="AA425" s="537"/>
      <c r="AB425" s="208"/>
      <c r="AC425" s="208"/>
    </row>
    <row r="426" spans="2:29" outlineLevel="1">
      <c r="C426" s="423" t="s">
        <v>988</v>
      </c>
      <c r="D426" s="1"/>
      <c r="E426" s="16" t="s">
        <v>961</v>
      </c>
      <c r="F426" s="530">
        <f t="shared" ref="F426:X426" si="252">F425*F$6</f>
        <v>286</v>
      </c>
      <c r="G426" s="529">
        <f t="shared" si="252"/>
        <v>968</v>
      </c>
      <c r="H426" s="529">
        <f t="shared" si="252"/>
        <v>286</v>
      </c>
      <c r="I426" s="529">
        <f t="shared" si="252"/>
        <v>935.75</v>
      </c>
      <c r="J426" s="529">
        <f t="shared" si="252"/>
        <v>2436</v>
      </c>
      <c r="K426" s="529">
        <f t="shared" si="252"/>
        <v>203</v>
      </c>
      <c r="L426" s="529">
        <f t="shared" si="252"/>
        <v>1476</v>
      </c>
      <c r="M426" s="529">
        <f t="shared" si="252"/>
        <v>615</v>
      </c>
      <c r="N426" s="529">
        <f t="shared" si="252"/>
        <v>2008</v>
      </c>
      <c r="O426" s="529">
        <f t="shared" si="252"/>
        <v>4752</v>
      </c>
      <c r="P426" s="529">
        <f t="shared" si="252"/>
        <v>4036.5</v>
      </c>
      <c r="Q426" s="529">
        <f t="shared" si="252"/>
        <v>1404</v>
      </c>
      <c r="R426" s="529">
        <f t="shared" si="252"/>
        <v>2394</v>
      </c>
      <c r="S426" s="529">
        <f t="shared" si="252"/>
        <v>990</v>
      </c>
      <c r="T426" s="529">
        <f t="shared" si="252"/>
        <v>1070</v>
      </c>
      <c r="U426" s="529">
        <f t="shared" si="252"/>
        <v>1625.25</v>
      </c>
      <c r="V426" s="529">
        <f t="shared" si="252"/>
        <v>0</v>
      </c>
      <c r="W426" s="529">
        <f t="shared" si="252"/>
        <v>0</v>
      </c>
      <c r="X426" s="528">
        <f t="shared" si="252"/>
        <v>0</v>
      </c>
      <c r="Y426" s="422">
        <f>SUM(Y410:Y424)</f>
        <v>2052</v>
      </c>
      <c r="Z426" s="255"/>
      <c r="AA426" s="527">
        <f>SUM(F426:X426)</f>
        <v>25485.5</v>
      </c>
      <c r="AB426" s="208"/>
      <c r="AC426" s="208"/>
    </row>
    <row r="427" spans="2:29">
      <c r="C427" s="461" t="s">
        <v>1241</v>
      </c>
      <c r="D427" s="942" t="s">
        <v>1242</v>
      </c>
      <c r="E427" s="942"/>
      <c r="F427" s="542"/>
      <c r="G427" s="542"/>
      <c r="H427" s="542"/>
      <c r="I427" s="542"/>
      <c r="J427" s="542"/>
      <c r="K427" s="542"/>
      <c r="L427" s="542"/>
      <c r="M427" s="542"/>
      <c r="N427" s="542"/>
      <c r="O427" s="542"/>
      <c r="P427" s="542"/>
      <c r="Q427" s="542"/>
      <c r="R427" s="542"/>
      <c r="S427" s="542"/>
      <c r="T427" s="542"/>
      <c r="U427" s="542"/>
      <c r="V427" s="542"/>
      <c r="W427" s="542"/>
      <c r="X427" s="542"/>
      <c r="Y427" s="437" t="s">
        <v>948</v>
      </c>
      <c r="Z427" s="92" t="s">
        <v>949</v>
      </c>
      <c r="AA427" s="541" t="s">
        <v>950</v>
      </c>
      <c r="AB427" s="208"/>
      <c r="AC427" s="208"/>
    </row>
    <row r="428" spans="2:29" outlineLevel="1">
      <c r="D428" s="75"/>
      <c r="E428" s="75" t="s">
        <v>1214</v>
      </c>
      <c r="F428" s="549">
        <f t="shared" ref="F428:X428" si="253">IF(F$6=0,0,Inp_ductboardlab*F$252+inp_flexlabor*SUM(F$282:F$292)+inp_boxlab*SUM(F$410:F$424)+inp_grillslab*SUM(F$392:F$406)+inp_grillslab*SUM(F$374:F$388))</f>
        <v>5.2133333333333338</v>
      </c>
      <c r="G428" s="549">
        <f t="shared" si="253"/>
        <v>8.4666666666666668</v>
      </c>
      <c r="H428" s="549">
        <f t="shared" si="253"/>
        <v>4.5433333333333339</v>
      </c>
      <c r="I428" s="549">
        <f t="shared" si="253"/>
        <v>6.5519999999999987</v>
      </c>
      <c r="J428" s="549">
        <f t="shared" si="253"/>
        <v>6.9233333333333329</v>
      </c>
      <c r="K428" s="549">
        <f t="shared" si="253"/>
        <v>7.1465333333333332</v>
      </c>
      <c r="L428" s="549">
        <f t="shared" si="253"/>
        <v>8.2620000000000005</v>
      </c>
      <c r="M428" s="549">
        <f t="shared" si="253"/>
        <v>8.2764000000000006</v>
      </c>
      <c r="N428" s="549">
        <f t="shared" si="253"/>
        <v>8.9449999999999985</v>
      </c>
      <c r="O428" s="549">
        <f t="shared" si="253"/>
        <v>8.7446666666666655</v>
      </c>
      <c r="P428" s="549">
        <f t="shared" si="253"/>
        <v>9.5133333333333336</v>
      </c>
      <c r="Q428" s="549">
        <f t="shared" si="253"/>
        <v>10.313333333333333</v>
      </c>
      <c r="R428" s="549">
        <f t="shared" si="253"/>
        <v>11.917599999999998</v>
      </c>
      <c r="S428" s="549">
        <f t="shared" si="253"/>
        <v>15.514333333333333</v>
      </c>
      <c r="T428" s="549">
        <f t="shared" si="253"/>
        <v>17.375333333333334</v>
      </c>
      <c r="U428" s="549">
        <f t="shared" si="253"/>
        <v>16.819000000000003</v>
      </c>
      <c r="V428" s="549">
        <f t="shared" si="253"/>
        <v>0</v>
      </c>
      <c r="W428" s="549">
        <f t="shared" si="253"/>
        <v>0</v>
      </c>
      <c r="X428" s="61">
        <f t="shared" si="253"/>
        <v>0</v>
      </c>
      <c r="Y428" s="432">
        <f>SUMPRODUCT($F428:$X428,$F$6:$X$6)</f>
        <v>3162.6401999999998</v>
      </c>
      <c r="Z428" s="538">
        <f>'MF Pricing'!F226</f>
        <v>23</v>
      </c>
      <c r="AA428" s="537">
        <f>Y428*Z428</f>
        <v>72740.724600000001</v>
      </c>
      <c r="AB428" s="208"/>
      <c r="AC428" s="208"/>
    </row>
    <row r="429" spans="2:29" outlineLevel="1">
      <c r="C429" s="423" t="s">
        <v>1215</v>
      </c>
      <c r="D429" s="1"/>
      <c r="E429" s="536" t="s">
        <v>1185</v>
      </c>
      <c r="F429" s="535">
        <f t="shared" ref="F429:X429" si="254">F428*$Z428</f>
        <v>119.90666666666668</v>
      </c>
      <c r="G429" s="534">
        <f t="shared" si="254"/>
        <v>194.73333333333335</v>
      </c>
      <c r="H429" s="534">
        <f t="shared" si="254"/>
        <v>104.49666666666668</v>
      </c>
      <c r="I429" s="534">
        <f t="shared" si="254"/>
        <v>150.69599999999997</v>
      </c>
      <c r="J429" s="534">
        <f t="shared" si="254"/>
        <v>159.23666666666665</v>
      </c>
      <c r="K429" s="534">
        <f t="shared" si="254"/>
        <v>164.37026666666665</v>
      </c>
      <c r="L429" s="534">
        <f t="shared" si="254"/>
        <v>190.02600000000001</v>
      </c>
      <c r="M429" s="534">
        <f t="shared" si="254"/>
        <v>190.35720000000001</v>
      </c>
      <c r="N429" s="534">
        <f t="shared" si="254"/>
        <v>205.73499999999996</v>
      </c>
      <c r="O429" s="534">
        <f t="shared" si="254"/>
        <v>201.1273333333333</v>
      </c>
      <c r="P429" s="534">
        <f t="shared" si="254"/>
        <v>218.80666666666667</v>
      </c>
      <c r="Q429" s="534">
        <f t="shared" si="254"/>
        <v>237.20666666666665</v>
      </c>
      <c r="R429" s="534">
        <f t="shared" si="254"/>
        <v>274.10479999999995</v>
      </c>
      <c r="S429" s="534">
        <f t="shared" si="254"/>
        <v>356.82966666666664</v>
      </c>
      <c r="T429" s="534">
        <f t="shared" si="254"/>
        <v>399.63266666666669</v>
      </c>
      <c r="U429" s="534">
        <f t="shared" si="254"/>
        <v>386.83700000000005</v>
      </c>
      <c r="V429" s="534">
        <f t="shared" si="254"/>
        <v>0</v>
      </c>
      <c r="W429" s="534">
        <f t="shared" si="254"/>
        <v>0</v>
      </c>
      <c r="X429" s="533">
        <f t="shared" si="254"/>
        <v>0</v>
      </c>
      <c r="Y429" s="432"/>
      <c r="Z429" s="532"/>
      <c r="AA429" s="394"/>
      <c r="AB429" s="208"/>
      <c r="AC429" s="208"/>
    </row>
    <row r="430" spans="2:29" outlineLevel="1">
      <c r="C430" s="423" t="s">
        <v>1216</v>
      </c>
      <c r="D430" s="1"/>
      <c r="E430" s="16" t="s">
        <v>961</v>
      </c>
      <c r="F430" s="530">
        <f t="shared" ref="F430:X430" si="255">F429*F$6</f>
        <v>959.25333333333344</v>
      </c>
      <c r="G430" s="529">
        <f t="shared" si="255"/>
        <v>3115.7333333333336</v>
      </c>
      <c r="H430" s="529">
        <f t="shared" si="255"/>
        <v>835.97333333333347</v>
      </c>
      <c r="I430" s="529">
        <f t="shared" si="255"/>
        <v>2863.2239999999993</v>
      </c>
      <c r="J430" s="529">
        <f t="shared" si="255"/>
        <v>7643.3599999999988</v>
      </c>
      <c r="K430" s="529">
        <f t="shared" si="255"/>
        <v>657.48106666666661</v>
      </c>
      <c r="L430" s="529">
        <f t="shared" si="255"/>
        <v>4560.6239999999998</v>
      </c>
      <c r="M430" s="529">
        <f t="shared" si="255"/>
        <v>1903.5720000000001</v>
      </c>
      <c r="N430" s="529">
        <f t="shared" si="255"/>
        <v>6583.5199999999986</v>
      </c>
      <c r="O430" s="529">
        <f t="shared" si="255"/>
        <v>12872.149333333331</v>
      </c>
      <c r="P430" s="529">
        <f t="shared" si="255"/>
        <v>10065.106666666667</v>
      </c>
      <c r="Q430" s="529">
        <f t="shared" si="255"/>
        <v>3795.3066666666664</v>
      </c>
      <c r="R430" s="529">
        <f t="shared" si="255"/>
        <v>6578.5151999999989</v>
      </c>
      <c r="S430" s="529">
        <f t="shared" si="255"/>
        <v>2854.6373333333331</v>
      </c>
      <c r="T430" s="529">
        <f t="shared" si="255"/>
        <v>3197.0613333333336</v>
      </c>
      <c r="U430" s="529">
        <f t="shared" si="255"/>
        <v>4255.2070000000003</v>
      </c>
      <c r="V430" s="529">
        <f t="shared" si="255"/>
        <v>0</v>
      </c>
      <c r="W430" s="529">
        <f t="shared" si="255"/>
        <v>0</v>
      </c>
      <c r="X430" s="528">
        <f t="shared" si="255"/>
        <v>0</v>
      </c>
      <c r="Y430" s="422">
        <f>SUM(Y428)</f>
        <v>3162.6401999999998</v>
      </c>
      <c r="Z430" s="255"/>
      <c r="AA430" s="527">
        <f>SUM(F430:X430)</f>
        <v>72740.724599999987</v>
      </c>
      <c r="AB430" s="208"/>
      <c r="AC430" s="208"/>
    </row>
    <row r="431" spans="2:29">
      <c r="B431" s="438" t="s">
        <v>1081</v>
      </c>
      <c r="C431" s="96" t="s">
        <v>1082</v>
      </c>
      <c r="D431" s="941" t="s">
        <v>1282</v>
      </c>
      <c r="E431" s="941"/>
      <c r="F431" s="542"/>
      <c r="G431" s="542"/>
      <c r="H431" s="542"/>
      <c r="I431" s="542"/>
      <c r="J431" s="542"/>
      <c r="K431" s="542"/>
      <c r="L431" s="542"/>
      <c r="M431" s="542"/>
      <c r="N431" s="542"/>
      <c r="O431" s="542"/>
      <c r="P431" s="542"/>
      <c r="Q431" s="542"/>
      <c r="R431" s="542"/>
      <c r="S431" s="542"/>
      <c r="T431" s="542"/>
      <c r="U431" s="542"/>
      <c r="V431" s="542"/>
      <c r="W431" s="542"/>
      <c r="X431" s="542"/>
      <c r="Y431" s="437" t="s">
        <v>948</v>
      </c>
      <c r="Z431" s="92" t="s">
        <v>949</v>
      </c>
      <c r="AA431" s="541" t="s">
        <v>950</v>
      </c>
      <c r="AB431" s="208"/>
      <c r="AC431" s="208"/>
    </row>
    <row r="432" spans="2:29">
      <c r="C432" s="435" t="str">
        <f>'MF Pricing'!C220</f>
        <v>Contingency</v>
      </c>
      <c r="D432" s="435"/>
      <c r="E432" s="198" t="s">
        <v>968</v>
      </c>
      <c r="F432" s="547">
        <v>1</v>
      </c>
      <c r="G432" s="547">
        <v>1</v>
      </c>
      <c r="H432" s="547">
        <v>1</v>
      </c>
      <c r="I432" s="547">
        <v>1</v>
      </c>
      <c r="J432" s="547">
        <v>1</v>
      </c>
      <c r="K432" s="547">
        <v>1</v>
      </c>
      <c r="L432" s="547">
        <v>1</v>
      </c>
      <c r="M432" s="547">
        <v>1</v>
      </c>
      <c r="N432" s="547">
        <v>1</v>
      </c>
      <c r="O432" s="547">
        <v>1</v>
      </c>
      <c r="P432" s="547">
        <v>1</v>
      </c>
      <c r="Q432" s="547">
        <v>1</v>
      </c>
      <c r="R432" s="547">
        <v>1</v>
      </c>
      <c r="S432" s="547">
        <v>1</v>
      </c>
      <c r="T432" s="547">
        <v>1</v>
      </c>
      <c r="U432" s="547">
        <v>1</v>
      </c>
      <c r="V432" s="547">
        <v>1</v>
      </c>
      <c r="W432" s="547">
        <v>1</v>
      </c>
      <c r="X432" s="548">
        <v>1</v>
      </c>
      <c r="Y432" s="432">
        <f>SUMPRODUCT($F432:$X432,$F$6:$X$6)</f>
        <v>346</v>
      </c>
      <c r="Z432" s="538">
        <f>IFERROR(INDEX('MF Pricing'!$F$220:$F$224,MATCH(C432,'MF Pricing'!$C$220:$C$224,0),1),0)</f>
        <v>25</v>
      </c>
      <c r="AA432" s="537">
        <f>IFERROR(Y432*Z432,0)</f>
        <v>8650</v>
      </c>
      <c r="AB432" s="208"/>
      <c r="AC432" s="208"/>
    </row>
    <row r="433" spans="2:29">
      <c r="C433" s="434">
        <f>'MF Pricing'!C221</f>
        <v>0</v>
      </c>
      <c r="D433" s="433"/>
      <c r="E433" s="200" t="s">
        <v>968</v>
      </c>
      <c r="F433" s="547"/>
      <c r="G433" s="546"/>
      <c r="H433" s="546"/>
      <c r="I433" s="546"/>
      <c r="J433" s="546"/>
      <c r="K433" s="546"/>
      <c r="L433" s="546"/>
      <c r="M433" s="546"/>
      <c r="N433" s="546"/>
      <c r="O433" s="546"/>
      <c r="P433" s="546"/>
      <c r="Q433" s="546"/>
      <c r="R433" s="546"/>
      <c r="S433" s="546"/>
      <c r="T433" s="546"/>
      <c r="U433" s="546"/>
      <c r="V433" s="546"/>
      <c r="W433" s="546"/>
      <c r="X433" s="545"/>
      <c r="Y433" s="432">
        <f>SUMPRODUCT($F433:$X433,$F$6:$X$6)</f>
        <v>0</v>
      </c>
      <c r="Z433" s="538">
        <f>IFERROR(INDEX('MF Pricing'!$F$220:$F$224,MATCH(C433,'MF Pricing'!$C$220:$C$224,0),1),0)</f>
        <v>0</v>
      </c>
      <c r="AA433" s="537">
        <f>IFERROR(Y433*Z433,0)</f>
        <v>0</v>
      </c>
      <c r="AB433" s="208"/>
      <c r="AC433" s="208"/>
    </row>
    <row r="434" spans="2:29">
      <c r="C434" s="434">
        <f>'MF Pricing'!C222</f>
        <v>0</v>
      </c>
      <c r="D434" s="433"/>
      <c r="E434" s="200" t="s">
        <v>968</v>
      </c>
      <c r="F434" s="547"/>
      <c r="G434" s="546"/>
      <c r="H434" s="546"/>
      <c r="I434" s="546"/>
      <c r="J434" s="546"/>
      <c r="K434" s="546"/>
      <c r="L434" s="546"/>
      <c r="M434" s="546"/>
      <c r="N434" s="546"/>
      <c r="O434" s="546"/>
      <c r="P434" s="546"/>
      <c r="Q434" s="546"/>
      <c r="R434" s="546"/>
      <c r="S434" s="546"/>
      <c r="T434" s="546"/>
      <c r="U434" s="546"/>
      <c r="V434" s="546"/>
      <c r="W434" s="546"/>
      <c r="X434" s="545"/>
      <c r="Y434" s="432">
        <f>SUMPRODUCT($F434:$X434,$F$6:$X$6)</f>
        <v>0</v>
      </c>
      <c r="Z434" s="538">
        <f>IFERROR(INDEX('MF Pricing'!$F$220:$F$224,MATCH(C434,'MF Pricing'!$C$220:$C$224,0),1),0)</f>
        <v>0</v>
      </c>
      <c r="AA434" s="537">
        <f>IFERROR(Y434*Z434,0)</f>
        <v>0</v>
      </c>
      <c r="AB434" s="208"/>
      <c r="AC434" s="208"/>
    </row>
    <row r="435" spans="2:29">
      <c r="C435" s="434">
        <f>'MF Pricing'!C223</f>
        <v>0</v>
      </c>
      <c r="D435" s="433"/>
      <c r="E435" s="200" t="s">
        <v>968</v>
      </c>
      <c r="F435" s="547"/>
      <c r="G435" s="546"/>
      <c r="H435" s="546"/>
      <c r="I435" s="546"/>
      <c r="J435" s="546"/>
      <c r="K435" s="546"/>
      <c r="L435" s="546"/>
      <c r="M435" s="546"/>
      <c r="N435" s="546"/>
      <c r="O435" s="546"/>
      <c r="P435" s="546"/>
      <c r="Q435" s="546"/>
      <c r="R435" s="546"/>
      <c r="S435" s="546"/>
      <c r="T435" s="546"/>
      <c r="U435" s="546"/>
      <c r="V435" s="546"/>
      <c r="W435" s="546"/>
      <c r="X435" s="545"/>
      <c r="Y435" s="432">
        <f>SUMPRODUCT($F435:$X435,$F$6:$X$6)</f>
        <v>0</v>
      </c>
      <c r="Z435" s="538">
        <f>IFERROR(INDEX('MF Pricing'!$F$220:$F$224,MATCH(C435,'MF Pricing'!$C$220:$C$224,0),1),0)</f>
        <v>0</v>
      </c>
      <c r="AA435" s="537">
        <f>IFERROR(Y435*Z435,0)</f>
        <v>0</v>
      </c>
      <c r="AB435" s="208"/>
      <c r="AC435" s="208"/>
    </row>
    <row r="436" spans="2:29">
      <c r="C436" s="434">
        <f>'MF Pricing'!C224</f>
        <v>0</v>
      </c>
      <c r="D436" s="433"/>
      <c r="E436" s="200" t="s">
        <v>968</v>
      </c>
      <c r="F436" s="547"/>
      <c r="G436" s="546">
        <v>1</v>
      </c>
      <c r="H436" s="546"/>
      <c r="I436" s="546"/>
      <c r="J436" s="546"/>
      <c r="K436" s="546"/>
      <c r="L436" s="546"/>
      <c r="M436" s="546"/>
      <c r="N436" s="546"/>
      <c r="O436" s="546"/>
      <c r="P436" s="546"/>
      <c r="Q436" s="546"/>
      <c r="R436" s="546"/>
      <c r="S436" s="546"/>
      <c r="T436" s="546"/>
      <c r="U436" s="546"/>
      <c r="V436" s="546"/>
      <c r="W436" s="546"/>
      <c r="X436" s="545"/>
      <c r="Y436" s="432">
        <f>SUMPRODUCT($F436:$X436,$F$6:$X$6)</f>
        <v>16</v>
      </c>
      <c r="Z436" s="538">
        <f>IFERROR(INDEX('MF Pricing'!$F$220:$F$224,MATCH(C436,'MF Pricing'!$C$220:$C$224,0),1),0)</f>
        <v>0</v>
      </c>
      <c r="AA436" s="537">
        <f>IFERROR(Y436*Z436,0)</f>
        <v>0</v>
      </c>
      <c r="AB436" s="208"/>
      <c r="AC436" s="208"/>
    </row>
    <row r="437" spans="2:29" outlineLevel="1">
      <c r="C437" s="423" t="s">
        <v>1184</v>
      </c>
      <c r="D437" s="1"/>
      <c r="E437" s="536" t="s">
        <v>1185</v>
      </c>
      <c r="F437" s="535">
        <f t="shared" ref="F437:X437" si="256">IF(F$6=0,0,SUMPRODUCT(F$432:F$436,$Z$432:$Z$436))</f>
        <v>25</v>
      </c>
      <c r="G437" s="534">
        <f t="shared" si="256"/>
        <v>25</v>
      </c>
      <c r="H437" s="534">
        <f t="shared" si="256"/>
        <v>25</v>
      </c>
      <c r="I437" s="534">
        <f t="shared" si="256"/>
        <v>25</v>
      </c>
      <c r="J437" s="534">
        <f t="shared" si="256"/>
        <v>25</v>
      </c>
      <c r="K437" s="534">
        <f t="shared" si="256"/>
        <v>25</v>
      </c>
      <c r="L437" s="534">
        <f t="shared" si="256"/>
        <v>25</v>
      </c>
      <c r="M437" s="534">
        <f t="shared" si="256"/>
        <v>25</v>
      </c>
      <c r="N437" s="534">
        <f t="shared" si="256"/>
        <v>25</v>
      </c>
      <c r="O437" s="534">
        <f t="shared" si="256"/>
        <v>25</v>
      </c>
      <c r="P437" s="534">
        <f t="shared" si="256"/>
        <v>25</v>
      </c>
      <c r="Q437" s="534">
        <f t="shared" si="256"/>
        <v>25</v>
      </c>
      <c r="R437" s="534">
        <f t="shared" si="256"/>
        <v>25</v>
      </c>
      <c r="S437" s="534">
        <f t="shared" si="256"/>
        <v>25</v>
      </c>
      <c r="T437" s="534">
        <f t="shared" si="256"/>
        <v>25</v>
      </c>
      <c r="U437" s="534">
        <f t="shared" si="256"/>
        <v>25</v>
      </c>
      <c r="V437" s="534">
        <f t="shared" si="256"/>
        <v>0</v>
      </c>
      <c r="W437" s="534">
        <f t="shared" si="256"/>
        <v>0</v>
      </c>
      <c r="X437" s="533">
        <f t="shared" si="256"/>
        <v>0</v>
      </c>
      <c r="Y437" s="432"/>
      <c r="Z437" s="532"/>
      <c r="AA437" s="394"/>
      <c r="AB437" s="208"/>
      <c r="AC437" s="208"/>
    </row>
    <row r="438" spans="2:29" outlineLevel="1">
      <c r="C438" s="423" t="s">
        <v>988</v>
      </c>
      <c r="D438" s="1"/>
      <c r="E438" s="16" t="s">
        <v>961</v>
      </c>
      <c r="F438" s="530">
        <f t="shared" ref="F438:X438" si="257">F437*F$6</f>
        <v>200</v>
      </c>
      <c r="G438" s="529">
        <f t="shared" si="257"/>
        <v>400</v>
      </c>
      <c r="H438" s="529">
        <f t="shared" si="257"/>
        <v>200</v>
      </c>
      <c r="I438" s="529">
        <f t="shared" si="257"/>
        <v>475</v>
      </c>
      <c r="J438" s="529">
        <f t="shared" si="257"/>
        <v>1200</v>
      </c>
      <c r="K438" s="529">
        <f t="shared" si="257"/>
        <v>100</v>
      </c>
      <c r="L438" s="529">
        <f t="shared" si="257"/>
        <v>600</v>
      </c>
      <c r="M438" s="529">
        <f t="shared" si="257"/>
        <v>250</v>
      </c>
      <c r="N438" s="529">
        <f t="shared" si="257"/>
        <v>800</v>
      </c>
      <c r="O438" s="529">
        <f t="shared" si="257"/>
        <v>1600</v>
      </c>
      <c r="P438" s="529">
        <f t="shared" si="257"/>
        <v>1150</v>
      </c>
      <c r="Q438" s="529">
        <f t="shared" si="257"/>
        <v>400</v>
      </c>
      <c r="R438" s="529">
        <f t="shared" si="257"/>
        <v>600</v>
      </c>
      <c r="S438" s="529">
        <f t="shared" si="257"/>
        <v>200</v>
      </c>
      <c r="T438" s="529">
        <f t="shared" si="257"/>
        <v>200</v>
      </c>
      <c r="U438" s="529">
        <f t="shared" si="257"/>
        <v>275</v>
      </c>
      <c r="V438" s="529">
        <f t="shared" si="257"/>
        <v>0</v>
      </c>
      <c r="W438" s="529">
        <f t="shared" si="257"/>
        <v>0</v>
      </c>
      <c r="X438" s="528">
        <f t="shared" si="257"/>
        <v>0</v>
      </c>
      <c r="Y438" s="422">
        <f>SUM(Y432:Y436)</f>
        <v>362</v>
      </c>
      <c r="Z438" s="255"/>
      <c r="AA438" s="527">
        <f>SUM(F438:X438)</f>
        <v>8650</v>
      </c>
      <c r="AB438" s="208"/>
      <c r="AC438" s="208"/>
    </row>
    <row r="439" spans="2:29">
      <c r="C439" s="461" t="s">
        <v>1283</v>
      </c>
      <c r="D439" s="942" t="s">
        <v>1284</v>
      </c>
      <c r="E439" s="942"/>
      <c r="F439" s="542"/>
      <c r="G439" s="542"/>
      <c r="H439" s="542"/>
      <c r="I439" s="542"/>
      <c r="J439" s="542"/>
      <c r="K439" s="542"/>
      <c r="L439" s="542"/>
      <c r="M439" s="542"/>
      <c r="N439" s="542"/>
      <c r="O439" s="542"/>
      <c r="P439" s="542"/>
      <c r="Q439" s="542"/>
      <c r="R439" s="542"/>
      <c r="S439" s="542"/>
      <c r="T439" s="542"/>
      <c r="U439" s="542"/>
      <c r="V439" s="542"/>
      <c r="W439" s="542"/>
      <c r="X439" s="542"/>
      <c r="Y439" s="437" t="s">
        <v>948</v>
      </c>
      <c r="Z439" s="92" t="s">
        <v>949</v>
      </c>
      <c r="AA439" s="541" t="s">
        <v>950</v>
      </c>
      <c r="AB439" s="208"/>
      <c r="AC439" s="208"/>
    </row>
    <row r="440" spans="2:29" outlineLevel="1">
      <c r="D440" s="75"/>
      <c r="E440" s="75" t="s">
        <v>1214</v>
      </c>
      <c r="F440" s="544">
        <f t="shared" ref="F440:X440" si="258">IF(F$6=0,0,inp_loglabor)</f>
        <v>2.25</v>
      </c>
      <c r="G440" s="544">
        <f t="shared" si="258"/>
        <v>2.25</v>
      </c>
      <c r="H440" s="544">
        <f t="shared" si="258"/>
        <v>2.25</v>
      </c>
      <c r="I440" s="544">
        <f t="shared" si="258"/>
        <v>2.25</v>
      </c>
      <c r="J440" s="544">
        <f t="shared" si="258"/>
        <v>2.25</v>
      </c>
      <c r="K440" s="544">
        <f t="shared" si="258"/>
        <v>2.25</v>
      </c>
      <c r="L440" s="544">
        <f t="shared" si="258"/>
        <v>2.25</v>
      </c>
      <c r="M440" s="544">
        <f t="shared" si="258"/>
        <v>2.25</v>
      </c>
      <c r="N440" s="544">
        <f t="shared" si="258"/>
        <v>2.25</v>
      </c>
      <c r="O440" s="544">
        <f t="shared" si="258"/>
        <v>2.25</v>
      </c>
      <c r="P440" s="544">
        <f t="shared" si="258"/>
        <v>2.25</v>
      </c>
      <c r="Q440" s="544">
        <f t="shared" si="258"/>
        <v>2.25</v>
      </c>
      <c r="R440" s="544">
        <f t="shared" si="258"/>
        <v>2.25</v>
      </c>
      <c r="S440" s="544">
        <f t="shared" si="258"/>
        <v>2.25</v>
      </c>
      <c r="T440" s="544">
        <f t="shared" si="258"/>
        <v>2.25</v>
      </c>
      <c r="U440" s="544">
        <f t="shared" si="258"/>
        <v>2.25</v>
      </c>
      <c r="V440" s="544">
        <f t="shared" si="258"/>
        <v>0</v>
      </c>
      <c r="W440" s="544">
        <f t="shared" si="258"/>
        <v>0</v>
      </c>
      <c r="X440" s="543">
        <f t="shared" si="258"/>
        <v>0</v>
      </c>
      <c r="Y440" s="432">
        <f>SUMPRODUCT($F440:$X440,$F$6:$X$6)</f>
        <v>778.5</v>
      </c>
      <c r="Z440" s="538">
        <f>'MF Pricing'!F226</f>
        <v>23</v>
      </c>
      <c r="AA440" s="537">
        <f>Y440*Z440</f>
        <v>17905.5</v>
      </c>
      <c r="AB440" s="208"/>
      <c r="AC440" s="208"/>
    </row>
    <row r="441" spans="2:29" outlineLevel="1">
      <c r="C441" s="423" t="s">
        <v>1215</v>
      </c>
      <c r="D441" s="1"/>
      <c r="E441" s="536" t="s">
        <v>1185</v>
      </c>
      <c r="F441" s="535">
        <f t="shared" ref="F441:X441" si="259">F440*$Z440</f>
        <v>51.75</v>
      </c>
      <c r="G441" s="534">
        <f t="shared" si="259"/>
        <v>51.75</v>
      </c>
      <c r="H441" s="534">
        <f t="shared" si="259"/>
        <v>51.75</v>
      </c>
      <c r="I441" s="534">
        <f t="shared" si="259"/>
        <v>51.75</v>
      </c>
      <c r="J441" s="534">
        <f t="shared" si="259"/>
        <v>51.75</v>
      </c>
      <c r="K441" s="534">
        <f t="shared" si="259"/>
        <v>51.75</v>
      </c>
      <c r="L441" s="534">
        <f t="shared" si="259"/>
        <v>51.75</v>
      </c>
      <c r="M441" s="534">
        <f t="shared" si="259"/>
        <v>51.75</v>
      </c>
      <c r="N441" s="534">
        <f t="shared" si="259"/>
        <v>51.75</v>
      </c>
      <c r="O441" s="534">
        <f t="shared" si="259"/>
        <v>51.75</v>
      </c>
      <c r="P441" s="534">
        <f t="shared" si="259"/>
        <v>51.75</v>
      </c>
      <c r="Q441" s="534">
        <f t="shared" si="259"/>
        <v>51.75</v>
      </c>
      <c r="R441" s="534">
        <f t="shared" si="259"/>
        <v>51.75</v>
      </c>
      <c r="S441" s="534">
        <f t="shared" si="259"/>
        <v>51.75</v>
      </c>
      <c r="T441" s="534">
        <f t="shared" si="259"/>
        <v>51.75</v>
      </c>
      <c r="U441" s="534">
        <f t="shared" si="259"/>
        <v>51.75</v>
      </c>
      <c r="V441" s="534">
        <f t="shared" si="259"/>
        <v>0</v>
      </c>
      <c r="W441" s="534">
        <f t="shared" si="259"/>
        <v>0</v>
      </c>
      <c r="X441" s="533">
        <f t="shared" si="259"/>
        <v>0</v>
      </c>
      <c r="Y441" s="432"/>
      <c r="Z441" s="532"/>
      <c r="AA441" s="394"/>
      <c r="AB441" s="208"/>
      <c r="AC441" s="208"/>
    </row>
    <row r="442" spans="2:29" outlineLevel="1">
      <c r="C442" s="423" t="s">
        <v>1216</v>
      </c>
      <c r="D442" s="1"/>
      <c r="E442" s="16" t="s">
        <v>961</v>
      </c>
      <c r="F442" s="530">
        <f t="shared" ref="F442:X442" si="260">F441*F$6</f>
        <v>414</v>
      </c>
      <c r="G442" s="529">
        <f t="shared" si="260"/>
        <v>828</v>
      </c>
      <c r="H442" s="529">
        <f t="shared" si="260"/>
        <v>414</v>
      </c>
      <c r="I442" s="529">
        <f t="shared" si="260"/>
        <v>983.25</v>
      </c>
      <c r="J442" s="529">
        <f t="shared" si="260"/>
        <v>2484</v>
      </c>
      <c r="K442" s="529">
        <f t="shared" si="260"/>
        <v>207</v>
      </c>
      <c r="L442" s="529">
        <f t="shared" si="260"/>
        <v>1242</v>
      </c>
      <c r="M442" s="529">
        <f t="shared" si="260"/>
        <v>517.5</v>
      </c>
      <c r="N442" s="529">
        <f t="shared" si="260"/>
        <v>1656</v>
      </c>
      <c r="O442" s="529">
        <f t="shared" si="260"/>
        <v>3312</v>
      </c>
      <c r="P442" s="529">
        <f t="shared" si="260"/>
        <v>2380.5</v>
      </c>
      <c r="Q442" s="529">
        <f t="shared" si="260"/>
        <v>828</v>
      </c>
      <c r="R442" s="529">
        <f t="shared" si="260"/>
        <v>1242</v>
      </c>
      <c r="S442" s="529">
        <f t="shared" si="260"/>
        <v>414</v>
      </c>
      <c r="T442" s="529">
        <f t="shared" si="260"/>
        <v>414</v>
      </c>
      <c r="U442" s="529">
        <f t="shared" si="260"/>
        <v>569.25</v>
      </c>
      <c r="V442" s="529">
        <f t="shared" si="260"/>
        <v>0</v>
      </c>
      <c r="W442" s="529">
        <f t="shared" si="260"/>
        <v>0</v>
      </c>
      <c r="X442" s="528">
        <f t="shared" si="260"/>
        <v>0</v>
      </c>
      <c r="Y442" s="422">
        <f>SUM(Y440)</f>
        <v>778.5</v>
      </c>
      <c r="Z442" s="255"/>
      <c r="AA442" s="527">
        <f>SUM(F442:X442)</f>
        <v>17905.5</v>
      </c>
      <c r="AB442" s="208"/>
      <c r="AC442" s="208"/>
    </row>
    <row r="443" spans="2:29">
      <c r="C443" s="461" t="s">
        <v>1285</v>
      </c>
      <c r="D443" s="942" t="s">
        <v>1286</v>
      </c>
      <c r="E443" s="942"/>
      <c r="F443" s="542"/>
      <c r="G443" s="542"/>
      <c r="H443" s="542"/>
      <c r="I443" s="542"/>
      <c r="J443" s="542"/>
      <c r="K443" s="542"/>
      <c r="L443" s="542"/>
      <c r="M443" s="542"/>
      <c r="N443" s="542"/>
      <c r="O443" s="542"/>
      <c r="P443" s="542"/>
      <c r="Q443" s="542"/>
      <c r="R443" s="542"/>
      <c r="S443" s="542"/>
      <c r="T443" s="542"/>
      <c r="U443" s="542"/>
      <c r="V443" s="542"/>
      <c r="W443" s="542"/>
      <c r="X443" s="542"/>
      <c r="Y443" s="437" t="s">
        <v>948</v>
      </c>
      <c r="Z443" s="92" t="s">
        <v>949</v>
      </c>
      <c r="AA443" s="541" t="s">
        <v>950</v>
      </c>
      <c r="AB443" s="208"/>
      <c r="AC443" s="208"/>
    </row>
    <row r="444" spans="2:29" outlineLevel="1">
      <c r="C444" s="60"/>
      <c r="D444" s="75"/>
      <c r="E444" s="75" t="s">
        <v>1214</v>
      </c>
      <c r="F444" s="540">
        <f t="shared" ref="F444:X444" si="261">IF(F$6=0,0,inp_warrlab)</f>
        <v>2</v>
      </c>
      <c r="G444" s="540">
        <f t="shared" si="261"/>
        <v>2</v>
      </c>
      <c r="H444" s="540">
        <f t="shared" si="261"/>
        <v>2</v>
      </c>
      <c r="I444" s="540">
        <f t="shared" si="261"/>
        <v>2</v>
      </c>
      <c r="J444" s="540">
        <f t="shared" si="261"/>
        <v>2</v>
      </c>
      <c r="K444" s="540">
        <f t="shared" si="261"/>
        <v>2</v>
      </c>
      <c r="L444" s="540">
        <f t="shared" si="261"/>
        <v>2</v>
      </c>
      <c r="M444" s="540">
        <f t="shared" si="261"/>
        <v>2</v>
      </c>
      <c r="N444" s="540">
        <f t="shared" si="261"/>
        <v>2</v>
      </c>
      <c r="O444" s="540">
        <f t="shared" si="261"/>
        <v>2</v>
      </c>
      <c r="P444" s="540">
        <f t="shared" si="261"/>
        <v>2</v>
      </c>
      <c r="Q444" s="540">
        <f t="shared" si="261"/>
        <v>2</v>
      </c>
      <c r="R444" s="540">
        <f t="shared" si="261"/>
        <v>2</v>
      </c>
      <c r="S444" s="540">
        <f t="shared" si="261"/>
        <v>2</v>
      </c>
      <c r="T444" s="540">
        <f t="shared" si="261"/>
        <v>2</v>
      </c>
      <c r="U444" s="540">
        <f t="shared" si="261"/>
        <v>2</v>
      </c>
      <c r="V444" s="540">
        <f t="shared" si="261"/>
        <v>0</v>
      </c>
      <c r="W444" s="540">
        <f t="shared" si="261"/>
        <v>0</v>
      </c>
      <c r="X444" s="539">
        <f t="shared" si="261"/>
        <v>0</v>
      </c>
      <c r="Y444" s="432">
        <f>SUMPRODUCT($F444:$X444,$F$6:$X$6)</f>
        <v>692</v>
      </c>
      <c r="Z444" s="538">
        <f>'MF Pricing'!F226</f>
        <v>23</v>
      </c>
      <c r="AA444" s="537">
        <f>Y444*Z444</f>
        <v>15916</v>
      </c>
      <c r="AB444" s="208"/>
      <c r="AC444" s="208"/>
    </row>
    <row r="445" spans="2:29" outlineLevel="1">
      <c r="C445" s="423" t="s">
        <v>1215</v>
      </c>
      <c r="D445" s="1"/>
      <c r="E445" s="536" t="s">
        <v>1185</v>
      </c>
      <c r="F445" s="535">
        <f t="shared" ref="F445:X445" si="262">F444*$Z444</f>
        <v>46</v>
      </c>
      <c r="G445" s="534">
        <f t="shared" si="262"/>
        <v>46</v>
      </c>
      <c r="H445" s="534">
        <f t="shared" si="262"/>
        <v>46</v>
      </c>
      <c r="I445" s="534">
        <f t="shared" si="262"/>
        <v>46</v>
      </c>
      <c r="J445" s="534">
        <f t="shared" si="262"/>
        <v>46</v>
      </c>
      <c r="K445" s="534">
        <f t="shared" si="262"/>
        <v>46</v>
      </c>
      <c r="L445" s="534">
        <f t="shared" si="262"/>
        <v>46</v>
      </c>
      <c r="M445" s="534">
        <f t="shared" si="262"/>
        <v>46</v>
      </c>
      <c r="N445" s="534">
        <f t="shared" si="262"/>
        <v>46</v>
      </c>
      <c r="O445" s="534">
        <f t="shared" si="262"/>
        <v>46</v>
      </c>
      <c r="P445" s="534">
        <f t="shared" si="262"/>
        <v>46</v>
      </c>
      <c r="Q445" s="534">
        <f t="shared" si="262"/>
        <v>46</v>
      </c>
      <c r="R445" s="534">
        <f t="shared" si="262"/>
        <v>46</v>
      </c>
      <c r="S445" s="534">
        <f t="shared" si="262"/>
        <v>46</v>
      </c>
      <c r="T445" s="534">
        <f t="shared" si="262"/>
        <v>46</v>
      </c>
      <c r="U445" s="534">
        <f t="shared" si="262"/>
        <v>46</v>
      </c>
      <c r="V445" s="534">
        <f t="shared" si="262"/>
        <v>0</v>
      </c>
      <c r="W445" s="534">
        <f t="shared" si="262"/>
        <v>0</v>
      </c>
      <c r="X445" s="533">
        <f t="shared" si="262"/>
        <v>0</v>
      </c>
      <c r="Y445" s="432"/>
      <c r="Z445" s="532"/>
      <c r="AA445" s="394"/>
      <c r="AB445" s="208"/>
      <c r="AC445" s="208"/>
    </row>
    <row r="446" spans="2:29" outlineLevel="1">
      <c r="C446" s="531" t="s">
        <v>1216</v>
      </c>
      <c r="D446" s="101"/>
      <c r="E446" s="447" t="s">
        <v>961</v>
      </c>
      <c r="F446" s="530">
        <f t="shared" ref="F446:X446" si="263">F445*F$6</f>
        <v>368</v>
      </c>
      <c r="G446" s="529">
        <f t="shared" si="263"/>
        <v>736</v>
      </c>
      <c r="H446" s="529">
        <f t="shared" si="263"/>
        <v>368</v>
      </c>
      <c r="I446" s="529">
        <f t="shared" si="263"/>
        <v>874</v>
      </c>
      <c r="J446" s="529">
        <f t="shared" si="263"/>
        <v>2208</v>
      </c>
      <c r="K446" s="529">
        <f t="shared" si="263"/>
        <v>184</v>
      </c>
      <c r="L446" s="529">
        <f t="shared" si="263"/>
        <v>1104</v>
      </c>
      <c r="M446" s="529">
        <f t="shared" si="263"/>
        <v>460</v>
      </c>
      <c r="N446" s="529">
        <f t="shared" si="263"/>
        <v>1472</v>
      </c>
      <c r="O446" s="529">
        <f t="shared" si="263"/>
        <v>2944</v>
      </c>
      <c r="P446" s="529">
        <f t="shared" si="263"/>
        <v>2116</v>
      </c>
      <c r="Q446" s="529">
        <f t="shared" si="263"/>
        <v>736</v>
      </c>
      <c r="R446" s="529">
        <f t="shared" si="263"/>
        <v>1104</v>
      </c>
      <c r="S446" s="529">
        <f t="shared" si="263"/>
        <v>368</v>
      </c>
      <c r="T446" s="529">
        <f t="shared" si="263"/>
        <v>368</v>
      </c>
      <c r="U446" s="529">
        <f t="shared" si="263"/>
        <v>506</v>
      </c>
      <c r="V446" s="529">
        <f t="shared" si="263"/>
        <v>0</v>
      </c>
      <c r="W446" s="529">
        <f t="shared" si="263"/>
        <v>0</v>
      </c>
      <c r="X446" s="528">
        <f t="shared" si="263"/>
        <v>0</v>
      </c>
      <c r="Y446" s="422">
        <f>SUM(Y444)</f>
        <v>692</v>
      </c>
      <c r="Z446" s="255"/>
      <c r="AA446" s="527">
        <f>SUM(F446:X446)</f>
        <v>15916</v>
      </c>
      <c r="AB446" s="115"/>
      <c r="AC446" s="115"/>
    </row>
    <row r="447" spans="2:29" outlineLevel="1">
      <c r="AC447" s="145">
        <f ca="1">SUM(AC11:AC446)</f>
        <v>25474.080315999996</v>
      </c>
    </row>
    <row r="448" spans="2:29">
      <c r="B448" s="67" t="s">
        <v>1287</v>
      </c>
      <c r="C448" s="70"/>
      <c r="D448" s="60"/>
      <c r="E448" s="65" t="s">
        <v>73</v>
      </c>
      <c r="F448" s="75" t="str">
        <f t="shared" ref="F448:X448" si="264">F5</f>
        <v>AM1</v>
      </c>
      <c r="G448" s="75" t="str">
        <f t="shared" si="264"/>
        <v>AM2</v>
      </c>
      <c r="H448" s="75" t="str">
        <f t="shared" si="264"/>
        <v>AE1</v>
      </c>
      <c r="I448" s="75" t="str">
        <f t="shared" si="264"/>
        <v>AE2</v>
      </c>
      <c r="J448" s="75" t="str">
        <f t="shared" si="264"/>
        <v>B1</v>
      </c>
      <c r="K448" s="75" t="str">
        <f t="shared" si="264"/>
        <v>B2</v>
      </c>
      <c r="L448" s="75" t="str">
        <f t="shared" si="264"/>
        <v>B3</v>
      </c>
      <c r="M448" s="75" t="str">
        <f t="shared" si="264"/>
        <v>B4</v>
      </c>
      <c r="N448" s="75" t="str">
        <f t="shared" si="264"/>
        <v>BS1</v>
      </c>
      <c r="O448" s="75" t="str">
        <f t="shared" si="264"/>
        <v>D1</v>
      </c>
      <c r="P448" s="75" t="str">
        <f t="shared" si="264"/>
        <v>D2</v>
      </c>
      <c r="Q448" s="75" t="str">
        <f t="shared" si="264"/>
        <v>E1</v>
      </c>
      <c r="R448" s="75" t="str">
        <f t="shared" si="264"/>
        <v>F1</v>
      </c>
      <c r="S448" s="75" t="str">
        <f t="shared" si="264"/>
        <v>F2</v>
      </c>
      <c r="T448" s="75" t="str">
        <f t="shared" si="264"/>
        <v>H1</v>
      </c>
      <c r="U448" s="75" t="str">
        <f t="shared" si="264"/>
        <v>H2</v>
      </c>
      <c r="V448" s="75">
        <f t="shared" si="264"/>
        <v>17</v>
      </c>
      <c r="W448" s="75">
        <f t="shared" si="264"/>
        <v>18</v>
      </c>
      <c r="X448" s="75">
        <f t="shared" si="264"/>
        <v>19</v>
      </c>
      <c r="Y448" s="437" t="s">
        <v>135</v>
      </c>
      <c r="AC448" s="19"/>
    </row>
    <row r="449" spans="4:25">
      <c r="E449" s="16" t="s">
        <v>1185</v>
      </c>
      <c r="F449" s="130">
        <f t="shared" ref="F449:X449" ca="1" si="265">SUMIF($C$10:$C$446,"SM",F$10:F$446)</f>
        <v>2559.7074904761903</v>
      </c>
      <c r="G449" s="130">
        <f t="shared" ca="1" si="265"/>
        <v>2753.5300904761903</v>
      </c>
      <c r="H449" s="130">
        <f t="shared" ca="1" si="265"/>
        <v>2481.5236904761909</v>
      </c>
      <c r="I449" s="130">
        <f t="shared" ca="1" si="265"/>
        <v>2589.2306904761908</v>
      </c>
      <c r="J449" s="130">
        <f t="shared" ca="1" si="265"/>
        <v>2532.4275038095243</v>
      </c>
      <c r="K449" s="130">
        <f t="shared" ca="1" si="265"/>
        <v>2591.8529438095243</v>
      </c>
      <c r="L449" s="130">
        <f t="shared" ca="1" si="265"/>
        <v>2674.2566038095229</v>
      </c>
      <c r="M449" s="130">
        <f t="shared" ca="1" si="265"/>
        <v>2760.4335838095235</v>
      </c>
      <c r="N449" s="130">
        <f t="shared" ca="1" si="265"/>
        <v>2897.2668038095235</v>
      </c>
      <c r="O449" s="130">
        <f t="shared" ca="1" si="265"/>
        <v>2998.7236038095234</v>
      </c>
      <c r="P449" s="130">
        <f t="shared" ca="1" si="265"/>
        <v>2974.8295472877844</v>
      </c>
      <c r="Q449" s="130">
        <f t="shared" ca="1" si="265"/>
        <v>3082.4658038095249</v>
      </c>
      <c r="R449" s="130">
        <f t="shared" ca="1" si="265"/>
        <v>3258.5632238095241</v>
      </c>
      <c r="S449" s="130">
        <f t="shared" ca="1" si="265"/>
        <v>3565.360803809524</v>
      </c>
      <c r="T449" s="130">
        <f t="shared" ca="1" si="265"/>
        <v>5698.4945076190461</v>
      </c>
      <c r="U449" s="130">
        <f t="shared" ca="1" si="265"/>
        <v>5480.9948894372301</v>
      </c>
      <c r="V449" s="130">
        <f t="shared" si="265"/>
        <v>0</v>
      </c>
      <c r="W449" s="130">
        <f t="shared" si="265"/>
        <v>0</v>
      </c>
      <c r="X449" s="130">
        <f t="shared" si="265"/>
        <v>0</v>
      </c>
    </row>
    <row r="450" spans="4:25">
      <c r="E450" s="16" t="s">
        <v>961</v>
      </c>
      <c r="F450" s="130">
        <f t="shared" ref="F450:X450" ca="1" si="266">SUMIF($C$10:$C$446,"TM",F$10:F$446)</f>
        <v>20477.659923809522</v>
      </c>
      <c r="G450" s="130">
        <f t="shared" ca="1" si="266"/>
        <v>44056.481447619044</v>
      </c>
      <c r="H450" s="130">
        <f t="shared" ca="1" si="266"/>
        <v>19852.189523809528</v>
      </c>
      <c r="I450" s="130">
        <f t="shared" ca="1" si="266"/>
        <v>49195.383119047619</v>
      </c>
      <c r="J450" s="130">
        <f t="shared" ca="1" si="266"/>
        <v>121556.52018285713</v>
      </c>
      <c r="K450" s="130">
        <f t="shared" ca="1" si="266"/>
        <v>10367.411775238097</v>
      </c>
      <c r="L450" s="130">
        <f t="shared" ca="1" si="266"/>
        <v>64182.158491428585</v>
      </c>
      <c r="M450" s="130">
        <f t="shared" ca="1" si="266"/>
        <v>27604.335838095241</v>
      </c>
      <c r="N450" s="130">
        <f t="shared" ca="1" si="266"/>
        <v>92712.537721904751</v>
      </c>
      <c r="O450" s="130">
        <f t="shared" ca="1" si="266"/>
        <v>191918.3106438095</v>
      </c>
      <c r="P450" s="130">
        <f t="shared" ca="1" si="266"/>
        <v>136842.15917523814</v>
      </c>
      <c r="Q450" s="130">
        <f t="shared" ca="1" si="266"/>
        <v>49319.452860952399</v>
      </c>
      <c r="R450" s="130">
        <f t="shared" ca="1" si="266"/>
        <v>78205.517371428563</v>
      </c>
      <c r="S450" s="130">
        <f t="shared" ca="1" si="266"/>
        <v>28522.886430476192</v>
      </c>
      <c r="T450" s="130">
        <f t="shared" ca="1" si="266"/>
        <v>45587.956060952369</v>
      </c>
      <c r="U450" s="130">
        <f t="shared" ca="1" si="266"/>
        <v>60290.943783809511</v>
      </c>
      <c r="V450" s="130">
        <f t="shared" si="266"/>
        <v>0</v>
      </c>
      <c r="W450" s="130">
        <f t="shared" si="266"/>
        <v>0</v>
      </c>
      <c r="X450" s="130">
        <f t="shared" si="266"/>
        <v>0</v>
      </c>
      <c r="Y450" s="526">
        <f ca="1">SUM(F450:X450)</f>
        <v>1040691.9043504761</v>
      </c>
    </row>
    <row r="451" spans="4:25">
      <c r="D451" s="60"/>
      <c r="E451" s="65" t="s">
        <v>74</v>
      </c>
      <c r="F451" s="75" t="str">
        <f t="shared" ref="F451:X451" si="267">F5</f>
        <v>AM1</v>
      </c>
      <c r="G451" s="75" t="str">
        <f t="shared" si="267"/>
        <v>AM2</v>
      </c>
      <c r="H451" s="75" t="str">
        <f t="shared" si="267"/>
        <v>AE1</v>
      </c>
      <c r="I451" s="75" t="str">
        <f t="shared" si="267"/>
        <v>AE2</v>
      </c>
      <c r="J451" s="75" t="str">
        <f t="shared" si="267"/>
        <v>B1</v>
      </c>
      <c r="K451" s="75" t="str">
        <f t="shared" si="267"/>
        <v>B2</v>
      </c>
      <c r="L451" s="75" t="str">
        <f t="shared" si="267"/>
        <v>B3</v>
      </c>
      <c r="M451" s="75" t="str">
        <f t="shared" si="267"/>
        <v>B4</v>
      </c>
      <c r="N451" s="75" t="str">
        <f t="shared" si="267"/>
        <v>BS1</v>
      </c>
      <c r="O451" s="75" t="str">
        <f t="shared" si="267"/>
        <v>D1</v>
      </c>
      <c r="P451" s="75" t="str">
        <f t="shared" si="267"/>
        <v>D2</v>
      </c>
      <c r="Q451" s="75" t="str">
        <f t="shared" si="267"/>
        <v>E1</v>
      </c>
      <c r="R451" s="75" t="str">
        <f t="shared" si="267"/>
        <v>F1</v>
      </c>
      <c r="S451" s="75" t="str">
        <f t="shared" si="267"/>
        <v>F2</v>
      </c>
      <c r="T451" s="75" t="str">
        <f t="shared" si="267"/>
        <v>H1</v>
      </c>
      <c r="U451" s="75" t="str">
        <f t="shared" si="267"/>
        <v>H2</v>
      </c>
      <c r="V451" s="75">
        <f t="shared" si="267"/>
        <v>17</v>
      </c>
      <c r="W451" s="75">
        <f t="shared" si="267"/>
        <v>18</v>
      </c>
      <c r="X451" s="75">
        <f t="shared" si="267"/>
        <v>19</v>
      </c>
      <c r="Y451" s="437" t="s">
        <v>135</v>
      </c>
    </row>
    <row r="452" spans="4:25">
      <c r="E452" s="16" t="s">
        <v>1185</v>
      </c>
      <c r="F452" s="130">
        <f t="shared" ref="F452:X452" ca="1" si="268">SUMIF($C$10:$C$446,"SL",F$10:F$446)</f>
        <v>703.24416666666662</v>
      </c>
      <c r="G452" s="130">
        <f t="shared" ca="1" si="268"/>
        <v>781.00333333333333</v>
      </c>
      <c r="H452" s="130">
        <f t="shared" ca="1" si="268"/>
        <v>657.53166666666664</v>
      </c>
      <c r="I452" s="130">
        <f t="shared" ca="1" si="268"/>
        <v>708.61850000000004</v>
      </c>
      <c r="J452" s="130">
        <f t="shared" ca="1" si="268"/>
        <v>723.0241666666667</v>
      </c>
      <c r="K452" s="130">
        <f t="shared" ca="1" si="268"/>
        <v>729.13526666666667</v>
      </c>
      <c r="L452" s="130">
        <f t="shared" ca="1" si="268"/>
        <v>767.49849999999992</v>
      </c>
      <c r="M452" s="130">
        <f t="shared" ca="1" si="268"/>
        <v>774.67220000000009</v>
      </c>
      <c r="N452" s="130">
        <f t="shared" ca="1" si="268"/>
        <v>788.58375000000001</v>
      </c>
      <c r="O452" s="130">
        <f t="shared" ca="1" si="268"/>
        <v>801.71483333333322</v>
      </c>
      <c r="P452" s="130">
        <f t="shared" ca="1" si="268"/>
        <v>856.8266666666666</v>
      </c>
      <c r="Q452" s="130">
        <f t="shared" ca="1" si="268"/>
        <v>824.79916666666668</v>
      </c>
      <c r="R452" s="130">
        <f t="shared" ca="1" si="268"/>
        <v>897.46229999999991</v>
      </c>
      <c r="S452" s="130">
        <f t="shared" ca="1" si="268"/>
        <v>1046.3121666666666</v>
      </c>
      <c r="T452" s="130">
        <f t="shared" ca="1" si="268"/>
        <v>1430.4926666666668</v>
      </c>
      <c r="U452" s="130">
        <f t="shared" ca="1" si="268"/>
        <v>1386.4170000000001</v>
      </c>
      <c r="V452" s="130">
        <f t="shared" si="268"/>
        <v>0</v>
      </c>
      <c r="W452" s="130">
        <f t="shared" si="268"/>
        <v>0</v>
      </c>
      <c r="X452" s="130">
        <f t="shared" si="268"/>
        <v>0</v>
      </c>
    </row>
    <row r="453" spans="4:25">
      <c r="D453" s="64"/>
      <c r="E453" s="447" t="s">
        <v>961</v>
      </c>
      <c r="F453" s="131">
        <f t="shared" ref="F453:X453" ca="1" si="269">SUMIF($C$10:$C$446,"TL",F$10:F$446)</f>
        <v>5625.9533333333329</v>
      </c>
      <c r="G453" s="131">
        <f t="shared" ca="1" si="269"/>
        <v>12496.053333333333</v>
      </c>
      <c r="H453" s="131">
        <f t="shared" ca="1" si="269"/>
        <v>5260.2533333333331</v>
      </c>
      <c r="I453" s="131">
        <f t="shared" ca="1" si="269"/>
        <v>13463.751499999998</v>
      </c>
      <c r="J453" s="131">
        <f t="shared" ca="1" si="269"/>
        <v>34705.159999999996</v>
      </c>
      <c r="K453" s="131">
        <f t="shared" ca="1" si="269"/>
        <v>2916.5410666666667</v>
      </c>
      <c r="L453" s="131">
        <f t="shared" ca="1" si="269"/>
        <v>18419.964</v>
      </c>
      <c r="M453" s="131">
        <f t="shared" ca="1" si="269"/>
        <v>7746.7219999999998</v>
      </c>
      <c r="N453" s="131">
        <f t="shared" ca="1" si="269"/>
        <v>25234.68</v>
      </c>
      <c r="O453" s="131">
        <f t="shared" ca="1" si="269"/>
        <v>51309.749333333326</v>
      </c>
      <c r="P453" s="131">
        <f t="shared" ca="1" si="269"/>
        <v>39414.026666666665</v>
      </c>
      <c r="Q453" s="131">
        <f t="shared" ca="1" si="269"/>
        <v>13196.786666666667</v>
      </c>
      <c r="R453" s="131">
        <f t="shared" ca="1" si="269"/>
        <v>21539.095199999996</v>
      </c>
      <c r="S453" s="131">
        <f t="shared" ca="1" si="269"/>
        <v>8370.4973333333328</v>
      </c>
      <c r="T453" s="131">
        <f t="shared" ca="1" si="269"/>
        <v>11443.941333333334</v>
      </c>
      <c r="U453" s="131">
        <f t="shared" ca="1" si="269"/>
        <v>15250.587000000001</v>
      </c>
      <c r="V453" s="131">
        <f t="shared" si="269"/>
        <v>0</v>
      </c>
      <c r="W453" s="131">
        <f t="shared" si="269"/>
        <v>0</v>
      </c>
      <c r="X453" s="131">
        <f t="shared" si="269"/>
        <v>0</v>
      </c>
      <c r="Y453" s="525">
        <f ca="1">SUM(F453:X453)</f>
        <v>286393.76209999999</v>
      </c>
    </row>
    <row r="454" spans="4:25">
      <c r="D454" s="929" t="s">
        <v>1288</v>
      </c>
      <c r="E454" s="929"/>
      <c r="F454" s="75" t="str">
        <f t="shared" ref="F454:X454" si="270">F5</f>
        <v>AM1</v>
      </c>
      <c r="G454" s="75" t="str">
        <f t="shared" si="270"/>
        <v>AM2</v>
      </c>
      <c r="H454" s="75" t="str">
        <f t="shared" si="270"/>
        <v>AE1</v>
      </c>
      <c r="I454" s="75" t="str">
        <f t="shared" si="270"/>
        <v>AE2</v>
      </c>
      <c r="J454" s="75" t="str">
        <f t="shared" si="270"/>
        <v>B1</v>
      </c>
      <c r="K454" s="75" t="str">
        <f t="shared" si="270"/>
        <v>B2</v>
      </c>
      <c r="L454" s="75" t="str">
        <f t="shared" si="270"/>
        <v>B3</v>
      </c>
      <c r="M454" s="75" t="str">
        <f t="shared" si="270"/>
        <v>B4</v>
      </c>
      <c r="N454" s="75" t="str">
        <f t="shared" si="270"/>
        <v>BS1</v>
      </c>
      <c r="O454" s="75" t="str">
        <f t="shared" si="270"/>
        <v>D1</v>
      </c>
      <c r="P454" s="75" t="str">
        <f t="shared" si="270"/>
        <v>D2</v>
      </c>
      <c r="Q454" s="75" t="str">
        <f t="shared" si="270"/>
        <v>E1</v>
      </c>
      <c r="R454" s="75" t="str">
        <f t="shared" si="270"/>
        <v>F1</v>
      </c>
      <c r="S454" s="75" t="str">
        <f t="shared" si="270"/>
        <v>F2</v>
      </c>
      <c r="T454" s="75" t="str">
        <f t="shared" si="270"/>
        <v>H1</v>
      </c>
      <c r="U454" s="75" t="str">
        <f t="shared" si="270"/>
        <v>H2</v>
      </c>
      <c r="V454" s="75">
        <f t="shared" si="270"/>
        <v>17</v>
      </c>
      <c r="W454" s="75">
        <f t="shared" si="270"/>
        <v>18</v>
      </c>
      <c r="X454" s="75">
        <f t="shared" si="270"/>
        <v>19</v>
      </c>
      <c r="Y454" s="437" t="s">
        <v>135</v>
      </c>
    </row>
    <row r="455" spans="4:25">
      <c r="E455" s="16" t="s">
        <v>1185</v>
      </c>
      <c r="F455" s="130">
        <f t="shared" ref="F455:X455" ca="1" si="271">F449+F452</f>
        <v>3262.9516571428567</v>
      </c>
      <c r="G455" s="130">
        <f t="shared" ca="1" si="271"/>
        <v>3534.5334238095238</v>
      </c>
      <c r="H455" s="130">
        <f t="shared" ca="1" si="271"/>
        <v>3139.0553571428577</v>
      </c>
      <c r="I455" s="130">
        <f t="shared" ca="1" si="271"/>
        <v>3297.8491904761909</v>
      </c>
      <c r="J455" s="130">
        <f t="shared" ca="1" si="271"/>
        <v>3255.4516704761909</v>
      </c>
      <c r="K455" s="130">
        <f t="shared" ca="1" si="271"/>
        <v>3320.9882104761909</v>
      </c>
      <c r="L455" s="130">
        <f t="shared" ca="1" si="271"/>
        <v>3441.7551038095226</v>
      </c>
      <c r="M455" s="130">
        <f t="shared" ca="1" si="271"/>
        <v>3535.1057838095235</v>
      </c>
      <c r="N455" s="130">
        <f t="shared" ca="1" si="271"/>
        <v>3685.8505538095233</v>
      </c>
      <c r="O455" s="130">
        <f t="shared" ca="1" si="271"/>
        <v>3800.4384371428569</v>
      </c>
      <c r="P455" s="130">
        <f t="shared" ca="1" si="271"/>
        <v>3831.6562139544512</v>
      </c>
      <c r="Q455" s="130">
        <f t="shared" ca="1" si="271"/>
        <v>3907.2649704761916</v>
      </c>
      <c r="R455" s="130">
        <f t="shared" ca="1" si="271"/>
        <v>4156.0255238095242</v>
      </c>
      <c r="S455" s="130">
        <f t="shared" ca="1" si="271"/>
        <v>4611.672970476191</v>
      </c>
      <c r="T455" s="130">
        <f t="shared" ca="1" si="271"/>
        <v>7128.9871742857131</v>
      </c>
      <c r="U455" s="130">
        <f t="shared" ca="1" si="271"/>
        <v>6867.4118894372305</v>
      </c>
      <c r="V455" s="130">
        <f t="shared" si="271"/>
        <v>0</v>
      </c>
      <c r="W455" s="130">
        <f t="shared" si="271"/>
        <v>0</v>
      </c>
      <c r="X455" s="130">
        <f t="shared" si="271"/>
        <v>0</v>
      </c>
    </row>
    <row r="456" spans="4:25">
      <c r="D456" s="64"/>
      <c r="E456" s="447" t="s">
        <v>961</v>
      </c>
      <c r="F456" s="131">
        <f t="shared" ref="F456:X456" ca="1" si="272">F450+F453</f>
        <v>26103.613257142853</v>
      </c>
      <c r="G456" s="131">
        <f t="shared" ca="1" si="272"/>
        <v>56552.534780952381</v>
      </c>
      <c r="H456" s="131">
        <f t="shared" ca="1" si="272"/>
        <v>25112.442857142862</v>
      </c>
      <c r="I456" s="131">
        <f t="shared" ca="1" si="272"/>
        <v>62659.134619047618</v>
      </c>
      <c r="J456" s="131">
        <f t="shared" ca="1" si="272"/>
        <v>156261.68018285712</v>
      </c>
      <c r="K456" s="131">
        <f t="shared" ca="1" si="272"/>
        <v>13283.952841904764</v>
      </c>
      <c r="L456" s="131">
        <f t="shared" ca="1" si="272"/>
        <v>82602.122491428585</v>
      </c>
      <c r="M456" s="131">
        <f t="shared" ca="1" si="272"/>
        <v>35351.057838095243</v>
      </c>
      <c r="N456" s="131">
        <f t="shared" ca="1" si="272"/>
        <v>117947.21772190474</v>
      </c>
      <c r="O456" s="131">
        <f t="shared" ca="1" si="272"/>
        <v>243228.05997714284</v>
      </c>
      <c r="P456" s="131">
        <f t="shared" ca="1" si="272"/>
        <v>176256.18584190481</v>
      </c>
      <c r="Q456" s="131">
        <f t="shared" ca="1" si="272"/>
        <v>62516.239527619065</v>
      </c>
      <c r="R456" s="131">
        <f t="shared" ca="1" si="272"/>
        <v>99744.612571428559</v>
      </c>
      <c r="S456" s="131">
        <f t="shared" ca="1" si="272"/>
        <v>36893.383763809528</v>
      </c>
      <c r="T456" s="131">
        <f t="shared" ca="1" si="272"/>
        <v>57031.897394285705</v>
      </c>
      <c r="U456" s="131">
        <f t="shared" ca="1" si="272"/>
        <v>75541.530783809518</v>
      </c>
      <c r="V456" s="131">
        <f t="shared" si="272"/>
        <v>0</v>
      </c>
      <c r="W456" s="131">
        <f t="shared" si="272"/>
        <v>0</v>
      </c>
      <c r="X456" s="131">
        <f t="shared" si="272"/>
        <v>0</v>
      </c>
      <c r="Y456" s="525">
        <f ca="1">SUM(F456:X456)</f>
        <v>1327085.666450476</v>
      </c>
    </row>
  </sheetData>
  <mergeCells count="73">
    <mergeCell ref="D439:E439"/>
    <mergeCell ref="D443:E443"/>
    <mergeCell ref="D454:E454"/>
    <mergeCell ref="D373:E373"/>
    <mergeCell ref="D391:E391"/>
    <mergeCell ref="D409:E409"/>
    <mergeCell ref="D427:E427"/>
    <mergeCell ref="D431:E431"/>
    <mergeCell ref="D195:E195"/>
    <mergeCell ref="D199:E199"/>
    <mergeCell ref="D203:E203"/>
    <mergeCell ref="D207:E207"/>
    <mergeCell ref="D211:E211"/>
    <mergeCell ref="D281:E281"/>
    <mergeCell ref="D293:E293"/>
    <mergeCell ref="D335:E335"/>
    <mergeCell ref="D339:E339"/>
    <mergeCell ref="F4:X4"/>
    <mergeCell ref="D135:E135"/>
    <mergeCell ref="D139:E139"/>
    <mergeCell ref="D143:E143"/>
    <mergeCell ref="D10:E10"/>
    <mergeCell ref="D42:E42"/>
    <mergeCell ref="D227:E227"/>
    <mergeCell ref="D239:E239"/>
    <mergeCell ref="D251:E251"/>
    <mergeCell ref="D259:E259"/>
    <mergeCell ref="D223:E223"/>
    <mergeCell ref="D277:E277"/>
    <mergeCell ref="D18:E18"/>
    <mergeCell ref="D26:E26"/>
    <mergeCell ref="D34:E34"/>
    <mergeCell ref="D50:E50"/>
    <mergeCell ref="D107:E107"/>
    <mergeCell ref="D71:E71"/>
    <mergeCell ref="D73:E73"/>
    <mergeCell ref="D75:E75"/>
    <mergeCell ref="D60:E60"/>
    <mergeCell ref="D219:E219"/>
    <mergeCell ref="D63:E63"/>
    <mergeCell ref="D66:E66"/>
    <mergeCell ref="D127:E127"/>
    <mergeCell ref="D123:E123"/>
    <mergeCell ref="D115:E115"/>
    <mergeCell ref="D79:E79"/>
    <mergeCell ref="D81:E81"/>
    <mergeCell ref="D83:E83"/>
    <mergeCell ref="D119:E119"/>
    <mergeCell ref="D87:E87"/>
    <mergeCell ref="D111:E111"/>
    <mergeCell ref="D163:E163"/>
    <mergeCell ref="D167:E167"/>
    <mergeCell ref="D183:E183"/>
    <mergeCell ref="D215:E215"/>
    <mergeCell ref="D351:E351"/>
    <mergeCell ref="D359:E359"/>
    <mergeCell ref="D355:E355"/>
    <mergeCell ref="D343:E343"/>
    <mergeCell ref="D347:E347"/>
    <mergeCell ref="D131:E131"/>
    <mergeCell ref="D147:E147"/>
    <mergeCell ref="D187:E187"/>
    <mergeCell ref="D191:E191"/>
    <mergeCell ref="D91:E91"/>
    <mergeCell ref="D95:E95"/>
    <mergeCell ref="D99:E99"/>
    <mergeCell ref="D103:E103"/>
    <mergeCell ref="D171:E171"/>
    <mergeCell ref="D179:E179"/>
    <mergeCell ref="D175:E175"/>
    <mergeCell ref="D155:E155"/>
    <mergeCell ref="D151:E151"/>
    <mergeCell ref="D159:E159"/>
  </mergeCells>
  <conditionalFormatting sqref="F11:X17 Z43:AA43 F43:X49 Z44:Z49 AA44:AA57">
    <cfRule type="cellIs" dxfId="163" priority="113" operator="equal">
      <formula>0</formula>
    </cfRule>
  </conditionalFormatting>
  <conditionalFormatting sqref="F19:X25 F27:X33 F35:X41 F51:X59">
    <cfRule type="cellIs" dxfId="162" priority="114" operator="equal">
      <formula>0</formula>
    </cfRule>
  </conditionalFormatting>
  <conditionalFormatting sqref="F61:X62">
    <cfRule type="cellIs" dxfId="161" priority="115" operator="equal">
      <formula>0</formula>
    </cfRule>
  </conditionalFormatting>
  <conditionalFormatting sqref="F67:X70">
    <cfRule type="cellIs" dxfId="160" priority="109" operator="equal">
      <formula>0</formula>
    </cfRule>
  </conditionalFormatting>
  <conditionalFormatting sqref="F72:X72">
    <cfRule type="cellIs" dxfId="159" priority="116" operator="equal">
      <formula>0</formula>
    </cfRule>
  </conditionalFormatting>
  <conditionalFormatting sqref="F76:X78">
    <cfRule type="cellIs" dxfId="158" priority="108" operator="equal">
      <formula>0</formula>
    </cfRule>
  </conditionalFormatting>
  <conditionalFormatting sqref="F80:X80">
    <cfRule type="cellIs" dxfId="157" priority="117" operator="equal">
      <formula>0</formula>
    </cfRule>
  </conditionalFormatting>
  <conditionalFormatting sqref="F84:X86">
    <cfRule type="cellIs" dxfId="156" priority="105" operator="equal">
      <formula>0</formula>
    </cfRule>
  </conditionalFormatting>
  <conditionalFormatting sqref="F88:X90">
    <cfRule type="cellIs" dxfId="155" priority="104" operator="equal">
      <formula>0</formula>
    </cfRule>
  </conditionalFormatting>
  <conditionalFormatting sqref="F92:X94">
    <cfRule type="cellIs" dxfId="154" priority="102" operator="equal">
      <formula>0</formula>
    </cfRule>
  </conditionalFormatting>
  <conditionalFormatting sqref="F96:X98">
    <cfRule type="cellIs" dxfId="153" priority="100" operator="equal">
      <formula>0</formula>
    </cfRule>
  </conditionalFormatting>
  <conditionalFormatting sqref="F101:X102">
    <cfRule type="cellIs" dxfId="152" priority="98" operator="equal">
      <formula>0</formula>
    </cfRule>
  </conditionalFormatting>
  <conditionalFormatting sqref="F104:X106">
    <cfRule type="cellIs" dxfId="151" priority="96" operator="equal">
      <formula>0</formula>
    </cfRule>
  </conditionalFormatting>
  <conditionalFormatting sqref="F108:X110">
    <cfRule type="cellIs" dxfId="150" priority="94" operator="equal">
      <formula>0</formula>
    </cfRule>
  </conditionalFormatting>
  <conditionalFormatting sqref="F112:X114">
    <cfRule type="cellIs" dxfId="149" priority="92" operator="equal">
      <formula>0</formula>
    </cfRule>
  </conditionalFormatting>
  <conditionalFormatting sqref="F116:X118">
    <cfRule type="cellIs" dxfId="148" priority="90" operator="equal">
      <formula>0</formula>
    </cfRule>
  </conditionalFormatting>
  <conditionalFormatting sqref="F120:X122">
    <cfRule type="cellIs" dxfId="147" priority="88" operator="equal">
      <formula>0</formula>
    </cfRule>
  </conditionalFormatting>
  <conditionalFormatting sqref="F124:X126">
    <cfRule type="cellIs" dxfId="146" priority="86" operator="equal">
      <formula>0</formula>
    </cfRule>
  </conditionalFormatting>
  <conditionalFormatting sqref="F128:X134">
    <cfRule type="cellIs" dxfId="145" priority="82" operator="equal">
      <formula>0</formula>
    </cfRule>
  </conditionalFormatting>
  <conditionalFormatting sqref="F136:X138">
    <cfRule type="cellIs" dxfId="144" priority="80" operator="equal">
      <formula>0</formula>
    </cfRule>
  </conditionalFormatting>
  <conditionalFormatting sqref="F140:X142">
    <cfRule type="cellIs" dxfId="143" priority="79" operator="equal">
      <formula>0</formula>
    </cfRule>
  </conditionalFormatting>
  <conditionalFormatting sqref="F144:X146">
    <cfRule type="cellIs" dxfId="142" priority="77" operator="equal">
      <formula>0</formula>
    </cfRule>
  </conditionalFormatting>
  <conditionalFormatting sqref="F149:X150">
    <cfRule type="cellIs" dxfId="141" priority="75" operator="equal">
      <formula>0</formula>
    </cfRule>
  </conditionalFormatting>
  <conditionalFormatting sqref="F153:X154">
    <cfRule type="cellIs" dxfId="140" priority="73" operator="equal">
      <formula>0</formula>
    </cfRule>
  </conditionalFormatting>
  <conditionalFormatting sqref="F157:X158">
    <cfRule type="cellIs" dxfId="139" priority="71" operator="equal">
      <formula>0</formula>
    </cfRule>
  </conditionalFormatting>
  <conditionalFormatting sqref="F161:X162">
    <cfRule type="cellIs" dxfId="138" priority="69" operator="equal">
      <formula>0</formula>
    </cfRule>
  </conditionalFormatting>
  <conditionalFormatting sqref="F165:X166">
    <cfRule type="cellIs" dxfId="137" priority="67" operator="equal">
      <formula>0</formula>
    </cfRule>
  </conditionalFormatting>
  <conditionalFormatting sqref="F169:X170">
    <cfRule type="cellIs" dxfId="136" priority="65" operator="equal">
      <formula>0</formula>
    </cfRule>
  </conditionalFormatting>
  <conditionalFormatting sqref="F173:X174">
    <cfRule type="cellIs" dxfId="135" priority="63" operator="equal">
      <formula>0</formula>
    </cfRule>
  </conditionalFormatting>
  <conditionalFormatting sqref="F177:X178">
    <cfRule type="cellIs" dxfId="134" priority="61" operator="equal">
      <formula>0</formula>
    </cfRule>
  </conditionalFormatting>
  <conditionalFormatting sqref="F181:X182">
    <cfRule type="cellIs" dxfId="133" priority="59" operator="equal">
      <formula>0</formula>
    </cfRule>
  </conditionalFormatting>
  <conditionalFormatting sqref="F185:X186">
    <cfRule type="cellIs" dxfId="132" priority="57" operator="equal">
      <formula>0</formula>
    </cfRule>
  </conditionalFormatting>
  <conditionalFormatting sqref="F189:X190">
    <cfRule type="cellIs" dxfId="131" priority="55" operator="equal">
      <formula>0</formula>
    </cfRule>
  </conditionalFormatting>
  <conditionalFormatting sqref="F193:X194">
    <cfRule type="cellIs" dxfId="130" priority="53" operator="equal">
      <formula>0</formula>
    </cfRule>
  </conditionalFormatting>
  <conditionalFormatting sqref="F197:X198">
    <cfRule type="cellIs" dxfId="129" priority="51" operator="equal">
      <formula>0</formula>
    </cfRule>
  </conditionalFormatting>
  <conditionalFormatting sqref="F201:X202">
    <cfRule type="cellIs" dxfId="128" priority="49" operator="equal">
      <formula>0</formula>
    </cfRule>
  </conditionalFormatting>
  <conditionalFormatting sqref="F205:X206">
    <cfRule type="cellIs" dxfId="127" priority="47" operator="equal">
      <formula>0</formula>
    </cfRule>
  </conditionalFormatting>
  <conditionalFormatting sqref="F209:X210">
    <cfRule type="cellIs" dxfId="126" priority="45" operator="equal">
      <formula>0</formula>
    </cfRule>
  </conditionalFormatting>
  <conditionalFormatting sqref="F213:X214">
    <cfRule type="cellIs" dxfId="125" priority="43" operator="equal">
      <formula>0</formula>
    </cfRule>
  </conditionalFormatting>
  <conditionalFormatting sqref="F216:X218">
    <cfRule type="cellIs" dxfId="124" priority="41" operator="equal">
      <formula>0</formula>
    </cfRule>
  </conditionalFormatting>
  <conditionalFormatting sqref="F220:X222">
    <cfRule type="cellIs" dxfId="123" priority="39" operator="equal">
      <formula>0</formula>
    </cfRule>
  </conditionalFormatting>
  <conditionalFormatting sqref="F224:X226">
    <cfRule type="cellIs" dxfId="122" priority="37" operator="equal">
      <formula>0</formula>
    </cfRule>
  </conditionalFormatting>
  <conditionalFormatting sqref="F240:X250">
    <cfRule type="cellIs" dxfId="121" priority="112" operator="equal">
      <formula>0</formula>
    </cfRule>
  </conditionalFormatting>
  <conditionalFormatting sqref="F252:X258">
    <cfRule type="cellIs" dxfId="120" priority="35" operator="equal">
      <formula>0</formula>
    </cfRule>
  </conditionalFormatting>
  <conditionalFormatting sqref="F275:X276">
    <cfRule type="cellIs" dxfId="119" priority="33" operator="equal">
      <formula>0</formula>
    </cfRule>
  </conditionalFormatting>
  <conditionalFormatting sqref="F279:X280">
    <cfRule type="cellIs" dxfId="118" priority="30" operator="equal">
      <formula>0</formula>
    </cfRule>
  </conditionalFormatting>
  <conditionalFormatting sqref="F305:X334">
    <cfRule type="cellIs" dxfId="117" priority="29" operator="equal">
      <formula>0</formula>
    </cfRule>
  </conditionalFormatting>
  <conditionalFormatting sqref="F337:X338">
    <cfRule type="cellIs" dxfId="116" priority="28" operator="equal">
      <formula>0</formula>
    </cfRule>
  </conditionalFormatting>
  <conditionalFormatting sqref="F340:X342">
    <cfRule type="cellIs" dxfId="115" priority="26" operator="equal">
      <formula>0</formula>
    </cfRule>
  </conditionalFormatting>
  <conditionalFormatting sqref="F344:X346">
    <cfRule type="cellIs" dxfId="114" priority="24" operator="equal">
      <formula>0</formula>
    </cfRule>
  </conditionalFormatting>
  <conditionalFormatting sqref="F348:X350">
    <cfRule type="cellIs" dxfId="113" priority="22" operator="equal">
      <formula>0</formula>
    </cfRule>
  </conditionalFormatting>
  <conditionalFormatting sqref="F352:X354">
    <cfRule type="cellIs" dxfId="112" priority="20" operator="equal">
      <formula>0</formula>
    </cfRule>
  </conditionalFormatting>
  <conditionalFormatting sqref="F356:X358">
    <cfRule type="cellIs" dxfId="111" priority="18" operator="equal">
      <formula>0</formula>
    </cfRule>
  </conditionalFormatting>
  <conditionalFormatting sqref="F360:X372">
    <cfRule type="cellIs" dxfId="110" priority="16" operator="equal">
      <formula>0</formula>
    </cfRule>
  </conditionalFormatting>
  <conditionalFormatting sqref="F389:X390">
    <cfRule type="cellIs" dxfId="109" priority="14" operator="equal">
      <formula>0</formula>
    </cfRule>
  </conditionalFormatting>
  <conditionalFormatting sqref="F407:X408">
    <cfRule type="cellIs" dxfId="108" priority="12" operator="equal">
      <formula>0</formula>
    </cfRule>
  </conditionalFormatting>
  <conditionalFormatting sqref="F410:X426">
    <cfRule type="cellIs" dxfId="107" priority="9" operator="equal">
      <formula>0</formula>
    </cfRule>
  </conditionalFormatting>
  <conditionalFormatting sqref="F428:X430">
    <cfRule type="cellIs" dxfId="106" priority="8" operator="equal">
      <formula>0</formula>
    </cfRule>
  </conditionalFormatting>
  <conditionalFormatting sqref="F437:X438">
    <cfRule type="cellIs" dxfId="105" priority="2" operator="equal">
      <formula>0</formula>
    </cfRule>
  </conditionalFormatting>
  <conditionalFormatting sqref="F441:X442">
    <cfRule type="cellIs" dxfId="104" priority="6" operator="equal">
      <formula>0</formula>
    </cfRule>
  </conditionalFormatting>
  <conditionalFormatting sqref="F445:X446">
    <cfRule type="cellIs" dxfId="103" priority="4" operator="equal">
      <formula>0</formula>
    </cfRule>
  </conditionalFormatting>
  <conditionalFormatting sqref="Z362 Z364:Z365 Z368 Z370">
    <cfRule type="cellIs" dxfId="102" priority="111" operator="equal">
      <formula>0</formula>
    </cfRule>
  </conditionalFormatting>
  <conditionalFormatting sqref="Z67:AA68">
    <cfRule type="cellIs" dxfId="101" priority="110" operator="equal">
      <formula>0</formula>
    </cfRule>
  </conditionalFormatting>
  <conditionalFormatting sqref="AA76">
    <cfRule type="cellIs" dxfId="100" priority="107" operator="equal">
      <formula>0</formula>
    </cfRule>
  </conditionalFormatting>
  <conditionalFormatting sqref="AA84">
    <cfRule type="cellIs" dxfId="99" priority="106" operator="equal">
      <formula>0</formula>
    </cfRule>
  </conditionalFormatting>
  <conditionalFormatting sqref="AA88">
    <cfRule type="cellIs" dxfId="98" priority="103" operator="equal">
      <formula>0</formula>
    </cfRule>
  </conditionalFormatting>
  <conditionalFormatting sqref="AA92">
    <cfRule type="cellIs" dxfId="97" priority="101" operator="equal">
      <formula>0</formula>
    </cfRule>
  </conditionalFormatting>
  <conditionalFormatting sqref="AA96">
    <cfRule type="cellIs" dxfId="96" priority="99" operator="equal">
      <formula>0</formula>
    </cfRule>
  </conditionalFormatting>
  <conditionalFormatting sqref="AA100">
    <cfRule type="cellIs" dxfId="95" priority="97" operator="equal">
      <formula>0</formula>
    </cfRule>
  </conditionalFormatting>
  <conditionalFormatting sqref="AA104">
    <cfRule type="cellIs" dxfId="94" priority="95" operator="equal">
      <formula>0</formula>
    </cfRule>
  </conditionalFormatting>
  <conditionalFormatting sqref="AA108">
    <cfRule type="cellIs" dxfId="93" priority="93" operator="equal">
      <formula>0</formula>
    </cfRule>
  </conditionalFormatting>
  <conditionalFormatting sqref="AA112">
    <cfRule type="cellIs" dxfId="92" priority="91" operator="equal">
      <formula>0</formula>
    </cfRule>
  </conditionalFormatting>
  <conditionalFormatting sqref="AA116">
    <cfRule type="cellIs" dxfId="91" priority="89" operator="equal">
      <formula>0</formula>
    </cfRule>
  </conditionalFormatting>
  <conditionalFormatting sqref="AA120">
    <cfRule type="cellIs" dxfId="90" priority="87" operator="equal">
      <formula>0</formula>
    </cfRule>
  </conditionalFormatting>
  <conditionalFormatting sqref="AA124">
    <cfRule type="cellIs" dxfId="89" priority="85" operator="equal">
      <formula>0</formula>
    </cfRule>
  </conditionalFormatting>
  <conditionalFormatting sqref="AA128">
    <cfRule type="cellIs" dxfId="88" priority="84" operator="equal">
      <formula>0</formula>
    </cfRule>
  </conditionalFormatting>
  <conditionalFormatting sqref="AA132">
    <cfRule type="cellIs" dxfId="87" priority="83" operator="equal">
      <formula>0</formula>
    </cfRule>
  </conditionalFormatting>
  <conditionalFormatting sqref="AA136">
    <cfRule type="cellIs" dxfId="86" priority="81" operator="equal">
      <formula>0</formula>
    </cfRule>
  </conditionalFormatting>
  <conditionalFormatting sqref="AA140">
    <cfRule type="cellIs" dxfId="85" priority="78" operator="equal">
      <formula>0</formula>
    </cfRule>
  </conditionalFormatting>
  <conditionalFormatting sqref="AA144">
    <cfRule type="cellIs" dxfId="84" priority="76" operator="equal">
      <formula>0</formula>
    </cfRule>
  </conditionalFormatting>
  <conditionalFormatting sqref="AA148">
    <cfRule type="cellIs" dxfId="83" priority="74" operator="equal">
      <formula>0</formula>
    </cfRule>
  </conditionalFormatting>
  <conditionalFormatting sqref="AA152">
    <cfRule type="cellIs" dxfId="82" priority="72" operator="equal">
      <formula>0</formula>
    </cfRule>
  </conditionalFormatting>
  <conditionalFormatting sqref="AA156">
    <cfRule type="cellIs" dxfId="81" priority="70" operator="equal">
      <formula>0</formula>
    </cfRule>
  </conditionalFormatting>
  <conditionalFormatting sqref="AA160">
    <cfRule type="cellIs" dxfId="80" priority="68" operator="equal">
      <formula>0</formula>
    </cfRule>
  </conditionalFormatting>
  <conditionalFormatting sqref="AA164">
    <cfRule type="cellIs" dxfId="79" priority="66" operator="equal">
      <formula>0</formula>
    </cfRule>
  </conditionalFormatting>
  <conditionalFormatting sqref="AA168">
    <cfRule type="cellIs" dxfId="78" priority="64" operator="equal">
      <formula>0</formula>
    </cfRule>
  </conditionalFormatting>
  <conditionalFormatting sqref="AA172">
    <cfRule type="cellIs" dxfId="77" priority="62" operator="equal">
      <formula>0</formula>
    </cfRule>
  </conditionalFormatting>
  <conditionalFormatting sqref="AA176">
    <cfRule type="cellIs" dxfId="76" priority="60" operator="equal">
      <formula>0</formula>
    </cfRule>
  </conditionalFormatting>
  <conditionalFormatting sqref="AA180">
    <cfRule type="cellIs" dxfId="75" priority="58" operator="equal">
      <formula>0</formula>
    </cfRule>
  </conditionalFormatting>
  <conditionalFormatting sqref="AA184">
    <cfRule type="cellIs" dxfId="74" priority="56" operator="equal">
      <formula>0</formula>
    </cfRule>
  </conditionalFormatting>
  <conditionalFormatting sqref="AA188">
    <cfRule type="cellIs" dxfId="73" priority="54" operator="equal">
      <formula>0</formula>
    </cfRule>
  </conditionalFormatting>
  <conditionalFormatting sqref="AA192">
    <cfRule type="cellIs" dxfId="72" priority="52" operator="equal">
      <formula>0</formula>
    </cfRule>
  </conditionalFormatting>
  <conditionalFormatting sqref="AA196">
    <cfRule type="cellIs" dxfId="71" priority="50" operator="equal">
      <formula>0</formula>
    </cfRule>
  </conditionalFormatting>
  <conditionalFormatting sqref="AA200">
    <cfRule type="cellIs" dxfId="70" priority="48" operator="equal">
      <formula>0</formula>
    </cfRule>
  </conditionalFormatting>
  <conditionalFormatting sqref="AA204">
    <cfRule type="cellIs" dxfId="69" priority="46" operator="equal">
      <formula>0</formula>
    </cfRule>
  </conditionalFormatting>
  <conditionalFormatting sqref="AA208">
    <cfRule type="cellIs" dxfId="68" priority="44" operator="equal">
      <formula>0</formula>
    </cfRule>
  </conditionalFormatting>
  <conditionalFormatting sqref="AA212">
    <cfRule type="cellIs" dxfId="67" priority="42" operator="equal">
      <formula>0</formula>
    </cfRule>
  </conditionalFormatting>
  <conditionalFormatting sqref="AA216">
    <cfRule type="cellIs" dxfId="66" priority="40" operator="equal">
      <formula>0</formula>
    </cfRule>
  </conditionalFormatting>
  <conditionalFormatting sqref="AA220">
    <cfRule type="cellIs" dxfId="65" priority="38" operator="equal">
      <formula>0</formula>
    </cfRule>
  </conditionalFormatting>
  <conditionalFormatting sqref="AA224">
    <cfRule type="cellIs" dxfId="64" priority="36" operator="equal">
      <formula>0</formula>
    </cfRule>
  </conditionalFormatting>
  <conditionalFormatting sqref="AA252:AA254">
    <cfRule type="cellIs" dxfId="63" priority="34" operator="equal">
      <formula>0</formula>
    </cfRule>
  </conditionalFormatting>
  <conditionalFormatting sqref="AA260:AA275">
    <cfRule type="cellIs" dxfId="62" priority="32" operator="equal">
      <formula>0</formula>
    </cfRule>
  </conditionalFormatting>
  <conditionalFormatting sqref="AA278">
    <cfRule type="cellIs" dxfId="61" priority="31" operator="equal">
      <formula>0</formula>
    </cfRule>
  </conditionalFormatting>
  <conditionalFormatting sqref="AA336">
    <cfRule type="cellIs" dxfId="60" priority="27" operator="equal">
      <formula>0</formula>
    </cfRule>
  </conditionalFormatting>
  <conditionalFormatting sqref="AA340">
    <cfRule type="cellIs" dxfId="59" priority="25" operator="equal">
      <formula>0</formula>
    </cfRule>
  </conditionalFormatting>
  <conditionalFormatting sqref="AA344">
    <cfRule type="cellIs" dxfId="58" priority="23" operator="equal">
      <formula>0</formula>
    </cfRule>
  </conditionalFormatting>
  <conditionalFormatting sqref="AA348">
    <cfRule type="cellIs" dxfId="57" priority="21" operator="equal">
      <formula>0</formula>
    </cfRule>
  </conditionalFormatting>
  <conditionalFormatting sqref="AA352">
    <cfRule type="cellIs" dxfId="56" priority="19" operator="equal">
      <formula>0</formula>
    </cfRule>
  </conditionalFormatting>
  <conditionalFormatting sqref="AA356">
    <cfRule type="cellIs" dxfId="55" priority="17" operator="equal">
      <formula>0</formula>
    </cfRule>
  </conditionalFormatting>
  <conditionalFormatting sqref="AA360:AA370">
    <cfRule type="cellIs" dxfId="54" priority="15" operator="equal">
      <formula>0</formula>
    </cfRule>
  </conditionalFormatting>
  <conditionalFormatting sqref="AA374:AA388">
    <cfRule type="cellIs" dxfId="53" priority="13" operator="equal">
      <formula>0</formula>
    </cfRule>
  </conditionalFormatting>
  <conditionalFormatting sqref="AA392:AA406">
    <cfRule type="cellIs" dxfId="52" priority="11" operator="equal">
      <formula>0</formula>
    </cfRule>
  </conditionalFormatting>
  <conditionalFormatting sqref="AA410:AA425">
    <cfRule type="cellIs" dxfId="51" priority="10" operator="equal">
      <formula>0</formula>
    </cfRule>
  </conditionalFormatting>
  <conditionalFormatting sqref="AA428">
    <cfRule type="cellIs" dxfId="50" priority="7" operator="equal">
      <formula>0</formula>
    </cfRule>
  </conditionalFormatting>
  <conditionalFormatting sqref="AA432:AA436">
    <cfRule type="cellIs" dxfId="49" priority="1" operator="equal">
      <formula>0</formula>
    </cfRule>
  </conditionalFormatting>
  <conditionalFormatting sqref="AA440">
    <cfRule type="cellIs" dxfId="48" priority="5" operator="equal">
      <formula>0</formula>
    </cfRule>
  </conditionalFormatting>
  <conditionalFormatting sqref="AA444">
    <cfRule type="cellIs" dxfId="47" priority="3"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E7C1E9B2-3308-4547-B663-CC8DDDD7F119}">
          <x14:formula1>
            <xm:f>'MF Pricing'!$D$188:$D$202</xm:f>
          </x14:formula1>
          <xm:sqref>D392:D406</xm:sqref>
        </x14:dataValidation>
        <x14:dataValidation type="list" allowBlank="1" showInputMessage="1" showErrorMessage="1" xr:uid="{9DE2014E-A37B-4A8D-A3E4-70A887266127}">
          <x14:formula1>
            <xm:f>'MF Pricing'!$D$172:$D$186</xm:f>
          </x14:formula1>
          <xm:sqref>D374:D388</xm:sqref>
        </x14:dataValidation>
        <x14:dataValidation type="list" allowBlank="1" showInputMessage="1" showErrorMessage="1" xr:uid="{F5BB09DB-6C62-405A-859B-EE8719920D63}">
          <x14:formula1>
            <xm:f>'MF Pricing'!$D$98:$D$120</xm:f>
          </x14:formula1>
          <xm:sqref>D260</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3E20E-3B32-45BA-AD83-007DC52853EE}">
  <sheetPr>
    <tabColor theme="8" tint="0.39997558519241921"/>
  </sheetPr>
  <dimension ref="B1:AK281"/>
  <sheetViews>
    <sheetView showGridLines="0" zoomScale="75" zoomScaleNormal="75" workbookViewId="0">
      <pane xSplit="2" ySplit="3" topLeftCell="C4" activePane="bottomRight" state="frozen"/>
      <selection pane="bottomRight" activeCell="C4" sqref="C4"/>
      <selection pane="bottomLeft"/>
      <selection pane="topRight"/>
    </sheetView>
  </sheetViews>
  <sheetFormatPr defaultRowHeight="15" outlineLevelCol="1"/>
  <cols>
    <col min="1" max="1" width="3.7109375" customWidth="1"/>
    <col min="4" max="4" width="19.5703125" bestFit="1" customWidth="1"/>
    <col min="5" max="5" width="15.7109375" bestFit="1" customWidth="1"/>
    <col min="6" max="6" width="15.7109375" customWidth="1"/>
    <col min="7" max="7" width="15.85546875" bestFit="1" customWidth="1" outlineLevel="1"/>
    <col min="8" max="8" width="14" bestFit="1" customWidth="1" outlineLevel="1"/>
    <col min="9" max="9" width="14.5703125" bestFit="1" customWidth="1" outlineLevel="1"/>
    <col min="10" max="10" width="10.7109375" customWidth="1" outlineLevel="1"/>
    <col min="11" max="11" width="14.5703125" bestFit="1" customWidth="1" outlineLevel="1"/>
    <col min="12" max="14" width="9.140625" customWidth="1" outlineLevel="1"/>
    <col min="15" max="15" width="13.42578125" bestFit="1" customWidth="1" outlineLevel="1"/>
    <col min="16" max="16" width="10.85546875" bestFit="1" customWidth="1" outlineLevel="1"/>
    <col min="17" max="17" width="9.42578125" bestFit="1" customWidth="1" outlineLevel="1"/>
    <col min="18" max="18" width="10.140625" bestFit="1" customWidth="1" outlineLevel="1"/>
    <col min="19" max="22" width="10.140625" customWidth="1" outlineLevel="1"/>
    <col min="23" max="23" width="11" customWidth="1" outlineLevel="1"/>
    <col min="24" max="24" width="10.85546875" customWidth="1" outlineLevel="1"/>
    <col min="25" max="25" width="11.85546875" customWidth="1"/>
    <col min="26" max="26" width="43.5703125" customWidth="1"/>
    <col min="27" max="27" width="9.140625" customWidth="1" outlineLevel="1"/>
    <col min="28" max="28" width="33.140625" bestFit="1" customWidth="1" outlineLevel="1"/>
    <col min="29" max="29" width="9.140625" customWidth="1" outlineLevel="1"/>
    <col min="30" max="30" width="20.28515625" bestFit="1" customWidth="1" outlineLevel="1"/>
    <col min="32" max="32" width="17.140625" customWidth="1"/>
    <col min="33" max="33" width="17" customWidth="1"/>
    <col min="34" max="34" width="18.42578125" bestFit="1" customWidth="1"/>
    <col min="35" max="37" width="25.42578125" bestFit="1" customWidth="1"/>
  </cols>
  <sheetData>
    <row r="1" spans="2:37" ht="18.75">
      <c r="B1" s="59" t="str">
        <f>[2]Summary!B1</f>
        <v>[MultiFamily Project]</v>
      </c>
      <c r="C1" s="59"/>
      <c r="D1" s="60"/>
      <c r="E1" s="60"/>
      <c r="F1" s="60"/>
      <c r="G1" s="60"/>
      <c r="H1" s="60"/>
      <c r="I1" s="60"/>
      <c r="J1" s="60"/>
      <c r="K1" s="60"/>
      <c r="L1" s="60"/>
      <c r="M1" s="60"/>
      <c r="N1" s="60"/>
      <c r="V1" s="628" t="s">
        <v>1289</v>
      </c>
    </row>
    <row r="2" spans="2:37" ht="18.75">
      <c r="B2" s="10" t="s">
        <v>1290</v>
      </c>
      <c r="F2" s="98" t="s">
        <v>551</v>
      </c>
      <c r="G2" s="99">
        <f>3/36</f>
        <v>8.3333333333333329E-2</v>
      </c>
      <c r="H2" s="4"/>
      <c r="I2" s="4"/>
      <c r="K2" s="627" t="s">
        <v>1291</v>
      </c>
      <c r="L2" s="63">
        <v>0.25</v>
      </c>
      <c r="M2" s="2"/>
      <c r="V2" s="626">
        <v>0.25</v>
      </c>
    </row>
    <row r="3" spans="2:37">
      <c r="B3" s="7" t="s">
        <v>212</v>
      </c>
      <c r="C3" s="7" t="s">
        <v>1292</v>
      </c>
      <c r="D3" s="7" t="s">
        <v>1293</v>
      </c>
      <c r="E3" s="7" t="s">
        <v>634</v>
      </c>
      <c r="F3" s="7" t="s">
        <v>1294</v>
      </c>
      <c r="G3" s="7" t="s">
        <v>559</v>
      </c>
      <c r="H3" s="7" t="s">
        <v>1295</v>
      </c>
      <c r="I3" s="7" t="s">
        <v>1296</v>
      </c>
      <c r="J3" s="7" t="s">
        <v>641</v>
      </c>
      <c r="K3" s="7" t="s">
        <v>642</v>
      </c>
      <c r="L3" s="7" t="s">
        <v>1297</v>
      </c>
      <c r="M3" s="8" t="s">
        <v>1298</v>
      </c>
      <c r="N3" s="9" t="s">
        <v>1299</v>
      </c>
      <c r="O3" s="9" t="s">
        <v>1300</v>
      </c>
      <c r="P3" s="9" t="s">
        <v>1301</v>
      </c>
      <c r="Q3" s="9" t="s">
        <v>1302</v>
      </c>
      <c r="R3" s="9" t="s">
        <v>1303</v>
      </c>
      <c r="S3" s="9" t="s">
        <v>1304</v>
      </c>
      <c r="T3" s="9" t="s">
        <v>1066</v>
      </c>
      <c r="U3" s="9" t="s">
        <v>1305</v>
      </c>
      <c r="V3" s="9" t="s">
        <v>1306</v>
      </c>
      <c r="W3" s="7" t="s">
        <v>650</v>
      </c>
      <c r="X3" s="7" t="s">
        <v>74</v>
      </c>
      <c r="Y3" s="92" t="s">
        <v>568</v>
      </c>
      <c r="Z3" s="7" t="s">
        <v>39</v>
      </c>
      <c r="AB3" s="35" t="s">
        <v>651</v>
      </c>
      <c r="AC3" s="35" t="s">
        <v>140</v>
      </c>
      <c r="AD3" s="162" t="s">
        <v>1304</v>
      </c>
      <c r="AE3" s="1"/>
      <c r="AF3" s="78" t="s">
        <v>1307</v>
      </c>
      <c r="AG3" s="162" t="s">
        <v>1308</v>
      </c>
      <c r="AH3" s="35" t="s">
        <v>1309</v>
      </c>
      <c r="AI3" s="35" t="s">
        <v>1310</v>
      </c>
      <c r="AJ3" s="35" t="s">
        <v>1311</v>
      </c>
      <c r="AK3" s="35" t="s">
        <v>1312</v>
      </c>
    </row>
    <row r="4" spans="2:37" ht="18" customHeight="1">
      <c r="B4" s="11">
        <v>1</v>
      </c>
      <c r="C4" s="37" t="s">
        <v>625</v>
      </c>
      <c r="D4" s="38">
        <v>230</v>
      </c>
      <c r="E4" s="37" t="s">
        <v>1247</v>
      </c>
      <c r="F4" s="37"/>
      <c r="G4" s="41">
        <f t="shared" ref="G4:G35" si="0">IF(D4="","",+$G$2*D4)</f>
        <v>19.166666666666664</v>
      </c>
      <c r="H4" s="615">
        <f t="shared" ref="H4:H67" si="1">IF(D4="",0,IF(ISERROR(FIND("*",E4)),0,(LEFT($E4,FIND("*",$E4)-1)+4)))</f>
        <v>24</v>
      </c>
      <c r="I4" s="615">
        <f t="shared" ref="I4:I67" si="2">IF(D4="",0,IF(ISERROR(FIND("*",E4)),0,(RIGHT($E4,LEN($E4)-FIND("*",$E4)))+4))</f>
        <v>16</v>
      </c>
      <c r="J4" s="12">
        <f t="shared" ref="J4:J67" si="3">IF(D4="",0,(H4+I4)*2*12/144)</f>
        <v>6.666666666666667</v>
      </c>
      <c r="K4" s="12">
        <f t="shared" ref="K4:K67" si="4">IF(E4="",0,J4*G4)</f>
        <v>127.77777777777777</v>
      </c>
      <c r="L4" s="12">
        <f t="shared" ref="L4:L67" si="5">IF(D4="",0,K4*(1+$L$2))</f>
        <v>159.72222222222223</v>
      </c>
      <c r="M4" s="12">
        <f t="shared" ref="M4:M67" si="6">IF(E4="",0,L4/40)</f>
        <v>3.9930555555555558</v>
      </c>
      <c r="N4" s="26">
        <f t="shared" ref="N4:N67" si="7">IF(E4="",0,M4*$AC$4)</f>
        <v>199.6527777777778</v>
      </c>
      <c r="O4" s="26">
        <f t="shared" ref="O4:O67" si="8">M4*($AC$9/$AC$6+$AC$9/$AC$5+$AC$9/$AC$7)</f>
        <v>126.28038194444446</v>
      </c>
      <c r="P4" s="26">
        <f t="shared" ref="P4:P67" si="9">M4*($AC$9/$AC$8)</f>
        <v>183.68055555555557</v>
      </c>
      <c r="Q4" s="612">
        <f t="shared" ref="Q4:Q67" si="10">IF(D4="",0,IF(ISERROR(FIND("*",E4)),INDEX($AG$4:$AG$14,MATCH(E4,$AF$4:$AF$14,0),1)*G4,0))</f>
        <v>0</v>
      </c>
      <c r="R4" s="26">
        <f t="shared" ref="R4:R67" si="11">IF(Q4=0,0,(G4*$AC$11+$AC$10)*$AC$9)</f>
        <v>0</v>
      </c>
      <c r="S4" s="612">
        <f t="shared" ref="S4:S67" si="12">IF($D4&gt;0,IF($F4="x",IF($H4&gt;0,$AK$4,IF($E4&gt;0,INDEX($AJ$4:$AJ$17,MATCH($E4,$AF$4:$AF$17,0),1),0)),0),0)</f>
        <v>0</v>
      </c>
      <c r="T4" s="26">
        <f t="shared" ref="T4:T67" si="13">IF($D4&gt;0,IF($H4&gt;0,0,IF($E4&gt;0,INDEX($AH$4:$AH$17,MATCH($E4,$AF$4:$AF$17,0),1)*2,0)),0)</f>
        <v>0</v>
      </c>
      <c r="U4" s="26">
        <f t="shared" ref="U4:U67" si="14">IF($D4&gt;0,IF($H4&gt;0,0,IF($E4&gt;0,INDEX($AI$4:$AI$17,MATCH($E4,$AF$4:$AF$17,0),1),0)),0)</f>
        <v>0</v>
      </c>
      <c r="V4" s="26">
        <f t="shared" ref="V4:V67" si="15">(N4+Q4+S4+T4+U4)*($V$2)</f>
        <v>49.91319444444445</v>
      </c>
      <c r="W4" s="20">
        <f t="shared" ref="W4:W67" si="16">N4+Q4+S4+T4+U4+V4</f>
        <v>249.56597222222226</v>
      </c>
      <c r="X4" s="20">
        <f t="shared" ref="X4:X67" si="17">R4+O4+P4</f>
        <v>309.9609375</v>
      </c>
      <c r="Y4" s="86">
        <f t="shared" ref="Y4:Y67" si="18">IFERROR(W4+X4,"")</f>
        <v>559.52690972222229</v>
      </c>
      <c r="Z4" s="18"/>
      <c r="AA4" s="23"/>
      <c r="AB4" s="621" t="s">
        <v>1313</v>
      </c>
      <c r="AC4" s="625">
        <v>50</v>
      </c>
      <c r="AD4" s="459" t="s">
        <v>448</v>
      </c>
      <c r="AF4" s="621">
        <v>4</v>
      </c>
      <c r="AG4" s="538">
        <f>'MF Pricing'!F125/25</f>
        <v>1.1200000000000001</v>
      </c>
      <c r="AH4" s="557">
        <v>1.8</v>
      </c>
      <c r="AI4" s="557">
        <v>12</v>
      </c>
      <c r="AJ4" s="557">
        <v>12</v>
      </c>
      <c r="AK4" s="557">
        <v>35</v>
      </c>
    </row>
    <row r="5" spans="2:37">
      <c r="B5" s="14">
        <f t="shared" ref="B5:B68" si="19">1+B4</f>
        <v>2</v>
      </c>
      <c r="C5" s="37" t="s">
        <v>625</v>
      </c>
      <c r="D5" s="38">
        <v>91</v>
      </c>
      <c r="E5" s="37" t="s">
        <v>1251</v>
      </c>
      <c r="F5" s="37"/>
      <c r="G5" s="41">
        <f t="shared" si="0"/>
        <v>7.583333333333333</v>
      </c>
      <c r="H5" s="615">
        <f t="shared" si="1"/>
        <v>20</v>
      </c>
      <c r="I5" s="615">
        <f t="shared" si="2"/>
        <v>14</v>
      </c>
      <c r="J5" s="12">
        <f t="shared" si="3"/>
        <v>5.666666666666667</v>
      </c>
      <c r="K5" s="12">
        <f t="shared" si="4"/>
        <v>42.972222222222221</v>
      </c>
      <c r="L5" s="12">
        <f t="shared" si="5"/>
        <v>53.715277777777779</v>
      </c>
      <c r="M5" s="12">
        <f t="shared" si="6"/>
        <v>1.3428819444444444</v>
      </c>
      <c r="N5" s="26">
        <f t="shared" si="7"/>
        <v>67.144097222222214</v>
      </c>
      <c r="O5" s="26">
        <f t="shared" si="8"/>
        <v>42.468641493055557</v>
      </c>
      <c r="P5" s="26">
        <f t="shared" si="9"/>
        <v>61.772569444444443</v>
      </c>
      <c r="Q5" s="612">
        <f t="shared" si="10"/>
        <v>0</v>
      </c>
      <c r="R5" s="26">
        <f t="shared" si="11"/>
        <v>0</v>
      </c>
      <c r="S5" s="26">
        <f t="shared" si="12"/>
        <v>0</v>
      </c>
      <c r="T5" s="26">
        <f t="shared" si="13"/>
        <v>0</v>
      </c>
      <c r="U5" s="26">
        <f t="shared" si="14"/>
        <v>0</v>
      </c>
      <c r="V5" s="26">
        <f t="shared" si="15"/>
        <v>16.786024305555554</v>
      </c>
      <c r="W5" s="20">
        <f t="shared" si="16"/>
        <v>83.930121527777771</v>
      </c>
      <c r="X5" s="20">
        <f t="shared" si="17"/>
        <v>104.2412109375</v>
      </c>
      <c r="Y5" s="86">
        <f t="shared" si="18"/>
        <v>188.17133246527777</v>
      </c>
      <c r="Z5" s="31"/>
      <c r="AA5" s="23"/>
      <c r="AB5" s="621" t="s">
        <v>1314</v>
      </c>
      <c r="AC5" s="624">
        <f>1/(25/60)</f>
        <v>2.4</v>
      </c>
      <c r="AD5" s="255"/>
      <c r="AF5" s="621">
        <v>5</v>
      </c>
      <c r="AG5" s="538">
        <f>'MF Pricing'!F126/25</f>
        <v>1.4</v>
      </c>
      <c r="AH5" s="557">
        <v>1.95</v>
      </c>
      <c r="AI5" s="557">
        <v>12.25</v>
      </c>
      <c r="AJ5" s="557">
        <v>13</v>
      </c>
    </row>
    <row r="6" spans="2:37">
      <c r="B6" s="14">
        <f t="shared" si="19"/>
        <v>3</v>
      </c>
      <c r="C6" s="37" t="s">
        <v>625</v>
      </c>
      <c r="D6" s="38">
        <v>180</v>
      </c>
      <c r="E6" s="37" t="s">
        <v>1315</v>
      </c>
      <c r="F6" s="37"/>
      <c r="G6" s="41">
        <f t="shared" si="0"/>
        <v>15</v>
      </c>
      <c r="H6" s="615">
        <f t="shared" si="1"/>
        <v>18</v>
      </c>
      <c r="I6" s="615">
        <f t="shared" si="2"/>
        <v>12</v>
      </c>
      <c r="J6" s="12">
        <f t="shared" si="3"/>
        <v>5</v>
      </c>
      <c r="K6" s="12">
        <f t="shared" si="4"/>
        <v>75</v>
      </c>
      <c r="L6" s="12">
        <f t="shared" si="5"/>
        <v>93.75</v>
      </c>
      <c r="M6" s="12">
        <f t="shared" si="6"/>
        <v>2.34375</v>
      </c>
      <c r="N6" s="26">
        <f t="shared" si="7"/>
        <v>117.1875</v>
      </c>
      <c r="O6" s="26">
        <f t="shared" si="8"/>
        <v>74.12109375</v>
      </c>
      <c r="P6" s="26">
        <f t="shared" si="9"/>
        <v>107.8125</v>
      </c>
      <c r="Q6" s="612">
        <f t="shared" si="10"/>
        <v>0</v>
      </c>
      <c r="R6" s="26">
        <f t="shared" si="11"/>
        <v>0</v>
      </c>
      <c r="S6" s="26">
        <f t="shared" si="12"/>
        <v>0</v>
      </c>
      <c r="T6" s="26">
        <f t="shared" si="13"/>
        <v>0</v>
      </c>
      <c r="U6" s="26">
        <f t="shared" si="14"/>
        <v>0</v>
      </c>
      <c r="V6" s="26">
        <f t="shared" si="15"/>
        <v>29.296875</v>
      </c>
      <c r="W6" s="20">
        <f t="shared" si="16"/>
        <v>146.484375</v>
      </c>
      <c r="X6" s="20">
        <f t="shared" si="17"/>
        <v>181.93359375</v>
      </c>
      <c r="Y6" s="86">
        <f t="shared" si="18"/>
        <v>328.41796875</v>
      </c>
      <c r="Z6" s="31"/>
      <c r="AA6" s="23"/>
      <c r="AB6" s="621" t="s">
        <v>1316</v>
      </c>
      <c r="AC6" s="624">
        <v>3</v>
      </c>
      <c r="AF6" s="621">
        <v>6</v>
      </c>
      <c r="AG6" s="538">
        <f>'MF Pricing'!F127/25</f>
        <v>1.4</v>
      </c>
      <c r="AH6" s="557">
        <v>2.15</v>
      </c>
      <c r="AI6" s="557">
        <v>12.75</v>
      </c>
      <c r="AJ6" s="557">
        <v>14</v>
      </c>
    </row>
    <row r="7" spans="2:37">
      <c r="B7" s="14">
        <f t="shared" si="19"/>
        <v>4</v>
      </c>
      <c r="C7" s="37" t="s">
        <v>625</v>
      </c>
      <c r="D7" s="38">
        <v>25</v>
      </c>
      <c r="E7" s="37">
        <v>6</v>
      </c>
      <c r="F7" s="37"/>
      <c r="G7" s="41">
        <f t="shared" si="0"/>
        <v>2.083333333333333</v>
      </c>
      <c r="H7" s="615">
        <f t="shared" si="1"/>
        <v>0</v>
      </c>
      <c r="I7" s="615">
        <f t="shared" si="2"/>
        <v>0</v>
      </c>
      <c r="J7" s="12">
        <f t="shared" si="3"/>
        <v>0</v>
      </c>
      <c r="K7" s="12">
        <f t="shared" si="4"/>
        <v>0</v>
      </c>
      <c r="L7" s="12">
        <f t="shared" si="5"/>
        <v>0</v>
      </c>
      <c r="M7" s="12">
        <f t="shared" si="6"/>
        <v>0</v>
      </c>
      <c r="N7" s="26">
        <f t="shared" si="7"/>
        <v>0</v>
      </c>
      <c r="O7" s="26">
        <f t="shared" si="8"/>
        <v>0</v>
      </c>
      <c r="P7" s="26">
        <f t="shared" si="9"/>
        <v>0</v>
      </c>
      <c r="Q7" s="612">
        <f t="shared" si="10"/>
        <v>2.9166666666666661</v>
      </c>
      <c r="R7" s="26">
        <f t="shared" si="11"/>
        <v>32.583333333333329</v>
      </c>
      <c r="S7" s="26">
        <f t="shared" si="12"/>
        <v>0</v>
      </c>
      <c r="T7" s="26">
        <f t="shared" si="13"/>
        <v>4.3</v>
      </c>
      <c r="U7" s="26">
        <f t="shared" si="14"/>
        <v>12.75</v>
      </c>
      <c r="V7" s="26">
        <f t="shared" si="15"/>
        <v>4.9916666666666663</v>
      </c>
      <c r="W7" s="20">
        <f t="shared" si="16"/>
        <v>24.958333333333332</v>
      </c>
      <c r="X7" s="20">
        <f t="shared" si="17"/>
        <v>32.583333333333329</v>
      </c>
      <c r="Y7" s="86">
        <f t="shared" si="18"/>
        <v>57.541666666666657</v>
      </c>
      <c r="Z7" s="31"/>
      <c r="AA7" s="23"/>
      <c r="AB7" s="621" t="s">
        <v>1317</v>
      </c>
      <c r="AC7" s="624">
        <f>AC5/1.5</f>
        <v>1.5999999999999999</v>
      </c>
      <c r="AF7" s="621">
        <v>7</v>
      </c>
      <c r="AG7" s="538">
        <f>'MF Pricing'!F128/25</f>
        <v>1.81</v>
      </c>
      <c r="AH7" s="557">
        <v>2.58</v>
      </c>
      <c r="AI7" s="557">
        <v>13</v>
      </c>
      <c r="AJ7" s="557">
        <v>15</v>
      </c>
    </row>
    <row r="8" spans="2:37">
      <c r="B8" s="14">
        <f t="shared" si="19"/>
        <v>5</v>
      </c>
      <c r="C8" s="37" t="s">
        <v>625</v>
      </c>
      <c r="D8" s="38">
        <v>75</v>
      </c>
      <c r="E8" s="37">
        <v>7</v>
      </c>
      <c r="F8" s="37"/>
      <c r="G8" s="41">
        <f t="shared" si="0"/>
        <v>6.25</v>
      </c>
      <c r="H8" s="615">
        <f t="shared" si="1"/>
        <v>0</v>
      </c>
      <c r="I8" s="615">
        <f t="shared" si="2"/>
        <v>0</v>
      </c>
      <c r="J8" s="12">
        <f t="shared" si="3"/>
        <v>0</v>
      </c>
      <c r="K8" s="12">
        <f t="shared" si="4"/>
        <v>0</v>
      </c>
      <c r="L8" s="12">
        <f t="shared" si="5"/>
        <v>0</v>
      </c>
      <c r="M8" s="12">
        <f t="shared" si="6"/>
        <v>0</v>
      </c>
      <c r="N8" s="26">
        <f t="shared" si="7"/>
        <v>0</v>
      </c>
      <c r="O8" s="26">
        <f t="shared" si="8"/>
        <v>0</v>
      </c>
      <c r="P8" s="26">
        <f t="shared" si="9"/>
        <v>0</v>
      </c>
      <c r="Q8" s="612">
        <f t="shared" si="10"/>
        <v>11.3125</v>
      </c>
      <c r="R8" s="26">
        <f t="shared" si="11"/>
        <v>51.75</v>
      </c>
      <c r="S8" s="26">
        <f t="shared" si="12"/>
        <v>0</v>
      </c>
      <c r="T8" s="26">
        <f t="shared" si="13"/>
        <v>5.16</v>
      </c>
      <c r="U8" s="26">
        <f t="shared" si="14"/>
        <v>13</v>
      </c>
      <c r="V8" s="26">
        <f t="shared" si="15"/>
        <v>7.368125</v>
      </c>
      <c r="W8" s="20">
        <f t="shared" si="16"/>
        <v>36.840625000000003</v>
      </c>
      <c r="X8" s="20">
        <f t="shared" si="17"/>
        <v>51.75</v>
      </c>
      <c r="Y8" s="86">
        <f t="shared" si="18"/>
        <v>88.590625000000003</v>
      </c>
      <c r="Z8" s="32"/>
      <c r="AA8" s="23"/>
      <c r="AB8" s="621" t="s">
        <v>1318</v>
      </c>
      <c r="AC8" s="624">
        <v>0.5</v>
      </c>
      <c r="AF8" s="621">
        <v>8</v>
      </c>
      <c r="AG8" s="538">
        <f>'MF Pricing'!F129/25</f>
        <v>1.96</v>
      </c>
      <c r="AH8" s="557">
        <v>3.15</v>
      </c>
      <c r="AI8" s="557">
        <v>13.25</v>
      </c>
      <c r="AJ8" s="557">
        <v>16</v>
      </c>
    </row>
    <row r="9" spans="2:37">
      <c r="B9" s="14">
        <f t="shared" si="19"/>
        <v>6</v>
      </c>
      <c r="C9" s="37" t="s">
        <v>625</v>
      </c>
      <c r="D9" s="38">
        <v>83</v>
      </c>
      <c r="E9" s="37">
        <v>7</v>
      </c>
      <c r="F9" s="37"/>
      <c r="G9" s="41">
        <f t="shared" si="0"/>
        <v>6.9166666666666661</v>
      </c>
      <c r="H9" s="615">
        <f t="shared" si="1"/>
        <v>0</v>
      </c>
      <c r="I9" s="615">
        <f t="shared" si="2"/>
        <v>0</v>
      </c>
      <c r="J9" s="12">
        <f t="shared" si="3"/>
        <v>0</v>
      </c>
      <c r="K9" s="12">
        <f t="shared" si="4"/>
        <v>0</v>
      </c>
      <c r="L9" s="12">
        <f t="shared" si="5"/>
        <v>0</v>
      </c>
      <c r="M9" s="12">
        <f t="shared" si="6"/>
        <v>0</v>
      </c>
      <c r="N9" s="26">
        <f t="shared" si="7"/>
        <v>0</v>
      </c>
      <c r="O9" s="26">
        <f t="shared" si="8"/>
        <v>0</v>
      </c>
      <c r="P9" s="26">
        <f t="shared" si="9"/>
        <v>0</v>
      </c>
      <c r="Q9" s="612">
        <f t="shared" si="10"/>
        <v>12.519166666666665</v>
      </c>
      <c r="R9" s="26">
        <f t="shared" si="11"/>
        <v>54.816666666666663</v>
      </c>
      <c r="S9" s="26">
        <f t="shared" si="12"/>
        <v>0</v>
      </c>
      <c r="T9" s="26">
        <f t="shared" si="13"/>
        <v>5.16</v>
      </c>
      <c r="U9" s="26">
        <f t="shared" si="14"/>
        <v>13</v>
      </c>
      <c r="V9" s="26">
        <f t="shared" si="15"/>
        <v>7.6697916666666668</v>
      </c>
      <c r="W9" s="20">
        <f t="shared" si="16"/>
        <v>38.348958333333336</v>
      </c>
      <c r="X9" s="20">
        <f t="shared" si="17"/>
        <v>54.816666666666663</v>
      </c>
      <c r="Y9" s="86">
        <f t="shared" si="18"/>
        <v>93.165625000000006</v>
      </c>
      <c r="Z9" s="32"/>
      <c r="AA9" s="23"/>
      <c r="AB9" s="621" t="s">
        <v>1319</v>
      </c>
      <c r="AC9" s="624">
        <v>23</v>
      </c>
      <c r="AF9" s="621">
        <v>9</v>
      </c>
      <c r="AG9" s="538">
        <f>'MF Pricing'!F130/25</f>
        <v>1.88</v>
      </c>
      <c r="AH9" s="557">
        <v>3.5</v>
      </c>
      <c r="AI9" s="557">
        <v>14</v>
      </c>
      <c r="AJ9" s="557">
        <v>19</v>
      </c>
    </row>
    <row r="10" spans="2:37">
      <c r="B10" s="14">
        <f t="shared" si="19"/>
        <v>7</v>
      </c>
      <c r="C10" s="37" t="s">
        <v>625</v>
      </c>
      <c r="D10" s="38">
        <v>227</v>
      </c>
      <c r="E10" s="37">
        <v>7</v>
      </c>
      <c r="F10" s="37"/>
      <c r="G10" s="41">
        <f t="shared" si="0"/>
        <v>18.916666666666664</v>
      </c>
      <c r="H10" s="615">
        <f t="shared" si="1"/>
        <v>0</v>
      </c>
      <c r="I10" s="615">
        <f t="shared" si="2"/>
        <v>0</v>
      </c>
      <c r="J10" s="12">
        <f t="shared" si="3"/>
        <v>0</v>
      </c>
      <c r="K10" s="12">
        <f t="shared" si="4"/>
        <v>0</v>
      </c>
      <c r="L10" s="12">
        <f t="shared" si="5"/>
        <v>0</v>
      </c>
      <c r="M10" s="12">
        <f t="shared" si="6"/>
        <v>0</v>
      </c>
      <c r="N10" s="26">
        <f t="shared" si="7"/>
        <v>0</v>
      </c>
      <c r="O10" s="26">
        <f t="shared" si="8"/>
        <v>0</v>
      </c>
      <c r="P10" s="26">
        <f t="shared" si="9"/>
        <v>0</v>
      </c>
      <c r="Q10" s="612">
        <f t="shared" si="10"/>
        <v>34.239166666666662</v>
      </c>
      <c r="R10" s="26">
        <f t="shared" si="11"/>
        <v>110.01666666666667</v>
      </c>
      <c r="S10" s="26">
        <f t="shared" si="12"/>
        <v>0</v>
      </c>
      <c r="T10" s="26">
        <f t="shared" si="13"/>
        <v>5.16</v>
      </c>
      <c r="U10" s="26">
        <f t="shared" si="14"/>
        <v>13</v>
      </c>
      <c r="V10" s="26">
        <f t="shared" si="15"/>
        <v>13.099791666666665</v>
      </c>
      <c r="W10" s="20">
        <f t="shared" si="16"/>
        <v>65.49895833333332</v>
      </c>
      <c r="X10" s="20">
        <f t="shared" si="17"/>
        <v>110.01666666666667</v>
      </c>
      <c r="Y10" s="86">
        <f t="shared" si="18"/>
        <v>175.515625</v>
      </c>
      <c r="Z10" s="33"/>
      <c r="AA10" s="23"/>
      <c r="AB10" s="621" t="s">
        <v>1320</v>
      </c>
      <c r="AC10" s="623">
        <v>1</v>
      </c>
      <c r="AF10" s="621">
        <v>10</v>
      </c>
      <c r="AG10" s="538">
        <f>'MF Pricing'!F131/25</f>
        <v>2</v>
      </c>
      <c r="AH10" s="557">
        <v>4.25</v>
      </c>
      <c r="AI10" s="557">
        <v>16</v>
      </c>
      <c r="AJ10" s="557">
        <v>22</v>
      </c>
    </row>
    <row r="11" spans="2:37">
      <c r="B11" s="14">
        <f t="shared" si="19"/>
        <v>8</v>
      </c>
      <c r="C11" s="37" t="s">
        <v>625</v>
      </c>
      <c r="D11" s="38">
        <v>227</v>
      </c>
      <c r="E11" s="37">
        <v>7</v>
      </c>
      <c r="F11" s="37"/>
      <c r="G11" s="41">
        <f t="shared" si="0"/>
        <v>18.916666666666664</v>
      </c>
      <c r="H11" s="615">
        <f t="shared" si="1"/>
        <v>0</v>
      </c>
      <c r="I11" s="615">
        <f t="shared" si="2"/>
        <v>0</v>
      </c>
      <c r="J11" s="12">
        <f t="shared" si="3"/>
        <v>0</v>
      </c>
      <c r="K11" s="12">
        <f t="shared" si="4"/>
        <v>0</v>
      </c>
      <c r="L11" s="12">
        <f t="shared" si="5"/>
        <v>0</v>
      </c>
      <c r="M11" s="12">
        <f t="shared" si="6"/>
        <v>0</v>
      </c>
      <c r="N11" s="26">
        <f t="shared" si="7"/>
        <v>0</v>
      </c>
      <c r="O11" s="26">
        <f t="shared" si="8"/>
        <v>0</v>
      </c>
      <c r="P11" s="26">
        <f t="shared" si="9"/>
        <v>0</v>
      </c>
      <c r="Q11" s="612">
        <f t="shared" si="10"/>
        <v>34.239166666666662</v>
      </c>
      <c r="R11" s="26">
        <f t="shared" si="11"/>
        <v>110.01666666666667</v>
      </c>
      <c r="S11" s="26">
        <f t="shared" si="12"/>
        <v>0</v>
      </c>
      <c r="T11" s="26">
        <f t="shared" si="13"/>
        <v>5.16</v>
      </c>
      <c r="U11" s="26">
        <f t="shared" si="14"/>
        <v>13</v>
      </c>
      <c r="V11" s="26">
        <f t="shared" si="15"/>
        <v>13.099791666666665</v>
      </c>
      <c r="W11" s="20">
        <f t="shared" si="16"/>
        <v>65.49895833333332</v>
      </c>
      <c r="X11" s="20">
        <f t="shared" si="17"/>
        <v>110.01666666666667</v>
      </c>
      <c r="Y11" s="86">
        <f t="shared" si="18"/>
        <v>175.515625</v>
      </c>
      <c r="Z11" s="31"/>
      <c r="AA11" s="23"/>
      <c r="AB11" s="621" t="s">
        <v>1321</v>
      </c>
      <c r="AC11" s="622">
        <v>0.2</v>
      </c>
      <c r="AF11" s="621">
        <v>12</v>
      </c>
      <c r="AG11" s="538">
        <f>'MF Pricing'!F132/25</f>
        <v>2.64</v>
      </c>
      <c r="AH11" s="557">
        <v>5</v>
      </c>
      <c r="AI11" s="557">
        <v>20</v>
      </c>
      <c r="AJ11" s="557">
        <v>26</v>
      </c>
    </row>
    <row r="12" spans="2:37">
      <c r="B12" s="14">
        <f t="shared" si="19"/>
        <v>9</v>
      </c>
      <c r="C12" s="37" t="s">
        <v>625</v>
      </c>
      <c r="D12" s="38">
        <v>32</v>
      </c>
      <c r="E12" s="37">
        <v>7</v>
      </c>
      <c r="F12" s="37"/>
      <c r="G12" s="41">
        <f t="shared" si="0"/>
        <v>2.6666666666666665</v>
      </c>
      <c r="H12" s="615">
        <f t="shared" si="1"/>
        <v>0</v>
      </c>
      <c r="I12" s="615">
        <f t="shared" si="2"/>
        <v>0</v>
      </c>
      <c r="J12" s="12">
        <f t="shared" si="3"/>
        <v>0</v>
      </c>
      <c r="K12" s="12">
        <f t="shared" si="4"/>
        <v>0</v>
      </c>
      <c r="L12" s="12">
        <f t="shared" si="5"/>
        <v>0</v>
      </c>
      <c r="M12" s="12">
        <f t="shared" si="6"/>
        <v>0</v>
      </c>
      <c r="N12" s="26">
        <f t="shared" si="7"/>
        <v>0</v>
      </c>
      <c r="O12" s="26">
        <f t="shared" si="8"/>
        <v>0</v>
      </c>
      <c r="P12" s="26">
        <f t="shared" si="9"/>
        <v>0</v>
      </c>
      <c r="Q12" s="612">
        <f t="shared" si="10"/>
        <v>4.8266666666666662</v>
      </c>
      <c r="R12" s="26">
        <f t="shared" si="11"/>
        <v>35.266666666666666</v>
      </c>
      <c r="S12" s="26">
        <f t="shared" si="12"/>
        <v>0</v>
      </c>
      <c r="T12" s="26">
        <f t="shared" si="13"/>
        <v>5.16</v>
      </c>
      <c r="U12" s="26">
        <f t="shared" si="14"/>
        <v>13</v>
      </c>
      <c r="V12" s="26">
        <f t="shared" si="15"/>
        <v>5.7466666666666661</v>
      </c>
      <c r="W12" s="20">
        <f t="shared" si="16"/>
        <v>28.733333333333331</v>
      </c>
      <c r="X12" s="20">
        <f t="shared" si="17"/>
        <v>35.266666666666666</v>
      </c>
      <c r="Y12" s="86">
        <f t="shared" si="18"/>
        <v>64</v>
      </c>
      <c r="Z12" s="34"/>
      <c r="AA12" s="23"/>
      <c r="AB12" s="621"/>
      <c r="AC12" s="532"/>
      <c r="AF12" s="621">
        <v>14</v>
      </c>
      <c r="AG12" s="538">
        <f>'MF Pricing'!F133/25</f>
        <v>4.04</v>
      </c>
      <c r="AH12" s="557">
        <v>6</v>
      </c>
      <c r="AI12" s="557">
        <v>24</v>
      </c>
      <c r="AJ12" s="557">
        <v>28</v>
      </c>
    </row>
    <row r="13" spans="2:37">
      <c r="B13" s="14">
        <f t="shared" si="19"/>
        <v>10</v>
      </c>
      <c r="C13" s="37" t="s">
        <v>625</v>
      </c>
      <c r="D13" s="38">
        <v>32</v>
      </c>
      <c r="E13" s="37">
        <v>8</v>
      </c>
      <c r="F13" s="37"/>
      <c r="G13" s="41">
        <f t="shared" si="0"/>
        <v>2.6666666666666665</v>
      </c>
      <c r="H13" s="615">
        <f t="shared" si="1"/>
        <v>0</v>
      </c>
      <c r="I13" s="615">
        <f t="shared" si="2"/>
        <v>0</v>
      </c>
      <c r="J13" s="12">
        <f t="shared" si="3"/>
        <v>0</v>
      </c>
      <c r="K13" s="12">
        <f t="shared" si="4"/>
        <v>0</v>
      </c>
      <c r="L13" s="12">
        <f t="shared" si="5"/>
        <v>0</v>
      </c>
      <c r="M13" s="12">
        <f t="shared" si="6"/>
        <v>0</v>
      </c>
      <c r="N13" s="26">
        <f t="shared" si="7"/>
        <v>0</v>
      </c>
      <c r="O13" s="26">
        <f t="shared" si="8"/>
        <v>0</v>
      </c>
      <c r="P13" s="26">
        <f t="shared" si="9"/>
        <v>0</v>
      </c>
      <c r="Q13" s="612">
        <f t="shared" si="10"/>
        <v>5.2266666666666666</v>
      </c>
      <c r="R13" s="26">
        <f t="shared" si="11"/>
        <v>35.266666666666666</v>
      </c>
      <c r="S13" s="26">
        <f t="shared" si="12"/>
        <v>0</v>
      </c>
      <c r="T13" s="26">
        <f t="shared" si="13"/>
        <v>6.3</v>
      </c>
      <c r="U13" s="26">
        <f t="shared" si="14"/>
        <v>13.25</v>
      </c>
      <c r="V13" s="26">
        <f t="shared" si="15"/>
        <v>6.1941666666666668</v>
      </c>
      <c r="W13" s="20">
        <f t="shared" si="16"/>
        <v>30.970833333333335</v>
      </c>
      <c r="X13" s="20">
        <f t="shared" si="17"/>
        <v>35.266666666666666</v>
      </c>
      <c r="Y13" s="86">
        <f t="shared" si="18"/>
        <v>66.237499999999997</v>
      </c>
      <c r="Z13" s="31"/>
      <c r="AA13" s="23"/>
      <c r="AB13" s="621"/>
      <c r="AC13" s="620"/>
      <c r="AF13" s="621">
        <v>16</v>
      </c>
      <c r="AG13" s="538">
        <f>'MF Pricing'!F134/25</f>
        <v>4.92</v>
      </c>
      <c r="AH13" s="557">
        <v>7</v>
      </c>
      <c r="AI13" s="557">
        <v>32</v>
      </c>
      <c r="AJ13" s="557">
        <v>30</v>
      </c>
    </row>
    <row r="14" spans="2:37">
      <c r="B14" s="14">
        <f t="shared" si="19"/>
        <v>11</v>
      </c>
      <c r="C14" s="37" t="s">
        <v>625</v>
      </c>
      <c r="D14" s="38">
        <v>151</v>
      </c>
      <c r="E14" s="37">
        <v>7</v>
      </c>
      <c r="F14" s="37"/>
      <c r="G14" s="41">
        <f t="shared" si="0"/>
        <v>12.583333333333332</v>
      </c>
      <c r="H14" s="615">
        <f t="shared" si="1"/>
        <v>0</v>
      </c>
      <c r="I14" s="615">
        <f t="shared" si="2"/>
        <v>0</v>
      </c>
      <c r="J14" s="12">
        <f t="shared" si="3"/>
        <v>0</v>
      </c>
      <c r="K14" s="12">
        <f t="shared" si="4"/>
        <v>0</v>
      </c>
      <c r="L14" s="12">
        <f t="shared" si="5"/>
        <v>0</v>
      </c>
      <c r="M14" s="12">
        <f t="shared" si="6"/>
        <v>0</v>
      </c>
      <c r="N14" s="26">
        <f t="shared" si="7"/>
        <v>0</v>
      </c>
      <c r="O14" s="26">
        <f t="shared" si="8"/>
        <v>0</v>
      </c>
      <c r="P14" s="26">
        <f t="shared" si="9"/>
        <v>0</v>
      </c>
      <c r="Q14" s="612">
        <f t="shared" si="10"/>
        <v>22.775833333333331</v>
      </c>
      <c r="R14" s="26">
        <f t="shared" si="11"/>
        <v>80.883333333333326</v>
      </c>
      <c r="S14" s="26">
        <f t="shared" si="12"/>
        <v>0</v>
      </c>
      <c r="T14" s="26">
        <f t="shared" si="13"/>
        <v>5.16</v>
      </c>
      <c r="U14" s="26">
        <f t="shared" si="14"/>
        <v>13</v>
      </c>
      <c r="V14" s="26">
        <f t="shared" si="15"/>
        <v>10.233958333333334</v>
      </c>
      <c r="W14" s="20">
        <f t="shared" si="16"/>
        <v>51.169791666666669</v>
      </c>
      <c r="X14" s="20">
        <f t="shared" si="17"/>
        <v>80.883333333333326</v>
      </c>
      <c r="Y14" s="86">
        <f t="shared" si="18"/>
        <v>132.05312499999999</v>
      </c>
      <c r="Z14" s="33"/>
      <c r="AA14" s="23"/>
      <c r="AB14" s="621"/>
      <c r="AC14" s="620"/>
      <c r="AF14" s="621">
        <v>18</v>
      </c>
      <c r="AG14" s="538">
        <f>'MF Pricing'!F135/25</f>
        <v>6.12</v>
      </c>
      <c r="AH14" s="557">
        <v>8</v>
      </c>
      <c r="AI14" s="557">
        <v>44</v>
      </c>
      <c r="AJ14" s="557">
        <v>36</v>
      </c>
    </row>
    <row r="15" spans="2:37">
      <c r="B15" s="14">
        <f t="shared" si="19"/>
        <v>12</v>
      </c>
      <c r="C15" s="37" t="s">
        <v>625</v>
      </c>
      <c r="D15" s="38">
        <v>151</v>
      </c>
      <c r="E15" s="37">
        <v>7</v>
      </c>
      <c r="F15" s="37"/>
      <c r="G15" s="41">
        <f t="shared" si="0"/>
        <v>12.583333333333332</v>
      </c>
      <c r="H15" s="615">
        <f t="shared" si="1"/>
        <v>0</v>
      </c>
      <c r="I15" s="615">
        <f t="shared" si="2"/>
        <v>0</v>
      </c>
      <c r="J15" s="12">
        <f t="shared" si="3"/>
        <v>0</v>
      </c>
      <c r="K15" s="12">
        <f t="shared" si="4"/>
        <v>0</v>
      </c>
      <c r="L15" s="12">
        <f t="shared" si="5"/>
        <v>0</v>
      </c>
      <c r="M15" s="12">
        <f t="shared" si="6"/>
        <v>0</v>
      </c>
      <c r="N15" s="26">
        <f t="shared" si="7"/>
        <v>0</v>
      </c>
      <c r="O15" s="26">
        <f t="shared" si="8"/>
        <v>0</v>
      </c>
      <c r="P15" s="26">
        <f t="shared" si="9"/>
        <v>0</v>
      </c>
      <c r="Q15" s="612">
        <f t="shared" si="10"/>
        <v>22.775833333333331</v>
      </c>
      <c r="R15" s="26">
        <f t="shared" si="11"/>
        <v>80.883333333333326</v>
      </c>
      <c r="S15" s="26">
        <f t="shared" si="12"/>
        <v>0</v>
      </c>
      <c r="T15" s="26">
        <f t="shared" si="13"/>
        <v>5.16</v>
      </c>
      <c r="U15" s="26">
        <f t="shared" si="14"/>
        <v>13</v>
      </c>
      <c r="V15" s="26">
        <f t="shared" si="15"/>
        <v>10.233958333333334</v>
      </c>
      <c r="W15" s="20">
        <f t="shared" si="16"/>
        <v>51.169791666666669</v>
      </c>
      <c r="X15" s="20">
        <f t="shared" si="17"/>
        <v>80.883333333333326</v>
      </c>
      <c r="Y15" s="86">
        <f t="shared" si="18"/>
        <v>132.05312499999999</v>
      </c>
      <c r="Z15" s="31"/>
      <c r="AA15" s="23"/>
      <c r="AB15" s="621"/>
      <c r="AC15" s="620"/>
      <c r="AF15" s="621"/>
      <c r="AG15" s="532"/>
      <c r="AH15" s="208"/>
      <c r="AI15" s="208"/>
      <c r="AJ15" s="208"/>
    </row>
    <row r="16" spans="2:37">
      <c r="B16" s="14">
        <f t="shared" si="19"/>
        <v>13</v>
      </c>
      <c r="C16" s="37" t="s">
        <v>625</v>
      </c>
      <c r="D16" s="38">
        <v>151</v>
      </c>
      <c r="E16" s="37">
        <v>7</v>
      </c>
      <c r="F16" s="37"/>
      <c r="G16" s="41">
        <f t="shared" si="0"/>
        <v>12.583333333333332</v>
      </c>
      <c r="H16" s="615">
        <f t="shared" si="1"/>
        <v>0</v>
      </c>
      <c r="I16" s="615">
        <f t="shared" si="2"/>
        <v>0</v>
      </c>
      <c r="J16" s="12">
        <f t="shared" si="3"/>
        <v>0</v>
      </c>
      <c r="K16" s="12">
        <f t="shared" si="4"/>
        <v>0</v>
      </c>
      <c r="L16" s="12">
        <f t="shared" si="5"/>
        <v>0</v>
      </c>
      <c r="M16" s="12">
        <f t="shared" si="6"/>
        <v>0</v>
      </c>
      <c r="N16" s="26">
        <f t="shared" si="7"/>
        <v>0</v>
      </c>
      <c r="O16" s="26">
        <f t="shared" si="8"/>
        <v>0</v>
      </c>
      <c r="P16" s="26">
        <f t="shared" si="9"/>
        <v>0</v>
      </c>
      <c r="Q16" s="612">
        <f t="shared" si="10"/>
        <v>22.775833333333331</v>
      </c>
      <c r="R16" s="26">
        <f t="shared" si="11"/>
        <v>80.883333333333326</v>
      </c>
      <c r="S16" s="26">
        <f t="shared" si="12"/>
        <v>0</v>
      </c>
      <c r="T16" s="26">
        <f t="shared" si="13"/>
        <v>5.16</v>
      </c>
      <c r="U16" s="26">
        <f t="shared" si="14"/>
        <v>13</v>
      </c>
      <c r="V16" s="26">
        <f t="shared" si="15"/>
        <v>10.233958333333334</v>
      </c>
      <c r="W16" s="20">
        <f t="shared" si="16"/>
        <v>51.169791666666669</v>
      </c>
      <c r="X16" s="20">
        <f t="shared" si="17"/>
        <v>80.883333333333326</v>
      </c>
      <c r="Y16" s="86">
        <f t="shared" si="18"/>
        <v>132.05312499999999</v>
      </c>
      <c r="Z16" s="15"/>
      <c r="AA16" s="23"/>
      <c r="AB16" s="621"/>
      <c r="AC16" s="394"/>
      <c r="AF16" s="621"/>
      <c r="AG16" s="532"/>
      <c r="AH16" s="208"/>
      <c r="AI16" s="208"/>
      <c r="AJ16" s="208"/>
    </row>
    <row r="17" spans="2:36">
      <c r="B17" s="14">
        <f t="shared" si="19"/>
        <v>14</v>
      </c>
      <c r="C17" s="37" t="s">
        <v>625</v>
      </c>
      <c r="D17" s="38">
        <v>230</v>
      </c>
      <c r="E17" s="37" t="s">
        <v>1247</v>
      </c>
      <c r="F17" s="37"/>
      <c r="G17" s="41">
        <f t="shared" si="0"/>
        <v>19.166666666666664</v>
      </c>
      <c r="H17" s="615">
        <f t="shared" si="1"/>
        <v>24</v>
      </c>
      <c r="I17" s="615">
        <f t="shared" si="2"/>
        <v>16</v>
      </c>
      <c r="J17" s="12">
        <f t="shared" si="3"/>
        <v>6.666666666666667</v>
      </c>
      <c r="K17" s="12">
        <f t="shared" si="4"/>
        <v>127.77777777777777</v>
      </c>
      <c r="L17" s="12">
        <f t="shared" si="5"/>
        <v>159.72222222222223</v>
      </c>
      <c r="M17" s="12">
        <f t="shared" si="6"/>
        <v>3.9930555555555558</v>
      </c>
      <c r="N17" s="26">
        <f t="shared" si="7"/>
        <v>199.6527777777778</v>
      </c>
      <c r="O17" s="26">
        <f t="shared" si="8"/>
        <v>126.28038194444446</v>
      </c>
      <c r="P17" s="26">
        <f t="shared" si="9"/>
        <v>183.68055555555557</v>
      </c>
      <c r="Q17" s="612">
        <f t="shared" si="10"/>
        <v>0</v>
      </c>
      <c r="R17" s="26">
        <f t="shared" si="11"/>
        <v>0</v>
      </c>
      <c r="S17" s="26">
        <f t="shared" si="12"/>
        <v>0</v>
      </c>
      <c r="T17" s="26">
        <f t="shared" si="13"/>
        <v>0</v>
      </c>
      <c r="U17" s="26">
        <f t="shared" si="14"/>
        <v>0</v>
      </c>
      <c r="V17" s="26">
        <f t="shared" si="15"/>
        <v>49.91319444444445</v>
      </c>
      <c r="W17" s="20">
        <f t="shared" si="16"/>
        <v>249.56597222222226</v>
      </c>
      <c r="X17" s="20">
        <f t="shared" si="17"/>
        <v>309.9609375</v>
      </c>
      <c r="Y17" s="86">
        <f t="shared" si="18"/>
        <v>559.52690972222229</v>
      </c>
      <c r="Z17" s="15"/>
      <c r="AA17" s="23"/>
      <c r="AB17" s="621"/>
      <c r="AC17" s="620"/>
      <c r="AF17" s="123"/>
      <c r="AG17" s="255"/>
      <c r="AH17" s="115"/>
      <c r="AI17" s="115"/>
      <c r="AJ17" s="115"/>
    </row>
    <row r="18" spans="2:36">
      <c r="B18" s="14">
        <f t="shared" si="19"/>
        <v>15</v>
      </c>
      <c r="C18" s="37" t="s">
        <v>625</v>
      </c>
      <c r="D18" s="38">
        <v>91</v>
      </c>
      <c r="E18" s="37" t="s">
        <v>1251</v>
      </c>
      <c r="F18" s="37"/>
      <c r="G18" s="41">
        <f t="shared" si="0"/>
        <v>7.583333333333333</v>
      </c>
      <c r="H18" s="615">
        <f t="shared" si="1"/>
        <v>20</v>
      </c>
      <c r="I18" s="615">
        <f t="shared" si="2"/>
        <v>14</v>
      </c>
      <c r="J18" s="12">
        <f t="shared" si="3"/>
        <v>5.666666666666667</v>
      </c>
      <c r="K18" s="12">
        <f t="shared" si="4"/>
        <v>42.972222222222221</v>
      </c>
      <c r="L18" s="12">
        <f t="shared" si="5"/>
        <v>53.715277777777779</v>
      </c>
      <c r="M18" s="12">
        <f t="shared" si="6"/>
        <v>1.3428819444444444</v>
      </c>
      <c r="N18" s="26">
        <f t="shared" si="7"/>
        <v>67.144097222222214</v>
      </c>
      <c r="O18" s="26">
        <f t="shared" si="8"/>
        <v>42.468641493055557</v>
      </c>
      <c r="P18" s="26">
        <f t="shared" si="9"/>
        <v>61.772569444444443</v>
      </c>
      <c r="Q18" s="612">
        <f t="shared" si="10"/>
        <v>0</v>
      </c>
      <c r="R18" s="26">
        <f t="shared" si="11"/>
        <v>0</v>
      </c>
      <c r="S18" s="26">
        <f t="shared" si="12"/>
        <v>0</v>
      </c>
      <c r="T18" s="26">
        <f t="shared" si="13"/>
        <v>0</v>
      </c>
      <c r="U18" s="26">
        <f t="shared" si="14"/>
        <v>0</v>
      </c>
      <c r="V18" s="26">
        <f t="shared" si="15"/>
        <v>16.786024305555554</v>
      </c>
      <c r="W18" s="20">
        <f t="shared" si="16"/>
        <v>83.930121527777771</v>
      </c>
      <c r="X18" s="20">
        <f t="shared" si="17"/>
        <v>104.2412109375</v>
      </c>
      <c r="Y18" s="86">
        <f t="shared" si="18"/>
        <v>188.17133246527777</v>
      </c>
      <c r="Z18" s="15"/>
      <c r="AA18" s="23"/>
      <c r="AB18" s="621"/>
      <c r="AC18" s="620"/>
    </row>
    <row r="19" spans="2:36">
      <c r="B19" s="14">
        <f t="shared" si="19"/>
        <v>16</v>
      </c>
      <c r="C19" s="37" t="s">
        <v>625</v>
      </c>
      <c r="D19" s="38">
        <v>180</v>
      </c>
      <c r="E19" s="37" t="s">
        <v>1315</v>
      </c>
      <c r="F19" s="37"/>
      <c r="G19" s="41">
        <f t="shared" si="0"/>
        <v>15</v>
      </c>
      <c r="H19" s="615">
        <f t="shared" si="1"/>
        <v>18</v>
      </c>
      <c r="I19" s="615">
        <f t="shared" si="2"/>
        <v>12</v>
      </c>
      <c r="J19" s="12">
        <f t="shared" si="3"/>
        <v>5</v>
      </c>
      <c r="K19" s="12">
        <f t="shared" si="4"/>
        <v>75</v>
      </c>
      <c r="L19" s="12">
        <f t="shared" si="5"/>
        <v>93.75</v>
      </c>
      <c r="M19" s="12">
        <f t="shared" si="6"/>
        <v>2.34375</v>
      </c>
      <c r="N19" s="26">
        <f t="shared" si="7"/>
        <v>117.1875</v>
      </c>
      <c r="O19" s="26">
        <f t="shared" si="8"/>
        <v>74.12109375</v>
      </c>
      <c r="P19" s="26">
        <f t="shared" si="9"/>
        <v>107.8125</v>
      </c>
      <c r="Q19" s="612">
        <f t="shared" si="10"/>
        <v>0</v>
      </c>
      <c r="R19" s="26">
        <f t="shared" si="11"/>
        <v>0</v>
      </c>
      <c r="S19" s="26">
        <f t="shared" si="12"/>
        <v>0</v>
      </c>
      <c r="T19" s="26">
        <f t="shared" si="13"/>
        <v>0</v>
      </c>
      <c r="U19" s="26">
        <f t="shared" si="14"/>
        <v>0</v>
      </c>
      <c r="V19" s="26">
        <f t="shared" si="15"/>
        <v>29.296875</v>
      </c>
      <c r="W19" s="20">
        <f t="shared" si="16"/>
        <v>146.484375</v>
      </c>
      <c r="X19" s="20">
        <f t="shared" si="17"/>
        <v>181.93359375</v>
      </c>
      <c r="Y19" s="86">
        <f t="shared" si="18"/>
        <v>328.41796875</v>
      </c>
      <c r="Z19" s="15"/>
      <c r="AA19" s="23"/>
      <c r="AB19" s="123"/>
      <c r="AC19" s="255"/>
    </row>
    <row r="20" spans="2:36">
      <c r="B20" s="14">
        <f t="shared" si="19"/>
        <v>17</v>
      </c>
      <c r="C20" s="37" t="s">
        <v>625</v>
      </c>
      <c r="D20" s="38">
        <v>25</v>
      </c>
      <c r="E20" s="37">
        <v>6</v>
      </c>
      <c r="F20" s="37"/>
      <c r="G20" s="41">
        <f t="shared" si="0"/>
        <v>2.083333333333333</v>
      </c>
      <c r="H20" s="615">
        <f t="shared" si="1"/>
        <v>0</v>
      </c>
      <c r="I20" s="615">
        <f t="shared" si="2"/>
        <v>0</v>
      </c>
      <c r="J20" s="12">
        <f t="shared" si="3"/>
        <v>0</v>
      </c>
      <c r="K20" s="12">
        <f t="shared" si="4"/>
        <v>0</v>
      </c>
      <c r="L20" s="12">
        <f t="shared" si="5"/>
        <v>0</v>
      </c>
      <c r="M20" s="12">
        <f t="shared" si="6"/>
        <v>0</v>
      </c>
      <c r="N20" s="26">
        <f t="shared" si="7"/>
        <v>0</v>
      </c>
      <c r="O20" s="26">
        <f t="shared" si="8"/>
        <v>0</v>
      </c>
      <c r="P20" s="26">
        <f t="shared" si="9"/>
        <v>0</v>
      </c>
      <c r="Q20" s="612">
        <f t="shared" si="10"/>
        <v>2.9166666666666661</v>
      </c>
      <c r="R20" s="26">
        <f t="shared" si="11"/>
        <v>32.583333333333329</v>
      </c>
      <c r="S20" s="26">
        <f t="shared" si="12"/>
        <v>0</v>
      </c>
      <c r="T20" s="26">
        <f t="shared" si="13"/>
        <v>4.3</v>
      </c>
      <c r="U20" s="26">
        <f t="shared" si="14"/>
        <v>12.75</v>
      </c>
      <c r="V20" s="26">
        <f t="shared" si="15"/>
        <v>4.9916666666666663</v>
      </c>
      <c r="W20" s="20">
        <f t="shared" si="16"/>
        <v>24.958333333333332</v>
      </c>
      <c r="X20" s="20">
        <f t="shared" si="17"/>
        <v>32.583333333333329</v>
      </c>
      <c r="Y20" s="86">
        <f t="shared" si="18"/>
        <v>57.541666666666657</v>
      </c>
      <c r="Z20" s="15"/>
      <c r="AA20" s="23"/>
    </row>
    <row r="21" spans="2:36">
      <c r="B21" s="14">
        <f t="shared" si="19"/>
        <v>18</v>
      </c>
      <c r="C21" s="37" t="s">
        <v>625</v>
      </c>
      <c r="D21" s="38">
        <v>75</v>
      </c>
      <c r="E21" s="37">
        <v>7</v>
      </c>
      <c r="F21" s="37"/>
      <c r="G21" s="41">
        <f t="shared" si="0"/>
        <v>6.25</v>
      </c>
      <c r="H21" s="615">
        <f t="shared" si="1"/>
        <v>0</v>
      </c>
      <c r="I21" s="615">
        <f t="shared" si="2"/>
        <v>0</v>
      </c>
      <c r="J21" s="12">
        <f t="shared" si="3"/>
        <v>0</v>
      </c>
      <c r="K21" s="12">
        <f t="shared" si="4"/>
        <v>0</v>
      </c>
      <c r="L21" s="12">
        <f t="shared" si="5"/>
        <v>0</v>
      </c>
      <c r="M21" s="12">
        <f t="shared" si="6"/>
        <v>0</v>
      </c>
      <c r="N21" s="26">
        <f t="shared" si="7"/>
        <v>0</v>
      </c>
      <c r="O21" s="26">
        <f t="shared" si="8"/>
        <v>0</v>
      </c>
      <c r="P21" s="26">
        <f t="shared" si="9"/>
        <v>0</v>
      </c>
      <c r="Q21" s="612">
        <f t="shared" si="10"/>
        <v>11.3125</v>
      </c>
      <c r="R21" s="26">
        <f t="shared" si="11"/>
        <v>51.75</v>
      </c>
      <c r="S21" s="26">
        <f t="shared" si="12"/>
        <v>0</v>
      </c>
      <c r="T21" s="26">
        <f t="shared" si="13"/>
        <v>5.16</v>
      </c>
      <c r="U21" s="26">
        <f t="shared" si="14"/>
        <v>13</v>
      </c>
      <c r="V21" s="26">
        <f t="shared" si="15"/>
        <v>7.368125</v>
      </c>
      <c r="W21" s="20">
        <f t="shared" si="16"/>
        <v>36.840625000000003</v>
      </c>
      <c r="X21" s="20">
        <f t="shared" si="17"/>
        <v>51.75</v>
      </c>
      <c r="Y21" s="86">
        <f t="shared" si="18"/>
        <v>88.590625000000003</v>
      </c>
      <c r="Z21" s="15"/>
      <c r="AA21" s="23"/>
      <c r="AC21" s="27"/>
    </row>
    <row r="22" spans="2:36">
      <c r="B22" s="14">
        <f t="shared" si="19"/>
        <v>19</v>
      </c>
      <c r="C22" s="37" t="s">
        <v>625</v>
      </c>
      <c r="D22" s="38">
        <v>83</v>
      </c>
      <c r="E22" s="37">
        <v>7</v>
      </c>
      <c r="F22" s="37"/>
      <c r="G22" s="41">
        <f t="shared" si="0"/>
        <v>6.9166666666666661</v>
      </c>
      <c r="H22" s="615">
        <f t="shared" si="1"/>
        <v>0</v>
      </c>
      <c r="I22" s="615">
        <f t="shared" si="2"/>
        <v>0</v>
      </c>
      <c r="J22" s="12">
        <f t="shared" si="3"/>
        <v>0</v>
      </c>
      <c r="K22" s="12">
        <f t="shared" si="4"/>
        <v>0</v>
      </c>
      <c r="L22" s="12">
        <f t="shared" si="5"/>
        <v>0</v>
      </c>
      <c r="M22" s="12">
        <f t="shared" si="6"/>
        <v>0</v>
      </c>
      <c r="N22" s="26">
        <f t="shared" si="7"/>
        <v>0</v>
      </c>
      <c r="O22" s="26">
        <f t="shared" si="8"/>
        <v>0</v>
      </c>
      <c r="P22" s="26">
        <f t="shared" si="9"/>
        <v>0</v>
      </c>
      <c r="Q22" s="612">
        <f t="shared" si="10"/>
        <v>12.519166666666665</v>
      </c>
      <c r="R22" s="26">
        <f t="shared" si="11"/>
        <v>54.816666666666663</v>
      </c>
      <c r="S22" s="26">
        <f t="shared" si="12"/>
        <v>0</v>
      </c>
      <c r="T22" s="26">
        <f t="shared" si="13"/>
        <v>5.16</v>
      </c>
      <c r="U22" s="26">
        <f t="shared" si="14"/>
        <v>13</v>
      </c>
      <c r="V22" s="26">
        <f t="shared" si="15"/>
        <v>7.6697916666666668</v>
      </c>
      <c r="W22" s="20">
        <f t="shared" si="16"/>
        <v>38.348958333333336</v>
      </c>
      <c r="X22" s="20">
        <f t="shared" si="17"/>
        <v>54.816666666666663</v>
      </c>
      <c r="Y22" s="86">
        <f t="shared" si="18"/>
        <v>93.165625000000006</v>
      </c>
      <c r="Z22" s="15"/>
      <c r="AA22" s="23"/>
    </row>
    <row r="23" spans="2:36">
      <c r="B23" s="14">
        <f t="shared" si="19"/>
        <v>20</v>
      </c>
      <c r="C23" s="37" t="s">
        <v>625</v>
      </c>
      <c r="D23" s="38">
        <v>227</v>
      </c>
      <c r="E23" s="37">
        <v>7</v>
      </c>
      <c r="F23" s="37"/>
      <c r="G23" s="41">
        <f t="shared" si="0"/>
        <v>18.916666666666664</v>
      </c>
      <c r="H23" s="615">
        <f t="shared" si="1"/>
        <v>0</v>
      </c>
      <c r="I23" s="615">
        <f t="shared" si="2"/>
        <v>0</v>
      </c>
      <c r="J23" s="12">
        <f t="shared" si="3"/>
        <v>0</v>
      </c>
      <c r="K23" s="12">
        <f t="shared" si="4"/>
        <v>0</v>
      </c>
      <c r="L23" s="12">
        <f t="shared" si="5"/>
        <v>0</v>
      </c>
      <c r="M23" s="12">
        <f t="shared" si="6"/>
        <v>0</v>
      </c>
      <c r="N23" s="26">
        <f t="shared" si="7"/>
        <v>0</v>
      </c>
      <c r="O23" s="26">
        <f t="shared" si="8"/>
        <v>0</v>
      </c>
      <c r="P23" s="26">
        <f t="shared" si="9"/>
        <v>0</v>
      </c>
      <c r="Q23" s="612">
        <f t="shared" si="10"/>
        <v>34.239166666666662</v>
      </c>
      <c r="R23" s="26">
        <f t="shared" si="11"/>
        <v>110.01666666666667</v>
      </c>
      <c r="S23" s="26">
        <f t="shared" si="12"/>
        <v>0</v>
      </c>
      <c r="T23" s="26">
        <f t="shared" si="13"/>
        <v>5.16</v>
      </c>
      <c r="U23" s="26">
        <f t="shared" si="14"/>
        <v>13</v>
      </c>
      <c r="V23" s="26">
        <f t="shared" si="15"/>
        <v>13.099791666666665</v>
      </c>
      <c r="W23" s="20">
        <f t="shared" si="16"/>
        <v>65.49895833333332</v>
      </c>
      <c r="X23" s="20">
        <f t="shared" si="17"/>
        <v>110.01666666666667</v>
      </c>
      <c r="Y23" s="86">
        <f t="shared" si="18"/>
        <v>175.515625</v>
      </c>
      <c r="Z23" s="15"/>
      <c r="AA23" s="23"/>
    </row>
    <row r="24" spans="2:36">
      <c r="B24" s="14">
        <f t="shared" si="19"/>
        <v>21</v>
      </c>
      <c r="C24" s="37" t="s">
        <v>625</v>
      </c>
      <c r="D24" s="38">
        <v>227</v>
      </c>
      <c r="E24" s="37">
        <v>7</v>
      </c>
      <c r="F24" s="37"/>
      <c r="G24" s="41">
        <f t="shared" si="0"/>
        <v>18.916666666666664</v>
      </c>
      <c r="H24" s="615">
        <f t="shared" si="1"/>
        <v>0</v>
      </c>
      <c r="I24" s="615">
        <f t="shared" si="2"/>
        <v>0</v>
      </c>
      <c r="J24" s="12">
        <f t="shared" si="3"/>
        <v>0</v>
      </c>
      <c r="K24" s="12">
        <f t="shared" si="4"/>
        <v>0</v>
      </c>
      <c r="L24" s="12">
        <f t="shared" si="5"/>
        <v>0</v>
      </c>
      <c r="M24" s="12">
        <f t="shared" si="6"/>
        <v>0</v>
      </c>
      <c r="N24" s="26">
        <f t="shared" si="7"/>
        <v>0</v>
      </c>
      <c r="O24" s="26">
        <f t="shared" si="8"/>
        <v>0</v>
      </c>
      <c r="P24" s="26">
        <f t="shared" si="9"/>
        <v>0</v>
      </c>
      <c r="Q24" s="612">
        <f t="shared" si="10"/>
        <v>34.239166666666662</v>
      </c>
      <c r="R24" s="26">
        <f t="shared" si="11"/>
        <v>110.01666666666667</v>
      </c>
      <c r="S24" s="26">
        <f t="shared" si="12"/>
        <v>0</v>
      </c>
      <c r="T24" s="26">
        <f t="shared" si="13"/>
        <v>5.16</v>
      </c>
      <c r="U24" s="26">
        <f t="shared" si="14"/>
        <v>13</v>
      </c>
      <c r="V24" s="26">
        <f t="shared" si="15"/>
        <v>13.099791666666665</v>
      </c>
      <c r="W24" s="20">
        <f t="shared" si="16"/>
        <v>65.49895833333332</v>
      </c>
      <c r="X24" s="20">
        <f t="shared" si="17"/>
        <v>110.01666666666667</v>
      </c>
      <c r="Y24" s="86">
        <f t="shared" si="18"/>
        <v>175.515625</v>
      </c>
      <c r="Z24" s="13"/>
      <c r="AA24" s="23"/>
    </row>
    <row r="25" spans="2:36">
      <c r="B25" s="14">
        <f t="shared" si="19"/>
        <v>22</v>
      </c>
      <c r="C25" s="37" t="s">
        <v>625</v>
      </c>
      <c r="D25" s="38">
        <v>32</v>
      </c>
      <c r="E25" s="37">
        <v>7</v>
      </c>
      <c r="F25" s="37"/>
      <c r="G25" s="41">
        <f t="shared" si="0"/>
        <v>2.6666666666666665</v>
      </c>
      <c r="H25" s="615">
        <f t="shared" si="1"/>
        <v>0</v>
      </c>
      <c r="I25" s="615">
        <f t="shared" si="2"/>
        <v>0</v>
      </c>
      <c r="J25" s="12">
        <f t="shared" si="3"/>
        <v>0</v>
      </c>
      <c r="K25" s="12">
        <f t="shared" si="4"/>
        <v>0</v>
      </c>
      <c r="L25" s="12">
        <f t="shared" si="5"/>
        <v>0</v>
      </c>
      <c r="M25" s="12">
        <f t="shared" si="6"/>
        <v>0</v>
      </c>
      <c r="N25" s="26">
        <f t="shared" si="7"/>
        <v>0</v>
      </c>
      <c r="O25" s="26">
        <f t="shared" si="8"/>
        <v>0</v>
      </c>
      <c r="P25" s="26">
        <f t="shared" si="9"/>
        <v>0</v>
      </c>
      <c r="Q25" s="612">
        <f t="shared" si="10"/>
        <v>4.8266666666666662</v>
      </c>
      <c r="R25" s="26">
        <f t="shared" si="11"/>
        <v>35.266666666666666</v>
      </c>
      <c r="S25" s="26">
        <f t="shared" si="12"/>
        <v>0</v>
      </c>
      <c r="T25" s="26">
        <f t="shared" si="13"/>
        <v>5.16</v>
      </c>
      <c r="U25" s="26">
        <f t="shared" si="14"/>
        <v>13</v>
      </c>
      <c r="V25" s="26">
        <f t="shared" si="15"/>
        <v>5.7466666666666661</v>
      </c>
      <c r="W25" s="20">
        <f t="shared" si="16"/>
        <v>28.733333333333331</v>
      </c>
      <c r="X25" s="20">
        <f t="shared" si="17"/>
        <v>35.266666666666666</v>
      </c>
      <c r="Y25" s="86">
        <f t="shared" si="18"/>
        <v>64</v>
      </c>
      <c r="Z25" s="15"/>
      <c r="AA25" s="23"/>
    </row>
    <row r="26" spans="2:36">
      <c r="B26" s="14">
        <f t="shared" si="19"/>
        <v>23</v>
      </c>
      <c r="C26" s="37" t="s">
        <v>625</v>
      </c>
      <c r="D26" s="38">
        <v>32</v>
      </c>
      <c r="E26" s="37">
        <v>8</v>
      </c>
      <c r="F26" s="37"/>
      <c r="G26" s="41">
        <f t="shared" si="0"/>
        <v>2.6666666666666665</v>
      </c>
      <c r="H26" s="615">
        <f t="shared" si="1"/>
        <v>0</v>
      </c>
      <c r="I26" s="615">
        <f t="shared" si="2"/>
        <v>0</v>
      </c>
      <c r="J26" s="12">
        <f t="shared" si="3"/>
        <v>0</v>
      </c>
      <c r="K26" s="12">
        <f t="shared" si="4"/>
        <v>0</v>
      </c>
      <c r="L26" s="12">
        <f t="shared" si="5"/>
        <v>0</v>
      </c>
      <c r="M26" s="12">
        <f t="shared" si="6"/>
        <v>0</v>
      </c>
      <c r="N26" s="26">
        <f t="shared" si="7"/>
        <v>0</v>
      </c>
      <c r="O26" s="26">
        <f t="shared" si="8"/>
        <v>0</v>
      </c>
      <c r="P26" s="26">
        <f t="shared" si="9"/>
        <v>0</v>
      </c>
      <c r="Q26" s="612">
        <f t="shared" si="10"/>
        <v>5.2266666666666666</v>
      </c>
      <c r="R26" s="26">
        <f t="shared" si="11"/>
        <v>35.266666666666666</v>
      </c>
      <c r="S26" s="26">
        <f t="shared" si="12"/>
        <v>0</v>
      </c>
      <c r="T26" s="26">
        <f t="shared" si="13"/>
        <v>6.3</v>
      </c>
      <c r="U26" s="26">
        <f t="shared" si="14"/>
        <v>13.25</v>
      </c>
      <c r="V26" s="26">
        <f t="shared" si="15"/>
        <v>6.1941666666666668</v>
      </c>
      <c r="W26" s="20">
        <f t="shared" si="16"/>
        <v>30.970833333333335</v>
      </c>
      <c r="X26" s="20">
        <f t="shared" si="17"/>
        <v>35.266666666666666</v>
      </c>
      <c r="Y26" s="86">
        <f t="shared" si="18"/>
        <v>66.237499999999997</v>
      </c>
      <c r="Z26" s="15"/>
      <c r="AA26" s="23"/>
    </row>
    <row r="27" spans="2:36">
      <c r="B27" s="14">
        <f t="shared" si="19"/>
        <v>24</v>
      </c>
      <c r="C27" s="37" t="s">
        <v>625</v>
      </c>
      <c r="D27" s="38">
        <v>151</v>
      </c>
      <c r="E27" s="37">
        <v>7</v>
      </c>
      <c r="F27" s="37"/>
      <c r="G27" s="41">
        <f t="shared" si="0"/>
        <v>12.583333333333332</v>
      </c>
      <c r="H27" s="615">
        <f t="shared" si="1"/>
        <v>0</v>
      </c>
      <c r="I27" s="615">
        <f t="shared" si="2"/>
        <v>0</v>
      </c>
      <c r="J27" s="12">
        <f t="shared" si="3"/>
        <v>0</v>
      </c>
      <c r="K27" s="12">
        <f t="shared" si="4"/>
        <v>0</v>
      </c>
      <c r="L27" s="12">
        <f t="shared" si="5"/>
        <v>0</v>
      </c>
      <c r="M27" s="12">
        <f t="shared" si="6"/>
        <v>0</v>
      </c>
      <c r="N27" s="26">
        <f t="shared" si="7"/>
        <v>0</v>
      </c>
      <c r="O27" s="26">
        <f t="shared" si="8"/>
        <v>0</v>
      </c>
      <c r="P27" s="26">
        <f t="shared" si="9"/>
        <v>0</v>
      </c>
      <c r="Q27" s="612">
        <f t="shared" si="10"/>
        <v>22.775833333333331</v>
      </c>
      <c r="R27" s="26">
        <f t="shared" si="11"/>
        <v>80.883333333333326</v>
      </c>
      <c r="S27" s="26">
        <f t="shared" si="12"/>
        <v>0</v>
      </c>
      <c r="T27" s="26">
        <f t="shared" si="13"/>
        <v>5.16</v>
      </c>
      <c r="U27" s="26">
        <f t="shared" si="14"/>
        <v>13</v>
      </c>
      <c r="V27" s="26">
        <f t="shared" si="15"/>
        <v>10.233958333333334</v>
      </c>
      <c r="W27" s="20">
        <f t="shared" si="16"/>
        <v>51.169791666666669</v>
      </c>
      <c r="X27" s="20">
        <f t="shared" si="17"/>
        <v>80.883333333333326</v>
      </c>
      <c r="Y27" s="86">
        <f t="shared" si="18"/>
        <v>132.05312499999999</v>
      </c>
      <c r="Z27" s="15"/>
      <c r="AA27" s="23"/>
    </row>
    <row r="28" spans="2:36">
      <c r="B28" s="14">
        <f t="shared" si="19"/>
        <v>25</v>
      </c>
      <c r="C28" s="37" t="s">
        <v>625</v>
      </c>
      <c r="D28" s="38">
        <v>151</v>
      </c>
      <c r="E28" s="37">
        <v>7</v>
      </c>
      <c r="F28" s="37"/>
      <c r="G28" s="41">
        <f t="shared" si="0"/>
        <v>12.583333333333332</v>
      </c>
      <c r="H28" s="615">
        <f t="shared" si="1"/>
        <v>0</v>
      </c>
      <c r="I28" s="615">
        <f t="shared" si="2"/>
        <v>0</v>
      </c>
      <c r="J28" s="12">
        <f t="shared" si="3"/>
        <v>0</v>
      </c>
      <c r="K28" s="12">
        <f t="shared" si="4"/>
        <v>0</v>
      </c>
      <c r="L28" s="12">
        <f t="shared" si="5"/>
        <v>0</v>
      </c>
      <c r="M28" s="12">
        <f t="shared" si="6"/>
        <v>0</v>
      </c>
      <c r="N28" s="26">
        <f t="shared" si="7"/>
        <v>0</v>
      </c>
      <c r="O28" s="26">
        <f t="shared" si="8"/>
        <v>0</v>
      </c>
      <c r="P28" s="26">
        <f t="shared" si="9"/>
        <v>0</v>
      </c>
      <c r="Q28" s="612">
        <f t="shared" si="10"/>
        <v>22.775833333333331</v>
      </c>
      <c r="R28" s="26">
        <f t="shared" si="11"/>
        <v>80.883333333333326</v>
      </c>
      <c r="S28" s="26">
        <f t="shared" si="12"/>
        <v>0</v>
      </c>
      <c r="T28" s="26">
        <f t="shared" si="13"/>
        <v>5.16</v>
      </c>
      <c r="U28" s="26">
        <f t="shared" si="14"/>
        <v>13</v>
      </c>
      <c r="V28" s="26">
        <f t="shared" si="15"/>
        <v>10.233958333333334</v>
      </c>
      <c r="W28" s="20">
        <f t="shared" si="16"/>
        <v>51.169791666666669</v>
      </c>
      <c r="X28" s="20">
        <f t="shared" si="17"/>
        <v>80.883333333333326</v>
      </c>
      <c r="Y28" s="86">
        <f t="shared" si="18"/>
        <v>132.05312499999999</v>
      </c>
      <c r="Z28" s="15"/>
      <c r="AA28" s="23"/>
    </row>
    <row r="29" spans="2:36">
      <c r="B29" s="14">
        <f t="shared" si="19"/>
        <v>26</v>
      </c>
      <c r="C29" s="37" t="s">
        <v>625</v>
      </c>
      <c r="D29" s="38">
        <v>151</v>
      </c>
      <c r="E29" s="37">
        <v>7</v>
      </c>
      <c r="F29" s="37"/>
      <c r="G29" s="41">
        <f t="shared" si="0"/>
        <v>12.583333333333332</v>
      </c>
      <c r="H29" s="615">
        <f t="shared" si="1"/>
        <v>0</v>
      </c>
      <c r="I29" s="615">
        <f t="shared" si="2"/>
        <v>0</v>
      </c>
      <c r="J29" s="12">
        <f t="shared" si="3"/>
        <v>0</v>
      </c>
      <c r="K29" s="12">
        <f t="shared" si="4"/>
        <v>0</v>
      </c>
      <c r="L29" s="12">
        <f t="shared" si="5"/>
        <v>0</v>
      </c>
      <c r="M29" s="12">
        <f t="shared" si="6"/>
        <v>0</v>
      </c>
      <c r="N29" s="26">
        <f t="shared" si="7"/>
        <v>0</v>
      </c>
      <c r="O29" s="26">
        <f t="shared" si="8"/>
        <v>0</v>
      </c>
      <c r="P29" s="26">
        <f t="shared" si="9"/>
        <v>0</v>
      </c>
      <c r="Q29" s="612">
        <f t="shared" si="10"/>
        <v>22.775833333333331</v>
      </c>
      <c r="R29" s="26">
        <f t="shared" si="11"/>
        <v>80.883333333333326</v>
      </c>
      <c r="S29" s="26">
        <f t="shared" si="12"/>
        <v>0</v>
      </c>
      <c r="T29" s="26">
        <f t="shared" si="13"/>
        <v>5.16</v>
      </c>
      <c r="U29" s="26">
        <f t="shared" si="14"/>
        <v>13</v>
      </c>
      <c r="V29" s="26">
        <f t="shared" si="15"/>
        <v>10.233958333333334</v>
      </c>
      <c r="W29" s="20">
        <f t="shared" si="16"/>
        <v>51.169791666666669</v>
      </c>
      <c r="X29" s="20">
        <f t="shared" si="17"/>
        <v>80.883333333333326</v>
      </c>
      <c r="Y29" s="86">
        <f t="shared" si="18"/>
        <v>132.05312499999999</v>
      </c>
      <c r="Z29" s="15"/>
      <c r="AA29" s="23"/>
    </row>
    <row r="30" spans="2:36">
      <c r="B30" s="14">
        <f t="shared" si="19"/>
        <v>27</v>
      </c>
      <c r="C30" s="37" t="s">
        <v>625</v>
      </c>
      <c r="D30" s="38">
        <v>200</v>
      </c>
      <c r="E30" s="37" t="s">
        <v>1322</v>
      </c>
      <c r="F30" s="37"/>
      <c r="G30" s="41">
        <f t="shared" si="0"/>
        <v>16.666666666666664</v>
      </c>
      <c r="H30" s="615">
        <f t="shared" si="1"/>
        <v>20</v>
      </c>
      <c r="I30" s="615">
        <f t="shared" si="2"/>
        <v>18</v>
      </c>
      <c r="J30" s="12">
        <f t="shared" si="3"/>
        <v>6.333333333333333</v>
      </c>
      <c r="K30" s="12">
        <f t="shared" si="4"/>
        <v>105.55555555555553</v>
      </c>
      <c r="L30" s="12">
        <f t="shared" si="5"/>
        <v>131.9444444444444</v>
      </c>
      <c r="M30" s="12">
        <f t="shared" si="6"/>
        <v>3.2986111111111098</v>
      </c>
      <c r="N30" s="26">
        <f t="shared" si="7"/>
        <v>164.93055555555549</v>
      </c>
      <c r="O30" s="26">
        <f t="shared" si="8"/>
        <v>104.31857638888884</v>
      </c>
      <c r="P30" s="26">
        <f t="shared" si="9"/>
        <v>151.73611111111106</v>
      </c>
      <c r="Q30" s="612">
        <f t="shared" si="10"/>
        <v>0</v>
      </c>
      <c r="R30" s="26">
        <f t="shared" si="11"/>
        <v>0</v>
      </c>
      <c r="S30" s="26">
        <f t="shared" si="12"/>
        <v>0</v>
      </c>
      <c r="T30" s="26">
        <f t="shared" si="13"/>
        <v>0</v>
      </c>
      <c r="U30" s="26">
        <f t="shared" si="14"/>
        <v>0</v>
      </c>
      <c r="V30" s="26">
        <f t="shared" si="15"/>
        <v>41.232638888888872</v>
      </c>
      <c r="W30" s="20">
        <f t="shared" si="16"/>
        <v>206.16319444444434</v>
      </c>
      <c r="X30" s="20">
        <f t="shared" si="17"/>
        <v>256.05468749999989</v>
      </c>
      <c r="Y30" s="86">
        <f t="shared" si="18"/>
        <v>462.21788194444423</v>
      </c>
      <c r="Z30" s="15"/>
      <c r="AA30" s="23"/>
    </row>
    <row r="31" spans="2:36">
      <c r="B31" s="14">
        <f t="shared" si="19"/>
        <v>28</v>
      </c>
      <c r="C31" s="37" t="s">
        <v>625</v>
      </c>
      <c r="D31" s="38">
        <v>83</v>
      </c>
      <c r="E31" s="37" t="s">
        <v>1244</v>
      </c>
      <c r="F31" s="37"/>
      <c r="G31" s="41">
        <f t="shared" si="0"/>
        <v>6.9166666666666661</v>
      </c>
      <c r="H31" s="615">
        <f t="shared" si="1"/>
        <v>18</v>
      </c>
      <c r="I31" s="615">
        <f t="shared" si="2"/>
        <v>16</v>
      </c>
      <c r="J31" s="12">
        <f t="shared" si="3"/>
        <v>5.666666666666667</v>
      </c>
      <c r="K31" s="12">
        <f t="shared" si="4"/>
        <v>39.194444444444443</v>
      </c>
      <c r="L31" s="12">
        <f t="shared" si="5"/>
        <v>48.993055555555557</v>
      </c>
      <c r="M31" s="12">
        <f t="shared" si="6"/>
        <v>1.2248263888888888</v>
      </c>
      <c r="N31" s="26">
        <f t="shared" si="7"/>
        <v>61.241319444444443</v>
      </c>
      <c r="O31" s="26">
        <f t="shared" si="8"/>
        <v>38.735134548611107</v>
      </c>
      <c r="P31" s="26">
        <f t="shared" si="9"/>
        <v>56.342013888888886</v>
      </c>
      <c r="Q31" s="612">
        <f t="shared" si="10"/>
        <v>0</v>
      </c>
      <c r="R31" s="26">
        <f t="shared" si="11"/>
        <v>0</v>
      </c>
      <c r="S31" s="26">
        <f t="shared" si="12"/>
        <v>0</v>
      </c>
      <c r="T31" s="26">
        <f t="shared" si="13"/>
        <v>0</v>
      </c>
      <c r="U31" s="26">
        <f t="shared" si="14"/>
        <v>0</v>
      </c>
      <c r="V31" s="26">
        <f t="shared" si="15"/>
        <v>15.310329861111111</v>
      </c>
      <c r="W31" s="20">
        <f t="shared" si="16"/>
        <v>76.551649305555557</v>
      </c>
      <c r="X31" s="20">
        <f t="shared" si="17"/>
        <v>95.0771484375</v>
      </c>
      <c r="Y31" s="86">
        <f t="shared" si="18"/>
        <v>171.62879774305554</v>
      </c>
      <c r="Z31" s="15"/>
      <c r="AA31" s="23"/>
    </row>
    <row r="32" spans="2:36">
      <c r="B32" s="14">
        <f t="shared" si="19"/>
        <v>29</v>
      </c>
      <c r="C32" s="37" t="s">
        <v>625</v>
      </c>
      <c r="D32" s="38">
        <v>90</v>
      </c>
      <c r="E32" s="37">
        <v>7</v>
      </c>
      <c r="F32" s="37"/>
      <c r="G32" s="41">
        <f t="shared" si="0"/>
        <v>7.5</v>
      </c>
      <c r="H32" s="615">
        <f t="shared" si="1"/>
        <v>0</v>
      </c>
      <c r="I32" s="615">
        <f t="shared" si="2"/>
        <v>0</v>
      </c>
      <c r="J32" s="12">
        <f t="shared" si="3"/>
        <v>0</v>
      </c>
      <c r="K32" s="12">
        <f t="shared" si="4"/>
        <v>0</v>
      </c>
      <c r="L32" s="12">
        <f t="shared" si="5"/>
        <v>0</v>
      </c>
      <c r="M32" s="12">
        <f t="shared" si="6"/>
        <v>0</v>
      </c>
      <c r="N32" s="26">
        <f t="shared" si="7"/>
        <v>0</v>
      </c>
      <c r="O32" s="26">
        <f t="shared" si="8"/>
        <v>0</v>
      </c>
      <c r="P32" s="26">
        <f t="shared" si="9"/>
        <v>0</v>
      </c>
      <c r="Q32" s="612">
        <f t="shared" si="10"/>
        <v>13.575000000000001</v>
      </c>
      <c r="R32" s="26">
        <f t="shared" si="11"/>
        <v>57.5</v>
      </c>
      <c r="S32" s="26">
        <f t="shared" si="12"/>
        <v>0</v>
      </c>
      <c r="T32" s="26">
        <f t="shared" si="13"/>
        <v>5.16</v>
      </c>
      <c r="U32" s="26">
        <f t="shared" si="14"/>
        <v>13</v>
      </c>
      <c r="V32" s="26">
        <f t="shared" si="15"/>
        <v>7.9337499999999999</v>
      </c>
      <c r="W32" s="20">
        <f t="shared" si="16"/>
        <v>39.668750000000003</v>
      </c>
      <c r="X32" s="20">
        <f t="shared" si="17"/>
        <v>57.5</v>
      </c>
      <c r="Y32" s="86">
        <f t="shared" si="18"/>
        <v>97.168750000000003</v>
      </c>
      <c r="Z32" s="15"/>
      <c r="AA32" s="23"/>
    </row>
    <row r="33" spans="2:27">
      <c r="B33" s="14">
        <f t="shared" si="19"/>
        <v>30</v>
      </c>
      <c r="C33" s="37" t="s">
        <v>625</v>
      </c>
      <c r="D33" s="38">
        <v>90</v>
      </c>
      <c r="E33" s="37">
        <v>7</v>
      </c>
      <c r="F33" s="37"/>
      <c r="G33" s="41">
        <f t="shared" si="0"/>
        <v>7.5</v>
      </c>
      <c r="H33" s="615">
        <f t="shared" si="1"/>
        <v>0</v>
      </c>
      <c r="I33" s="615">
        <f t="shared" si="2"/>
        <v>0</v>
      </c>
      <c r="J33" s="12">
        <f t="shared" si="3"/>
        <v>0</v>
      </c>
      <c r="K33" s="12">
        <f t="shared" si="4"/>
        <v>0</v>
      </c>
      <c r="L33" s="12">
        <f t="shared" si="5"/>
        <v>0</v>
      </c>
      <c r="M33" s="12">
        <f t="shared" si="6"/>
        <v>0</v>
      </c>
      <c r="N33" s="26">
        <f t="shared" si="7"/>
        <v>0</v>
      </c>
      <c r="O33" s="26">
        <f t="shared" si="8"/>
        <v>0</v>
      </c>
      <c r="P33" s="26">
        <f t="shared" si="9"/>
        <v>0</v>
      </c>
      <c r="Q33" s="612">
        <f t="shared" si="10"/>
        <v>13.575000000000001</v>
      </c>
      <c r="R33" s="26">
        <f t="shared" si="11"/>
        <v>57.5</v>
      </c>
      <c r="S33" s="26">
        <f t="shared" si="12"/>
        <v>0</v>
      </c>
      <c r="T33" s="26">
        <f t="shared" si="13"/>
        <v>5.16</v>
      </c>
      <c r="U33" s="26">
        <f t="shared" si="14"/>
        <v>13</v>
      </c>
      <c r="V33" s="26">
        <f t="shared" si="15"/>
        <v>7.9337499999999999</v>
      </c>
      <c r="W33" s="20">
        <f t="shared" si="16"/>
        <v>39.668750000000003</v>
      </c>
      <c r="X33" s="20">
        <f t="shared" si="17"/>
        <v>57.5</v>
      </c>
      <c r="Y33" s="86">
        <f t="shared" si="18"/>
        <v>97.168750000000003</v>
      </c>
      <c r="Z33" s="15"/>
      <c r="AA33" s="23"/>
    </row>
    <row r="34" spans="2:27">
      <c r="B34" s="14">
        <f t="shared" si="19"/>
        <v>31</v>
      </c>
      <c r="C34" s="37" t="s">
        <v>625</v>
      </c>
      <c r="D34" s="38">
        <v>90</v>
      </c>
      <c r="E34" s="37">
        <v>7</v>
      </c>
      <c r="F34" s="37"/>
      <c r="G34" s="41">
        <f t="shared" si="0"/>
        <v>7.5</v>
      </c>
      <c r="H34" s="615">
        <f t="shared" si="1"/>
        <v>0</v>
      </c>
      <c r="I34" s="615">
        <f t="shared" si="2"/>
        <v>0</v>
      </c>
      <c r="J34" s="12">
        <f t="shared" si="3"/>
        <v>0</v>
      </c>
      <c r="K34" s="12">
        <f t="shared" si="4"/>
        <v>0</v>
      </c>
      <c r="L34" s="12">
        <f t="shared" si="5"/>
        <v>0</v>
      </c>
      <c r="M34" s="12">
        <f t="shared" si="6"/>
        <v>0</v>
      </c>
      <c r="N34" s="26">
        <f t="shared" si="7"/>
        <v>0</v>
      </c>
      <c r="O34" s="26">
        <f t="shared" si="8"/>
        <v>0</v>
      </c>
      <c r="P34" s="26">
        <f t="shared" si="9"/>
        <v>0</v>
      </c>
      <c r="Q34" s="612">
        <f t="shared" si="10"/>
        <v>13.575000000000001</v>
      </c>
      <c r="R34" s="26">
        <f t="shared" si="11"/>
        <v>57.5</v>
      </c>
      <c r="S34" s="26">
        <f t="shared" si="12"/>
        <v>0</v>
      </c>
      <c r="T34" s="26">
        <f t="shared" si="13"/>
        <v>5.16</v>
      </c>
      <c r="U34" s="26">
        <f t="shared" si="14"/>
        <v>13</v>
      </c>
      <c r="V34" s="26">
        <f t="shared" si="15"/>
        <v>7.9337499999999999</v>
      </c>
      <c r="W34" s="20">
        <f t="shared" si="16"/>
        <v>39.668750000000003</v>
      </c>
      <c r="X34" s="20">
        <f t="shared" si="17"/>
        <v>57.5</v>
      </c>
      <c r="Y34" s="86">
        <f t="shared" si="18"/>
        <v>97.168750000000003</v>
      </c>
      <c r="Z34" s="15"/>
      <c r="AA34" s="23"/>
    </row>
    <row r="35" spans="2:27">
      <c r="B35" s="14">
        <f t="shared" si="19"/>
        <v>32</v>
      </c>
      <c r="C35" s="37" t="s">
        <v>625</v>
      </c>
      <c r="D35" s="38">
        <v>90</v>
      </c>
      <c r="E35" s="37">
        <v>7</v>
      </c>
      <c r="F35" s="37"/>
      <c r="G35" s="41">
        <f t="shared" si="0"/>
        <v>7.5</v>
      </c>
      <c r="H35" s="615">
        <f t="shared" si="1"/>
        <v>0</v>
      </c>
      <c r="I35" s="615">
        <f t="shared" si="2"/>
        <v>0</v>
      </c>
      <c r="J35" s="12">
        <f t="shared" si="3"/>
        <v>0</v>
      </c>
      <c r="K35" s="12">
        <f t="shared" si="4"/>
        <v>0</v>
      </c>
      <c r="L35" s="12">
        <f t="shared" si="5"/>
        <v>0</v>
      </c>
      <c r="M35" s="12">
        <f t="shared" si="6"/>
        <v>0</v>
      </c>
      <c r="N35" s="26">
        <f t="shared" si="7"/>
        <v>0</v>
      </c>
      <c r="O35" s="26">
        <f t="shared" si="8"/>
        <v>0</v>
      </c>
      <c r="P35" s="26">
        <f t="shared" si="9"/>
        <v>0</v>
      </c>
      <c r="Q35" s="612">
        <f t="shared" si="10"/>
        <v>13.575000000000001</v>
      </c>
      <c r="R35" s="26">
        <f t="shared" si="11"/>
        <v>57.5</v>
      </c>
      <c r="S35" s="26">
        <f t="shared" si="12"/>
        <v>0</v>
      </c>
      <c r="T35" s="26">
        <f t="shared" si="13"/>
        <v>5.16</v>
      </c>
      <c r="U35" s="26">
        <f t="shared" si="14"/>
        <v>13</v>
      </c>
      <c r="V35" s="26">
        <f t="shared" si="15"/>
        <v>7.9337499999999999</v>
      </c>
      <c r="W35" s="20">
        <f t="shared" si="16"/>
        <v>39.668750000000003</v>
      </c>
      <c r="X35" s="20">
        <f t="shared" si="17"/>
        <v>57.5</v>
      </c>
      <c r="Y35" s="86">
        <f t="shared" si="18"/>
        <v>97.168750000000003</v>
      </c>
      <c r="Z35" s="15"/>
      <c r="AA35" s="23"/>
    </row>
    <row r="36" spans="2:27">
      <c r="B36" s="14">
        <f t="shared" si="19"/>
        <v>33</v>
      </c>
      <c r="C36" s="37" t="s">
        <v>625</v>
      </c>
      <c r="D36" s="38">
        <v>90</v>
      </c>
      <c r="E36" s="37">
        <v>7</v>
      </c>
      <c r="F36" s="37"/>
      <c r="G36" s="41">
        <f t="shared" ref="G36:G67" si="20">IF(D36="","",+$G$2*D36)</f>
        <v>7.5</v>
      </c>
      <c r="H36" s="615">
        <f t="shared" si="1"/>
        <v>0</v>
      </c>
      <c r="I36" s="615">
        <f t="shared" si="2"/>
        <v>0</v>
      </c>
      <c r="J36" s="12">
        <f t="shared" si="3"/>
        <v>0</v>
      </c>
      <c r="K36" s="12">
        <f t="shared" si="4"/>
        <v>0</v>
      </c>
      <c r="L36" s="12">
        <f t="shared" si="5"/>
        <v>0</v>
      </c>
      <c r="M36" s="12">
        <f t="shared" si="6"/>
        <v>0</v>
      </c>
      <c r="N36" s="26">
        <f t="shared" si="7"/>
        <v>0</v>
      </c>
      <c r="O36" s="26">
        <f t="shared" si="8"/>
        <v>0</v>
      </c>
      <c r="P36" s="26">
        <f t="shared" si="9"/>
        <v>0</v>
      </c>
      <c r="Q36" s="612">
        <f t="shared" si="10"/>
        <v>13.575000000000001</v>
      </c>
      <c r="R36" s="26">
        <f t="shared" si="11"/>
        <v>57.5</v>
      </c>
      <c r="S36" s="26">
        <f t="shared" si="12"/>
        <v>0</v>
      </c>
      <c r="T36" s="26">
        <f t="shared" si="13"/>
        <v>5.16</v>
      </c>
      <c r="U36" s="26">
        <f t="shared" si="14"/>
        <v>13</v>
      </c>
      <c r="V36" s="26">
        <f t="shared" si="15"/>
        <v>7.9337499999999999</v>
      </c>
      <c r="W36" s="20">
        <f t="shared" si="16"/>
        <v>39.668750000000003</v>
      </c>
      <c r="X36" s="20">
        <f t="shared" si="17"/>
        <v>57.5</v>
      </c>
      <c r="Y36" s="86">
        <f t="shared" si="18"/>
        <v>97.168750000000003</v>
      </c>
      <c r="Z36" s="15"/>
      <c r="AA36" s="23"/>
    </row>
    <row r="37" spans="2:27">
      <c r="B37" s="14">
        <f t="shared" si="19"/>
        <v>34</v>
      </c>
      <c r="C37" s="37" t="s">
        <v>625</v>
      </c>
      <c r="D37" s="38">
        <v>90</v>
      </c>
      <c r="E37" s="37">
        <v>7</v>
      </c>
      <c r="F37" s="37"/>
      <c r="G37" s="41">
        <f t="shared" si="20"/>
        <v>7.5</v>
      </c>
      <c r="H37" s="615">
        <f t="shared" si="1"/>
        <v>0</v>
      </c>
      <c r="I37" s="615">
        <f t="shared" si="2"/>
        <v>0</v>
      </c>
      <c r="J37" s="12">
        <f t="shared" si="3"/>
        <v>0</v>
      </c>
      <c r="K37" s="12">
        <f t="shared" si="4"/>
        <v>0</v>
      </c>
      <c r="L37" s="12">
        <f t="shared" si="5"/>
        <v>0</v>
      </c>
      <c r="M37" s="12">
        <f t="shared" si="6"/>
        <v>0</v>
      </c>
      <c r="N37" s="26">
        <f t="shared" si="7"/>
        <v>0</v>
      </c>
      <c r="O37" s="26">
        <f t="shared" si="8"/>
        <v>0</v>
      </c>
      <c r="P37" s="26">
        <f t="shared" si="9"/>
        <v>0</v>
      </c>
      <c r="Q37" s="612">
        <f t="shared" si="10"/>
        <v>13.575000000000001</v>
      </c>
      <c r="R37" s="26">
        <f t="shared" si="11"/>
        <v>57.5</v>
      </c>
      <c r="S37" s="26">
        <f t="shared" si="12"/>
        <v>0</v>
      </c>
      <c r="T37" s="26">
        <f t="shared" si="13"/>
        <v>5.16</v>
      </c>
      <c r="U37" s="26">
        <f t="shared" si="14"/>
        <v>13</v>
      </c>
      <c r="V37" s="26">
        <f t="shared" si="15"/>
        <v>7.9337499999999999</v>
      </c>
      <c r="W37" s="20">
        <f t="shared" si="16"/>
        <v>39.668750000000003</v>
      </c>
      <c r="X37" s="20">
        <f t="shared" si="17"/>
        <v>57.5</v>
      </c>
      <c r="Y37" s="86">
        <f t="shared" si="18"/>
        <v>97.168750000000003</v>
      </c>
      <c r="Z37" s="15"/>
      <c r="AA37" s="23"/>
    </row>
    <row r="38" spans="2:27">
      <c r="B38" s="14">
        <f t="shared" si="19"/>
        <v>35</v>
      </c>
      <c r="C38" s="37" t="s">
        <v>625</v>
      </c>
      <c r="D38" s="38">
        <v>90</v>
      </c>
      <c r="E38" s="37">
        <v>7</v>
      </c>
      <c r="F38" s="37"/>
      <c r="G38" s="41">
        <f t="shared" si="20"/>
        <v>7.5</v>
      </c>
      <c r="H38" s="615">
        <f t="shared" si="1"/>
        <v>0</v>
      </c>
      <c r="I38" s="615">
        <f t="shared" si="2"/>
        <v>0</v>
      </c>
      <c r="J38" s="12">
        <f t="shared" si="3"/>
        <v>0</v>
      </c>
      <c r="K38" s="12">
        <f t="shared" si="4"/>
        <v>0</v>
      </c>
      <c r="L38" s="12">
        <f t="shared" si="5"/>
        <v>0</v>
      </c>
      <c r="M38" s="12">
        <f t="shared" si="6"/>
        <v>0</v>
      </c>
      <c r="N38" s="26">
        <f t="shared" si="7"/>
        <v>0</v>
      </c>
      <c r="O38" s="26">
        <f t="shared" si="8"/>
        <v>0</v>
      </c>
      <c r="P38" s="26">
        <f t="shared" si="9"/>
        <v>0</v>
      </c>
      <c r="Q38" s="612">
        <f t="shared" si="10"/>
        <v>13.575000000000001</v>
      </c>
      <c r="R38" s="26">
        <f t="shared" si="11"/>
        <v>57.5</v>
      </c>
      <c r="S38" s="26">
        <f t="shared" si="12"/>
        <v>0</v>
      </c>
      <c r="T38" s="26">
        <f t="shared" si="13"/>
        <v>5.16</v>
      </c>
      <c r="U38" s="26">
        <f t="shared" si="14"/>
        <v>13</v>
      </c>
      <c r="V38" s="26">
        <f t="shared" si="15"/>
        <v>7.9337499999999999</v>
      </c>
      <c r="W38" s="20">
        <f t="shared" si="16"/>
        <v>39.668750000000003</v>
      </c>
      <c r="X38" s="20">
        <f t="shared" si="17"/>
        <v>57.5</v>
      </c>
      <c r="Y38" s="86">
        <f t="shared" si="18"/>
        <v>97.168750000000003</v>
      </c>
      <c r="Z38" s="15"/>
      <c r="AA38" s="23"/>
    </row>
    <row r="39" spans="2:27">
      <c r="B39" s="14">
        <f t="shared" si="19"/>
        <v>36</v>
      </c>
      <c r="C39" s="37" t="s">
        <v>625</v>
      </c>
      <c r="D39" s="38">
        <v>90</v>
      </c>
      <c r="E39" s="37">
        <v>7</v>
      </c>
      <c r="F39" s="37"/>
      <c r="G39" s="41">
        <f t="shared" si="20"/>
        <v>7.5</v>
      </c>
      <c r="H39" s="615">
        <f t="shared" si="1"/>
        <v>0</v>
      </c>
      <c r="I39" s="615">
        <f t="shared" si="2"/>
        <v>0</v>
      </c>
      <c r="J39" s="12">
        <f t="shared" si="3"/>
        <v>0</v>
      </c>
      <c r="K39" s="12">
        <f t="shared" si="4"/>
        <v>0</v>
      </c>
      <c r="L39" s="12">
        <f t="shared" si="5"/>
        <v>0</v>
      </c>
      <c r="M39" s="12">
        <f t="shared" si="6"/>
        <v>0</v>
      </c>
      <c r="N39" s="26">
        <f t="shared" si="7"/>
        <v>0</v>
      </c>
      <c r="O39" s="26">
        <f t="shared" si="8"/>
        <v>0</v>
      </c>
      <c r="P39" s="26">
        <f t="shared" si="9"/>
        <v>0</v>
      </c>
      <c r="Q39" s="612">
        <f t="shared" si="10"/>
        <v>13.575000000000001</v>
      </c>
      <c r="R39" s="26">
        <f t="shared" si="11"/>
        <v>57.5</v>
      </c>
      <c r="S39" s="26">
        <f t="shared" si="12"/>
        <v>0</v>
      </c>
      <c r="T39" s="26">
        <f t="shared" si="13"/>
        <v>5.16</v>
      </c>
      <c r="U39" s="26">
        <f t="shared" si="14"/>
        <v>13</v>
      </c>
      <c r="V39" s="26">
        <f t="shared" si="15"/>
        <v>7.9337499999999999</v>
      </c>
      <c r="W39" s="20">
        <f t="shared" si="16"/>
        <v>39.668750000000003</v>
      </c>
      <c r="X39" s="20">
        <f t="shared" si="17"/>
        <v>57.5</v>
      </c>
      <c r="Y39" s="86">
        <f t="shared" si="18"/>
        <v>97.168750000000003</v>
      </c>
      <c r="Z39" s="15"/>
      <c r="AA39" s="23"/>
    </row>
    <row r="40" spans="2:27">
      <c r="B40" s="14">
        <f t="shared" si="19"/>
        <v>37</v>
      </c>
      <c r="C40" s="37" t="s">
        <v>625</v>
      </c>
      <c r="D40" s="38">
        <v>340</v>
      </c>
      <c r="E40" s="37">
        <v>5</v>
      </c>
      <c r="F40" s="37"/>
      <c r="G40" s="41">
        <f t="shared" si="20"/>
        <v>28.333333333333332</v>
      </c>
      <c r="H40" s="615">
        <f t="shared" si="1"/>
        <v>0</v>
      </c>
      <c r="I40" s="615">
        <f t="shared" si="2"/>
        <v>0</v>
      </c>
      <c r="J40" s="12">
        <f t="shared" si="3"/>
        <v>0</v>
      </c>
      <c r="K40" s="12">
        <f t="shared" si="4"/>
        <v>0</v>
      </c>
      <c r="L40" s="12">
        <f t="shared" si="5"/>
        <v>0</v>
      </c>
      <c r="M40" s="12">
        <f t="shared" si="6"/>
        <v>0</v>
      </c>
      <c r="N40" s="26">
        <f t="shared" si="7"/>
        <v>0</v>
      </c>
      <c r="O40" s="26">
        <f t="shared" si="8"/>
        <v>0</v>
      </c>
      <c r="P40" s="26">
        <f t="shared" si="9"/>
        <v>0</v>
      </c>
      <c r="Q40" s="612">
        <f t="shared" si="10"/>
        <v>39.666666666666664</v>
      </c>
      <c r="R40" s="26">
        <f t="shared" si="11"/>
        <v>153.33333333333334</v>
      </c>
      <c r="S40" s="26">
        <f t="shared" si="12"/>
        <v>0</v>
      </c>
      <c r="T40" s="26">
        <f t="shared" si="13"/>
        <v>3.9</v>
      </c>
      <c r="U40" s="26">
        <f t="shared" si="14"/>
        <v>12.25</v>
      </c>
      <c r="V40" s="26">
        <f t="shared" si="15"/>
        <v>13.954166666666666</v>
      </c>
      <c r="W40" s="20">
        <f t="shared" si="16"/>
        <v>69.770833333333329</v>
      </c>
      <c r="X40" s="20">
        <f t="shared" si="17"/>
        <v>153.33333333333334</v>
      </c>
      <c r="Y40" s="86">
        <f t="shared" si="18"/>
        <v>223.10416666666669</v>
      </c>
      <c r="Z40" s="15"/>
      <c r="AA40" s="23"/>
    </row>
    <row r="41" spans="2:27">
      <c r="B41" s="14">
        <f t="shared" si="19"/>
        <v>38</v>
      </c>
      <c r="C41" s="37" t="s">
        <v>625</v>
      </c>
      <c r="D41" s="38">
        <v>160</v>
      </c>
      <c r="E41" s="37" t="s">
        <v>1323</v>
      </c>
      <c r="F41" s="37"/>
      <c r="G41" s="41">
        <f t="shared" si="20"/>
        <v>13.333333333333332</v>
      </c>
      <c r="H41" s="615">
        <f t="shared" si="1"/>
        <v>20</v>
      </c>
      <c r="I41" s="615">
        <f t="shared" si="2"/>
        <v>16</v>
      </c>
      <c r="J41" s="12">
        <f t="shared" si="3"/>
        <v>6</v>
      </c>
      <c r="K41" s="12">
        <f t="shared" si="4"/>
        <v>80</v>
      </c>
      <c r="L41" s="12">
        <f t="shared" si="5"/>
        <v>100</v>
      </c>
      <c r="M41" s="12">
        <f t="shared" si="6"/>
        <v>2.5</v>
      </c>
      <c r="N41" s="26">
        <f t="shared" si="7"/>
        <v>125</v>
      </c>
      <c r="O41" s="26">
        <f t="shared" si="8"/>
        <v>79.0625</v>
      </c>
      <c r="P41" s="26">
        <f t="shared" si="9"/>
        <v>115</v>
      </c>
      <c r="Q41" s="612">
        <f t="shared" si="10"/>
        <v>0</v>
      </c>
      <c r="R41" s="26">
        <f t="shared" si="11"/>
        <v>0</v>
      </c>
      <c r="S41" s="26">
        <f t="shared" si="12"/>
        <v>0</v>
      </c>
      <c r="T41" s="26">
        <f t="shared" si="13"/>
        <v>0</v>
      </c>
      <c r="U41" s="26">
        <f t="shared" si="14"/>
        <v>0</v>
      </c>
      <c r="V41" s="26">
        <f t="shared" si="15"/>
        <v>31.25</v>
      </c>
      <c r="W41" s="20">
        <f t="shared" si="16"/>
        <v>156.25</v>
      </c>
      <c r="X41" s="20">
        <f t="shared" si="17"/>
        <v>194.0625</v>
      </c>
      <c r="Y41" s="86">
        <f t="shared" si="18"/>
        <v>350.3125</v>
      </c>
      <c r="Z41" s="15"/>
      <c r="AA41" s="23"/>
    </row>
    <row r="42" spans="2:27">
      <c r="B42" s="14">
        <f t="shared" si="19"/>
        <v>39</v>
      </c>
      <c r="C42" s="37" t="s">
        <v>625</v>
      </c>
      <c r="D42" s="38">
        <v>113</v>
      </c>
      <c r="E42" s="37" t="s">
        <v>1244</v>
      </c>
      <c r="F42" s="37"/>
      <c r="G42" s="41">
        <f t="shared" si="20"/>
        <v>9.4166666666666661</v>
      </c>
      <c r="H42" s="615">
        <f t="shared" si="1"/>
        <v>18</v>
      </c>
      <c r="I42" s="615">
        <f t="shared" si="2"/>
        <v>16</v>
      </c>
      <c r="J42" s="12">
        <f t="shared" si="3"/>
        <v>5.666666666666667</v>
      </c>
      <c r="K42" s="12">
        <f t="shared" si="4"/>
        <v>53.361111111111107</v>
      </c>
      <c r="L42" s="12">
        <f t="shared" si="5"/>
        <v>66.701388888888886</v>
      </c>
      <c r="M42" s="12">
        <f t="shared" si="6"/>
        <v>1.6675347222222221</v>
      </c>
      <c r="N42" s="26">
        <f t="shared" si="7"/>
        <v>83.3767361111111</v>
      </c>
      <c r="O42" s="26">
        <f t="shared" si="8"/>
        <v>52.735785590277771</v>
      </c>
      <c r="P42" s="26">
        <f t="shared" si="9"/>
        <v>76.706597222222214</v>
      </c>
      <c r="Q42" s="612">
        <f t="shared" si="10"/>
        <v>0</v>
      </c>
      <c r="R42" s="26">
        <f t="shared" si="11"/>
        <v>0</v>
      </c>
      <c r="S42" s="26">
        <f t="shared" si="12"/>
        <v>0</v>
      </c>
      <c r="T42" s="26">
        <f t="shared" si="13"/>
        <v>0</v>
      </c>
      <c r="U42" s="26">
        <f t="shared" si="14"/>
        <v>0</v>
      </c>
      <c r="V42" s="26">
        <f t="shared" si="15"/>
        <v>20.844184027777775</v>
      </c>
      <c r="W42" s="20">
        <f t="shared" si="16"/>
        <v>104.22092013888887</v>
      </c>
      <c r="X42" s="20">
        <f t="shared" si="17"/>
        <v>129.4423828125</v>
      </c>
      <c r="Y42" s="86">
        <f t="shared" si="18"/>
        <v>233.66330295138886</v>
      </c>
      <c r="Z42" s="15"/>
      <c r="AA42" s="23"/>
    </row>
    <row r="43" spans="2:27">
      <c r="B43" s="14">
        <f t="shared" si="19"/>
        <v>40</v>
      </c>
      <c r="C43" s="37" t="s">
        <v>625</v>
      </c>
      <c r="D43" s="38">
        <v>275</v>
      </c>
      <c r="E43" s="37">
        <v>7</v>
      </c>
      <c r="F43" s="37"/>
      <c r="G43" s="41">
        <f t="shared" si="20"/>
        <v>22.916666666666664</v>
      </c>
      <c r="H43" s="615">
        <f t="shared" si="1"/>
        <v>0</v>
      </c>
      <c r="I43" s="615">
        <f t="shared" si="2"/>
        <v>0</v>
      </c>
      <c r="J43" s="12">
        <f t="shared" si="3"/>
        <v>0</v>
      </c>
      <c r="K43" s="12">
        <f t="shared" si="4"/>
        <v>0</v>
      </c>
      <c r="L43" s="12">
        <f t="shared" si="5"/>
        <v>0</v>
      </c>
      <c r="M43" s="12">
        <f t="shared" si="6"/>
        <v>0</v>
      </c>
      <c r="N43" s="26">
        <f t="shared" si="7"/>
        <v>0</v>
      </c>
      <c r="O43" s="26">
        <f t="shared" si="8"/>
        <v>0</v>
      </c>
      <c r="P43" s="26">
        <f t="shared" si="9"/>
        <v>0</v>
      </c>
      <c r="Q43" s="612">
        <f t="shared" si="10"/>
        <v>41.479166666666664</v>
      </c>
      <c r="R43" s="26">
        <f t="shared" si="11"/>
        <v>128.41666666666666</v>
      </c>
      <c r="S43" s="26">
        <f t="shared" si="12"/>
        <v>0</v>
      </c>
      <c r="T43" s="26">
        <f t="shared" si="13"/>
        <v>5.16</v>
      </c>
      <c r="U43" s="26">
        <f t="shared" si="14"/>
        <v>13</v>
      </c>
      <c r="V43" s="26">
        <f t="shared" si="15"/>
        <v>14.909791666666667</v>
      </c>
      <c r="W43" s="20">
        <f t="shared" si="16"/>
        <v>74.548958333333331</v>
      </c>
      <c r="X43" s="20">
        <f t="shared" si="17"/>
        <v>128.41666666666666</v>
      </c>
      <c r="Y43" s="86">
        <f t="shared" si="18"/>
        <v>202.96562499999999</v>
      </c>
      <c r="Z43" s="15"/>
      <c r="AA43" s="23"/>
    </row>
    <row r="44" spans="2:27">
      <c r="B44" s="14">
        <f t="shared" si="19"/>
        <v>41</v>
      </c>
      <c r="C44" s="37" t="s">
        <v>625</v>
      </c>
      <c r="D44" s="38">
        <v>275</v>
      </c>
      <c r="E44" s="37">
        <v>7</v>
      </c>
      <c r="F44" s="37"/>
      <c r="G44" s="41">
        <f t="shared" si="20"/>
        <v>22.916666666666664</v>
      </c>
      <c r="H44" s="615">
        <f t="shared" si="1"/>
        <v>0</v>
      </c>
      <c r="I44" s="615">
        <f t="shared" si="2"/>
        <v>0</v>
      </c>
      <c r="J44" s="12">
        <f t="shared" si="3"/>
        <v>0</v>
      </c>
      <c r="K44" s="12">
        <f t="shared" si="4"/>
        <v>0</v>
      </c>
      <c r="L44" s="12">
        <f t="shared" si="5"/>
        <v>0</v>
      </c>
      <c r="M44" s="12">
        <f t="shared" si="6"/>
        <v>0</v>
      </c>
      <c r="N44" s="26">
        <f t="shared" si="7"/>
        <v>0</v>
      </c>
      <c r="O44" s="26">
        <f t="shared" si="8"/>
        <v>0</v>
      </c>
      <c r="P44" s="26">
        <f t="shared" si="9"/>
        <v>0</v>
      </c>
      <c r="Q44" s="612">
        <f t="shared" si="10"/>
        <v>41.479166666666664</v>
      </c>
      <c r="R44" s="26">
        <f t="shared" si="11"/>
        <v>128.41666666666666</v>
      </c>
      <c r="S44" s="26">
        <f t="shared" si="12"/>
        <v>0</v>
      </c>
      <c r="T44" s="26">
        <f t="shared" si="13"/>
        <v>5.16</v>
      </c>
      <c r="U44" s="26">
        <f t="shared" si="14"/>
        <v>13</v>
      </c>
      <c r="V44" s="26">
        <f t="shared" si="15"/>
        <v>14.909791666666667</v>
      </c>
      <c r="W44" s="20">
        <f t="shared" si="16"/>
        <v>74.548958333333331</v>
      </c>
      <c r="X44" s="20">
        <f t="shared" si="17"/>
        <v>128.41666666666666</v>
      </c>
      <c r="Y44" s="86">
        <f t="shared" si="18"/>
        <v>202.96562499999999</v>
      </c>
      <c r="Z44" s="15"/>
      <c r="AA44" s="23"/>
    </row>
    <row r="45" spans="2:27">
      <c r="B45" s="14">
        <f t="shared" si="19"/>
        <v>42</v>
      </c>
      <c r="C45" s="37" t="s">
        <v>625</v>
      </c>
      <c r="D45" s="38">
        <v>275</v>
      </c>
      <c r="E45" s="37">
        <v>7</v>
      </c>
      <c r="F45" s="37"/>
      <c r="G45" s="41">
        <f t="shared" si="20"/>
        <v>22.916666666666664</v>
      </c>
      <c r="H45" s="615">
        <f t="shared" si="1"/>
        <v>0</v>
      </c>
      <c r="I45" s="615">
        <f t="shared" si="2"/>
        <v>0</v>
      </c>
      <c r="J45" s="12">
        <f t="shared" si="3"/>
        <v>0</v>
      </c>
      <c r="K45" s="12">
        <f t="shared" si="4"/>
        <v>0</v>
      </c>
      <c r="L45" s="12">
        <f t="shared" si="5"/>
        <v>0</v>
      </c>
      <c r="M45" s="12">
        <f t="shared" si="6"/>
        <v>0</v>
      </c>
      <c r="N45" s="26">
        <f t="shared" si="7"/>
        <v>0</v>
      </c>
      <c r="O45" s="26">
        <f t="shared" si="8"/>
        <v>0</v>
      </c>
      <c r="P45" s="26">
        <f t="shared" si="9"/>
        <v>0</v>
      </c>
      <c r="Q45" s="612">
        <f t="shared" si="10"/>
        <v>41.479166666666664</v>
      </c>
      <c r="R45" s="26">
        <f t="shared" si="11"/>
        <v>128.41666666666666</v>
      </c>
      <c r="S45" s="26">
        <f t="shared" si="12"/>
        <v>0</v>
      </c>
      <c r="T45" s="26">
        <f t="shared" si="13"/>
        <v>5.16</v>
      </c>
      <c r="U45" s="26">
        <f t="shared" si="14"/>
        <v>13</v>
      </c>
      <c r="V45" s="26">
        <f t="shared" si="15"/>
        <v>14.909791666666667</v>
      </c>
      <c r="W45" s="20">
        <f t="shared" si="16"/>
        <v>74.548958333333331</v>
      </c>
      <c r="X45" s="20">
        <f t="shared" si="17"/>
        <v>128.41666666666666</v>
      </c>
      <c r="Y45" s="86">
        <f t="shared" si="18"/>
        <v>202.96562499999999</v>
      </c>
      <c r="Z45" s="15"/>
      <c r="AA45" s="23"/>
    </row>
    <row r="46" spans="2:27">
      <c r="B46" s="14">
        <f t="shared" si="19"/>
        <v>43</v>
      </c>
      <c r="C46" s="37" t="s">
        <v>625</v>
      </c>
      <c r="D46" s="38">
        <v>275</v>
      </c>
      <c r="E46" s="37">
        <v>7</v>
      </c>
      <c r="F46" s="37"/>
      <c r="G46" s="41">
        <f t="shared" si="20"/>
        <v>22.916666666666664</v>
      </c>
      <c r="H46" s="615">
        <f t="shared" si="1"/>
        <v>0</v>
      </c>
      <c r="I46" s="615">
        <f t="shared" si="2"/>
        <v>0</v>
      </c>
      <c r="J46" s="12">
        <f t="shared" si="3"/>
        <v>0</v>
      </c>
      <c r="K46" s="12">
        <f t="shared" si="4"/>
        <v>0</v>
      </c>
      <c r="L46" s="12">
        <f t="shared" si="5"/>
        <v>0</v>
      </c>
      <c r="M46" s="12">
        <f t="shared" si="6"/>
        <v>0</v>
      </c>
      <c r="N46" s="26">
        <f t="shared" si="7"/>
        <v>0</v>
      </c>
      <c r="O46" s="26">
        <f t="shared" si="8"/>
        <v>0</v>
      </c>
      <c r="P46" s="26">
        <f t="shared" si="9"/>
        <v>0</v>
      </c>
      <c r="Q46" s="612">
        <f t="shared" si="10"/>
        <v>41.479166666666664</v>
      </c>
      <c r="R46" s="26">
        <f t="shared" si="11"/>
        <v>128.41666666666666</v>
      </c>
      <c r="S46" s="26">
        <f t="shared" si="12"/>
        <v>0</v>
      </c>
      <c r="T46" s="26">
        <f t="shared" si="13"/>
        <v>5.16</v>
      </c>
      <c r="U46" s="26">
        <f t="shared" si="14"/>
        <v>13</v>
      </c>
      <c r="V46" s="26">
        <f t="shared" si="15"/>
        <v>14.909791666666667</v>
      </c>
      <c r="W46" s="20">
        <f t="shared" si="16"/>
        <v>74.548958333333331</v>
      </c>
      <c r="X46" s="20">
        <f t="shared" si="17"/>
        <v>128.41666666666666</v>
      </c>
      <c r="Y46" s="86">
        <f t="shared" si="18"/>
        <v>202.96562499999999</v>
      </c>
      <c r="Z46" s="15"/>
      <c r="AA46" s="23"/>
    </row>
    <row r="47" spans="2:27">
      <c r="B47" s="14">
        <f t="shared" si="19"/>
        <v>44</v>
      </c>
      <c r="C47" s="37" t="s">
        <v>625</v>
      </c>
      <c r="D47" s="38">
        <v>275</v>
      </c>
      <c r="E47" s="37">
        <v>7</v>
      </c>
      <c r="F47" s="37"/>
      <c r="G47" s="41">
        <f t="shared" si="20"/>
        <v>22.916666666666664</v>
      </c>
      <c r="H47" s="615">
        <f t="shared" si="1"/>
        <v>0</v>
      </c>
      <c r="I47" s="615">
        <f t="shared" si="2"/>
        <v>0</v>
      </c>
      <c r="J47" s="12">
        <f t="shared" si="3"/>
        <v>0</v>
      </c>
      <c r="K47" s="12">
        <f t="shared" si="4"/>
        <v>0</v>
      </c>
      <c r="L47" s="12">
        <f t="shared" si="5"/>
        <v>0</v>
      </c>
      <c r="M47" s="12">
        <f t="shared" si="6"/>
        <v>0</v>
      </c>
      <c r="N47" s="26">
        <f t="shared" si="7"/>
        <v>0</v>
      </c>
      <c r="O47" s="26">
        <f t="shared" si="8"/>
        <v>0</v>
      </c>
      <c r="P47" s="26">
        <f t="shared" si="9"/>
        <v>0</v>
      </c>
      <c r="Q47" s="612">
        <f t="shared" si="10"/>
        <v>41.479166666666664</v>
      </c>
      <c r="R47" s="26">
        <f t="shared" si="11"/>
        <v>128.41666666666666</v>
      </c>
      <c r="S47" s="26">
        <f t="shared" si="12"/>
        <v>0</v>
      </c>
      <c r="T47" s="26">
        <f t="shared" si="13"/>
        <v>5.16</v>
      </c>
      <c r="U47" s="26">
        <f t="shared" si="14"/>
        <v>13</v>
      </c>
      <c r="V47" s="26">
        <f t="shared" si="15"/>
        <v>14.909791666666667</v>
      </c>
      <c r="W47" s="20">
        <f t="shared" si="16"/>
        <v>74.548958333333331</v>
      </c>
      <c r="X47" s="20">
        <f t="shared" si="17"/>
        <v>128.41666666666666</v>
      </c>
      <c r="Y47" s="86">
        <f t="shared" si="18"/>
        <v>202.96562499999999</v>
      </c>
      <c r="Z47" s="15"/>
      <c r="AA47" s="23"/>
    </row>
    <row r="48" spans="2:27">
      <c r="B48" s="14">
        <f t="shared" si="19"/>
        <v>45</v>
      </c>
      <c r="C48" s="37" t="s">
        <v>625</v>
      </c>
      <c r="D48" s="38">
        <v>48</v>
      </c>
      <c r="E48" s="37">
        <v>6</v>
      </c>
      <c r="F48" s="37"/>
      <c r="G48" s="41">
        <f t="shared" si="20"/>
        <v>4</v>
      </c>
      <c r="H48" s="615">
        <f t="shared" si="1"/>
        <v>0</v>
      </c>
      <c r="I48" s="615">
        <f t="shared" si="2"/>
        <v>0</v>
      </c>
      <c r="J48" s="12">
        <f t="shared" si="3"/>
        <v>0</v>
      </c>
      <c r="K48" s="12">
        <f t="shared" si="4"/>
        <v>0</v>
      </c>
      <c r="L48" s="12">
        <f t="shared" si="5"/>
        <v>0</v>
      </c>
      <c r="M48" s="12">
        <f t="shared" si="6"/>
        <v>0</v>
      </c>
      <c r="N48" s="26">
        <f t="shared" si="7"/>
        <v>0</v>
      </c>
      <c r="O48" s="26">
        <f t="shared" si="8"/>
        <v>0</v>
      </c>
      <c r="P48" s="26">
        <f t="shared" si="9"/>
        <v>0</v>
      </c>
      <c r="Q48" s="612">
        <f t="shared" si="10"/>
        <v>5.6</v>
      </c>
      <c r="R48" s="26">
        <f t="shared" si="11"/>
        <v>41.4</v>
      </c>
      <c r="S48" s="26">
        <f t="shared" si="12"/>
        <v>0</v>
      </c>
      <c r="T48" s="26">
        <f t="shared" si="13"/>
        <v>4.3</v>
      </c>
      <c r="U48" s="26">
        <f t="shared" si="14"/>
        <v>12.75</v>
      </c>
      <c r="V48" s="26">
        <f t="shared" si="15"/>
        <v>5.6624999999999996</v>
      </c>
      <c r="W48" s="20">
        <f t="shared" si="16"/>
        <v>28.3125</v>
      </c>
      <c r="X48" s="20">
        <f t="shared" si="17"/>
        <v>41.4</v>
      </c>
      <c r="Y48" s="86">
        <f t="shared" si="18"/>
        <v>69.712500000000006</v>
      </c>
      <c r="Z48" s="15"/>
      <c r="AA48" s="23"/>
    </row>
    <row r="49" spans="2:27">
      <c r="B49" s="14">
        <f t="shared" si="19"/>
        <v>46</v>
      </c>
      <c r="C49" s="37" t="s">
        <v>625</v>
      </c>
      <c r="D49" s="38">
        <v>48</v>
      </c>
      <c r="E49" s="37">
        <v>6</v>
      </c>
      <c r="F49" s="37"/>
      <c r="G49" s="41">
        <f t="shared" si="20"/>
        <v>4</v>
      </c>
      <c r="H49" s="615">
        <f t="shared" si="1"/>
        <v>0</v>
      </c>
      <c r="I49" s="615">
        <f t="shared" si="2"/>
        <v>0</v>
      </c>
      <c r="J49" s="12">
        <f t="shared" si="3"/>
        <v>0</v>
      </c>
      <c r="K49" s="12">
        <f t="shared" si="4"/>
        <v>0</v>
      </c>
      <c r="L49" s="12">
        <f t="shared" si="5"/>
        <v>0</v>
      </c>
      <c r="M49" s="12">
        <f t="shared" si="6"/>
        <v>0</v>
      </c>
      <c r="N49" s="26">
        <f t="shared" si="7"/>
        <v>0</v>
      </c>
      <c r="O49" s="26">
        <f t="shared" si="8"/>
        <v>0</v>
      </c>
      <c r="P49" s="26">
        <f t="shared" si="9"/>
        <v>0</v>
      </c>
      <c r="Q49" s="612">
        <f t="shared" si="10"/>
        <v>5.6</v>
      </c>
      <c r="R49" s="26">
        <f t="shared" si="11"/>
        <v>41.4</v>
      </c>
      <c r="S49" s="26">
        <f t="shared" si="12"/>
        <v>0</v>
      </c>
      <c r="T49" s="26">
        <f t="shared" si="13"/>
        <v>4.3</v>
      </c>
      <c r="U49" s="26">
        <f t="shared" si="14"/>
        <v>12.75</v>
      </c>
      <c r="V49" s="26">
        <f t="shared" si="15"/>
        <v>5.6624999999999996</v>
      </c>
      <c r="W49" s="20">
        <f t="shared" si="16"/>
        <v>28.3125</v>
      </c>
      <c r="X49" s="20">
        <f t="shared" si="17"/>
        <v>41.4</v>
      </c>
      <c r="Y49" s="86">
        <f t="shared" si="18"/>
        <v>69.712500000000006</v>
      </c>
      <c r="Z49" s="15"/>
      <c r="AA49" s="23"/>
    </row>
    <row r="50" spans="2:27">
      <c r="B50" s="14">
        <f t="shared" si="19"/>
        <v>47</v>
      </c>
      <c r="C50" s="37" t="s">
        <v>625</v>
      </c>
      <c r="D50" s="38">
        <v>40</v>
      </c>
      <c r="E50" s="37">
        <v>6</v>
      </c>
      <c r="F50" s="37"/>
      <c r="G50" s="41">
        <f t="shared" si="20"/>
        <v>3.333333333333333</v>
      </c>
      <c r="H50" s="615">
        <f t="shared" si="1"/>
        <v>0</v>
      </c>
      <c r="I50" s="615">
        <f t="shared" si="2"/>
        <v>0</v>
      </c>
      <c r="J50" s="12">
        <f t="shared" si="3"/>
        <v>0</v>
      </c>
      <c r="K50" s="12">
        <f t="shared" si="4"/>
        <v>0</v>
      </c>
      <c r="L50" s="12">
        <f t="shared" si="5"/>
        <v>0</v>
      </c>
      <c r="M50" s="12">
        <f t="shared" si="6"/>
        <v>0</v>
      </c>
      <c r="N50" s="26">
        <f t="shared" si="7"/>
        <v>0</v>
      </c>
      <c r="O50" s="26">
        <f t="shared" si="8"/>
        <v>0</v>
      </c>
      <c r="P50" s="26">
        <f t="shared" si="9"/>
        <v>0</v>
      </c>
      <c r="Q50" s="612">
        <f t="shared" si="10"/>
        <v>4.6666666666666661</v>
      </c>
      <c r="R50" s="26">
        <f t="shared" si="11"/>
        <v>38.333333333333329</v>
      </c>
      <c r="S50" s="26">
        <f t="shared" si="12"/>
        <v>0</v>
      </c>
      <c r="T50" s="26">
        <f t="shared" si="13"/>
        <v>4.3</v>
      </c>
      <c r="U50" s="26">
        <f t="shared" si="14"/>
        <v>12.75</v>
      </c>
      <c r="V50" s="26">
        <f t="shared" si="15"/>
        <v>5.4291666666666663</v>
      </c>
      <c r="W50" s="20">
        <f t="shared" si="16"/>
        <v>27.145833333333332</v>
      </c>
      <c r="X50" s="20">
        <f t="shared" si="17"/>
        <v>38.333333333333329</v>
      </c>
      <c r="Y50" s="86">
        <f t="shared" si="18"/>
        <v>65.479166666666657</v>
      </c>
      <c r="Z50" s="15"/>
      <c r="AA50" s="23"/>
    </row>
    <row r="51" spans="2:27">
      <c r="B51" s="14">
        <f t="shared" si="19"/>
        <v>48</v>
      </c>
      <c r="C51" s="37" t="s">
        <v>625</v>
      </c>
      <c r="D51" s="38">
        <v>40</v>
      </c>
      <c r="E51" s="37">
        <v>6</v>
      </c>
      <c r="F51" s="37"/>
      <c r="G51" s="41">
        <f t="shared" si="20"/>
        <v>3.333333333333333</v>
      </c>
      <c r="H51" s="615">
        <f t="shared" si="1"/>
        <v>0</v>
      </c>
      <c r="I51" s="615">
        <f t="shared" si="2"/>
        <v>0</v>
      </c>
      <c r="J51" s="12">
        <f t="shared" si="3"/>
        <v>0</v>
      </c>
      <c r="K51" s="12">
        <f t="shared" si="4"/>
        <v>0</v>
      </c>
      <c r="L51" s="12">
        <f t="shared" si="5"/>
        <v>0</v>
      </c>
      <c r="M51" s="12">
        <f t="shared" si="6"/>
        <v>0</v>
      </c>
      <c r="N51" s="26">
        <f t="shared" si="7"/>
        <v>0</v>
      </c>
      <c r="O51" s="26">
        <f t="shared" si="8"/>
        <v>0</v>
      </c>
      <c r="P51" s="26">
        <f t="shared" si="9"/>
        <v>0</v>
      </c>
      <c r="Q51" s="612">
        <f t="shared" si="10"/>
        <v>4.6666666666666661</v>
      </c>
      <c r="R51" s="26">
        <f t="shared" si="11"/>
        <v>38.333333333333329</v>
      </c>
      <c r="S51" s="26">
        <f t="shared" si="12"/>
        <v>0</v>
      </c>
      <c r="T51" s="26">
        <f t="shared" si="13"/>
        <v>4.3</v>
      </c>
      <c r="U51" s="26">
        <f t="shared" si="14"/>
        <v>12.75</v>
      </c>
      <c r="V51" s="26">
        <f t="shared" si="15"/>
        <v>5.4291666666666663</v>
      </c>
      <c r="W51" s="20">
        <f t="shared" si="16"/>
        <v>27.145833333333332</v>
      </c>
      <c r="X51" s="20">
        <f t="shared" si="17"/>
        <v>38.333333333333329</v>
      </c>
      <c r="Y51" s="86">
        <f t="shared" si="18"/>
        <v>65.479166666666657</v>
      </c>
      <c r="Z51" s="15"/>
      <c r="AA51" s="23"/>
    </row>
    <row r="52" spans="2:27">
      <c r="B52" s="14">
        <f t="shared" si="19"/>
        <v>49</v>
      </c>
      <c r="C52" s="37" t="s">
        <v>625</v>
      </c>
      <c r="D52" s="38">
        <v>280</v>
      </c>
      <c r="E52" s="37">
        <v>5</v>
      </c>
      <c r="F52" s="37"/>
      <c r="G52" s="41">
        <f t="shared" si="20"/>
        <v>23.333333333333332</v>
      </c>
      <c r="H52" s="615">
        <f t="shared" si="1"/>
        <v>0</v>
      </c>
      <c r="I52" s="615">
        <f t="shared" si="2"/>
        <v>0</v>
      </c>
      <c r="J52" s="12">
        <f t="shared" si="3"/>
        <v>0</v>
      </c>
      <c r="K52" s="12">
        <f t="shared" si="4"/>
        <v>0</v>
      </c>
      <c r="L52" s="12">
        <f t="shared" si="5"/>
        <v>0</v>
      </c>
      <c r="M52" s="12">
        <f t="shared" si="6"/>
        <v>0</v>
      </c>
      <c r="N52" s="26">
        <f t="shared" si="7"/>
        <v>0</v>
      </c>
      <c r="O52" s="26">
        <f t="shared" si="8"/>
        <v>0</v>
      </c>
      <c r="P52" s="26">
        <f t="shared" si="9"/>
        <v>0</v>
      </c>
      <c r="Q52" s="612">
        <f t="shared" si="10"/>
        <v>32.666666666666664</v>
      </c>
      <c r="R52" s="26">
        <f t="shared" si="11"/>
        <v>130.33333333333334</v>
      </c>
      <c r="S52" s="26">
        <f t="shared" si="12"/>
        <v>0</v>
      </c>
      <c r="T52" s="26">
        <f t="shared" si="13"/>
        <v>3.9</v>
      </c>
      <c r="U52" s="26">
        <f t="shared" si="14"/>
        <v>12.25</v>
      </c>
      <c r="V52" s="26">
        <f t="shared" si="15"/>
        <v>12.204166666666666</v>
      </c>
      <c r="W52" s="20">
        <f t="shared" si="16"/>
        <v>61.020833333333329</v>
      </c>
      <c r="X52" s="20">
        <f t="shared" si="17"/>
        <v>130.33333333333334</v>
      </c>
      <c r="Y52" s="86">
        <f t="shared" si="18"/>
        <v>191.35416666666669</v>
      </c>
      <c r="Z52" s="15"/>
      <c r="AA52" s="23"/>
    </row>
    <row r="53" spans="2:27">
      <c r="B53" s="14">
        <f t="shared" si="19"/>
        <v>50</v>
      </c>
      <c r="C53" s="37" t="s">
        <v>625</v>
      </c>
      <c r="D53" s="38">
        <v>240</v>
      </c>
      <c r="E53" s="37" t="s">
        <v>1324</v>
      </c>
      <c r="F53" s="37"/>
      <c r="G53" s="41">
        <f t="shared" si="20"/>
        <v>20</v>
      </c>
      <c r="H53" s="615">
        <f t="shared" si="1"/>
        <v>16</v>
      </c>
      <c r="I53" s="615">
        <f t="shared" si="2"/>
        <v>12</v>
      </c>
      <c r="J53" s="12">
        <f t="shared" si="3"/>
        <v>4.666666666666667</v>
      </c>
      <c r="K53" s="12">
        <f t="shared" si="4"/>
        <v>93.333333333333343</v>
      </c>
      <c r="L53" s="12">
        <f t="shared" si="5"/>
        <v>116.66666666666669</v>
      </c>
      <c r="M53" s="12">
        <f t="shared" si="6"/>
        <v>2.916666666666667</v>
      </c>
      <c r="N53" s="26">
        <f t="shared" si="7"/>
        <v>145.83333333333334</v>
      </c>
      <c r="O53" s="26">
        <f t="shared" si="8"/>
        <v>92.239583333333343</v>
      </c>
      <c r="P53" s="26">
        <f t="shared" si="9"/>
        <v>134.16666666666669</v>
      </c>
      <c r="Q53" s="612">
        <f t="shared" si="10"/>
        <v>0</v>
      </c>
      <c r="R53" s="26">
        <f t="shared" si="11"/>
        <v>0</v>
      </c>
      <c r="S53" s="26">
        <f t="shared" si="12"/>
        <v>0</v>
      </c>
      <c r="T53" s="26">
        <f t="shared" si="13"/>
        <v>0</v>
      </c>
      <c r="U53" s="26">
        <f t="shared" si="14"/>
        <v>0</v>
      </c>
      <c r="V53" s="26">
        <f t="shared" si="15"/>
        <v>36.458333333333336</v>
      </c>
      <c r="W53" s="20">
        <f t="shared" si="16"/>
        <v>182.29166666666669</v>
      </c>
      <c r="X53" s="20">
        <f t="shared" si="17"/>
        <v>226.40625000000003</v>
      </c>
      <c r="Y53" s="86">
        <f t="shared" si="18"/>
        <v>408.69791666666674</v>
      </c>
      <c r="Z53" s="15"/>
      <c r="AA53" s="23"/>
    </row>
    <row r="54" spans="2:27">
      <c r="B54" s="14">
        <f t="shared" si="19"/>
        <v>51</v>
      </c>
      <c r="C54" s="37" t="s">
        <v>625</v>
      </c>
      <c r="D54" s="38">
        <v>260</v>
      </c>
      <c r="E54" s="37">
        <v>6</v>
      </c>
      <c r="F54" s="37"/>
      <c r="G54" s="41">
        <f t="shared" si="20"/>
        <v>21.666666666666664</v>
      </c>
      <c r="H54" s="615">
        <f t="shared" si="1"/>
        <v>0</v>
      </c>
      <c r="I54" s="615">
        <f t="shared" si="2"/>
        <v>0</v>
      </c>
      <c r="J54" s="12">
        <f t="shared" si="3"/>
        <v>0</v>
      </c>
      <c r="K54" s="12">
        <f t="shared" si="4"/>
        <v>0</v>
      </c>
      <c r="L54" s="12">
        <f t="shared" si="5"/>
        <v>0</v>
      </c>
      <c r="M54" s="12">
        <f t="shared" si="6"/>
        <v>0</v>
      </c>
      <c r="N54" s="26">
        <f t="shared" si="7"/>
        <v>0</v>
      </c>
      <c r="O54" s="26">
        <f t="shared" si="8"/>
        <v>0</v>
      </c>
      <c r="P54" s="26">
        <f t="shared" si="9"/>
        <v>0</v>
      </c>
      <c r="Q54" s="612">
        <f t="shared" si="10"/>
        <v>30.333333333333329</v>
      </c>
      <c r="R54" s="26">
        <f t="shared" si="11"/>
        <v>122.66666666666666</v>
      </c>
      <c r="S54" s="26">
        <f t="shared" si="12"/>
        <v>0</v>
      </c>
      <c r="T54" s="26">
        <f t="shared" si="13"/>
        <v>4.3</v>
      </c>
      <c r="U54" s="26">
        <f t="shared" si="14"/>
        <v>12.75</v>
      </c>
      <c r="V54" s="26">
        <f t="shared" si="15"/>
        <v>11.845833333333331</v>
      </c>
      <c r="W54" s="20">
        <f t="shared" si="16"/>
        <v>59.229166666666657</v>
      </c>
      <c r="X54" s="20">
        <f t="shared" si="17"/>
        <v>122.66666666666666</v>
      </c>
      <c r="Y54" s="86">
        <f t="shared" si="18"/>
        <v>181.89583333333331</v>
      </c>
      <c r="Z54" s="15"/>
      <c r="AA54" s="23"/>
    </row>
    <row r="55" spans="2:27">
      <c r="B55" s="14">
        <f t="shared" si="19"/>
        <v>52</v>
      </c>
      <c r="C55" s="37" t="s">
        <v>625</v>
      </c>
      <c r="D55" s="38">
        <v>265</v>
      </c>
      <c r="E55" s="37">
        <v>6</v>
      </c>
      <c r="F55" s="37"/>
      <c r="G55" s="41">
        <f t="shared" si="20"/>
        <v>22.083333333333332</v>
      </c>
      <c r="H55" s="615">
        <f t="shared" si="1"/>
        <v>0</v>
      </c>
      <c r="I55" s="615">
        <f t="shared" si="2"/>
        <v>0</v>
      </c>
      <c r="J55" s="12">
        <f t="shared" si="3"/>
        <v>0</v>
      </c>
      <c r="K55" s="12">
        <f t="shared" si="4"/>
        <v>0</v>
      </c>
      <c r="L55" s="12">
        <f t="shared" si="5"/>
        <v>0</v>
      </c>
      <c r="M55" s="12">
        <f t="shared" si="6"/>
        <v>0</v>
      </c>
      <c r="N55" s="26">
        <f t="shared" si="7"/>
        <v>0</v>
      </c>
      <c r="O55" s="26">
        <f t="shared" si="8"/>
        <v>0</v>
      </c>
      <c r="P55" s="26">
        <f t="shared" si="9"/>
        <v>0</v>
      </c>
      <c r="Q55" s="612">
        <f t="shared" si="10"/>
        <v>30.916666666666664</v>
      </c>
      <c r="R55" s="26">
        <f t="shared" si="11"/>
        <v>124.58333333333334</v>
      </c>
      <c r="S55" s="26">
        <f t="shared" si="12"/>
        <v>0</v>
      </c>
      <c r="T55" s="26">
        <f t="shared" si="13"/>
        <v>4.3</v>
      </c>
      <c r="U55" s="26">
        <f t="shared" si="14"/>
        <v>12.75</v>
      </c>
      <c r="V55" s="26">
        <f t="shared" si="15"/>
        <v>11.991666666666665</v>
      </c>
      <c r="W55" s="20">
        <f t="shared" si="16"/>
        <v>59.958333333333329</v>
      </c>
      <c r="X55" s="20">
        <f t="shared" si="17"/>
        <v>124.58333333333334</v>
      </c>
      <c r="Y55" s="86">
        <f t="shared" si="18"/>
        <v>184.54166666666669</v>
      </c>
      <c r="Z55" s="15"/>
      <c r="AA55" s="23"/>
    </row>
    <row r="56" spans="2:27">
      <c r="B56" s="14">
        <f t="shared" si="19"/>
        <v>53</v>
      </c>
      <c r="C56" s="37" t="s">
        <v>625</v>
      </c>
      <c r="D56" s="38">
        <v>265</v>
      </c>
      <c r="E56" s="37">
        <v>6</v>
      </c>
      <c r="F56" s="37"/>
      <c r="G56" s="41">
        <f t="shared" si="20"/>
        <v>22.083333333333332</v>
      </c>
      <c r="H56" s="615">
        <f t="shared" si="1"/>
        <v>0</v>
      </c>
      <c r="I56" s="615">
        <f t="shared" si="2"/>
        <v>0</v>
      </c>
      <c r="J56" s="12">
        <f t="shared" si="3"/>
        <v>0</v>
      </c>
      <c r="K56" s="12">
        <f t="shared" si="4"/>
        <v>0</v>
      </c>
      <c r="L56" s="12">
        <f t="shared" si="5"/>
        <v>0</v>
      </c>
      <c r="M56" s="12">
        <f t="shared" si="6"/>
        <v>0</v>
      </c>
      <c r="N56" s="26">
        <f t="shared" si="7"/>
        <v>0</v>
      </c>
      <c r="O56" s="26">
        <f t="shared" si="8"/>
        <v>0</v>
      </c>
      <c r="P56" s="26">
        <f t="shared" si="9"/>
        <v>0</v>
      </c>
      <c r="Q56" s="612">
        <f t="shared" si="10"/>
        <v>30.916666666666664</v>
      </c>
      <c r="R56" s="26">
        <f t="shared" si="11"/>
        <v>124.58333333333334</v>
      </c>
      <c r="S56" s="26">
        <f t="shared" si="12"/>
        <v>0</v>
      </c>
      <c r="T56" s="26">
        <f t="shared" si="13"/>
        <v>4.3</v>
      </c>
      <c r="U56" s="26">
        <f t="shared" si="14"/>
        <v>12.75</v>
      </c>
      <c r="V56" s="26">
        <f t="shared" si="15"/>
        <v>11.991666666666665</v>
      </c>
      <c r="W56" s="20">
        <f t="shared" si="16"/>
        <v>59.958333333333329</v>
      </c>
      <c r="X56" s="20">
        <f t="shared" si="17"/>
        <v>124.58333333333334</v>
      </c>
      <c r="Y56" s="86">
        <f t="shared" si="18"/>
        <v>184.54166666666669</v>
      </c>
      <c r="Z56" s="15"/>
      <c r="AA56" s="23"/>
    </row>
    <row r="57" spans="2:27">
      <c r="B57" s="14">
        <f t="shared" si="19"/>
        <v>54</v>
      </c>
      <c r="C57" s="37" t="s">
        <v>625</v>
      </c>
      <c r="D57" s="38">
        <v>265</v>
      </c>
      <c r="E57" s="37">
        <v>6</v>
      </c>
      <c r="F57" s="37"/>
      <c r="G57" s="41">
        <f t="shared" si="20"/>
        <v>22.083333333333332</v>
      </c>
      <c r="H57" s="615">
        <f t="shared" si="1"/>
        <v>0</v>
      </c>
      <c r="I57" s="615">
        <f t="shared" si="2"/>
        <v>0</v>
      </c>
      <c r="J57" s="12">
        <f t="shared" si="3"/>
        <v>0</v>
      </c>
      <c r="K57" s="12">
        <f t="shared" si="4"/>
        <v>0</v>
      </c>
      <c r="L57" s="12">
        <f t="shared" si="5"/>
        <v>0</v>
      </c>
      <c r="M57" s="12">
        <f t="shared" si="6"/>
        <v>0</v>
      </c>
      <c r="N57" s="26">
        <f t="shared" si="7"/>
        <v>0</v>
      </c>
      <c r="O57" s="26">
        <f t="shared" si="8"/>
        <v>0</v>
      </c>
      <c r="P57" s="26">
        <f t="shared" si="9"/>
        <v>0</v>
      </c>
      <c r="Q57" s="612">
        <f t="shared" si="10"/>
        <v>30.916666666666664</v>
      </c>
      <c r="R57" s="26">
        <f t="shared" si="11"/>
        <v>124.58333333333334</v>
      </c>
      <c r="S57" s="26">
        <f t="shared" si="12"/>
        <v>0</v>
      </c>
      <c r="T57" s="26">
        <f t="shared" si="13"/>
        <v>4.3</v>
      </c>
      <c r="U57" s="26">
        <f t="shared" si="14"/>
        <v>12.75</v>
      </c>
      <c r="V57" s="26">
        <f t="shared" si="15"/>
        <v>11.991666666666665</v>
      </c>
      <c r="W57" s="20">
        <f t="shared" si="16"/>
        <v>59.958333333333329</v>
      </c>
      <c r="X57" s="20">
        <f t="shared" si="17"/>
        <v>124.58333333333334</v>
      </c>
      <c r="Y57" s="86">
        <f t="shared" si="18"/>
        <v>184.54166666666669</v>
      </c>
      <c r="Z57" s="15"/>
      <c r="AA57" s="23"/>
    </row>
    <row r="58" spans="2:27">
      <c r="B58" s="14">
        <f t="shared" si="19"/>
        <v>55</v>
      </c>
      <c r="C58" s="37" t="s">
        <v>625</v>
      </c>
      <c r="D58" s="38">
        <v>65</v>
      </c>
      <c r="E58" s="37">
        <v>6</v>
      </c>
      <c r="F58" s="37"/>
      <c r="G58" s="41">
        <f t="shared" si="20"/>
        <v>5.4166666666666661</v>
      </c>
      <c r="H58" s="615">
        <f t="shared" si="1"/>
        <v>0</v>
      </c>
      <c r="I58" s="615">
        <f t="shared" si="2"/>
        <v>0</v>
      </c>
      <c r="J58" s="12">
        <f t="shared" si="3"/>
        <v>0</v>
      </c>
      <c r="K58" s="12">
        <f t="shared" si="4"/>
        <v>0</v>
      </c>
      <c r="L58" s="12">
        <f t="shared" si="5"/>
        <v>0</v>
      </c>
      <c r="M58" s="12">
        <f t="shared" si="6"/>
        <v>0</v>
      </c>
      <c r="N58" s="26">
        <f t="shared" si="7"/>
        <v>0</v>
      </c>
      <c r="O58" s="26">
        <f t="shared" si="8"/>
        <v>0</v>
      </c>
      <c r="P58" s="26">
        <f t="shared" si="9"/>
        <v>0</v>
      </c>
      <c r="Q58" s="612">
        <f t="shared" si="10"/>
        <v>7.5833333333333321</v>
      </c>
      <c r="R58" s="26">
        <f t="shared" si="11"/>
        <v>47.916666666666657</v>
      </c>
      <c r="S58" s="26">
        <f t="shared" si="12"/>
        <v>0</v>
      </c>
      <c r="T58" s="26">
        <f t="shared" si="13"/>
        <v>4.3</v>
      </c>
      <c r="U58" s="26">
        <f t="shared" si="14"/>
        <v>12.75</v>
      </c>
      <c r="V58" s="26">
        <f t="shared" si="15"/>
        <v>6.1583333333333332</v>
      </c>
      <c r="W58" s="20">
        <f t="shared" si="16"/>
        <v>30.791666666666664</v>
      </c>
      <c r="X58" s="20">
        <f t="shared" si="17"/>
        <v>47.916666666666657</v>
      </c>
      <c r="Y58" s="86">
        <f t="shared" si="18"/>
        <v>78.708333333333314</v>
      </c>
      <c r="Z58" s="15"/>
      <c r="AA58" s="23"/>
    </row>
    <row r="59" spans="2:27">
      <c r="B59" s="14">
        <f t="shared" si="19"/>
        <v>56</v>
      </c>
      <c r="C59" s="37" t="s">
        <v>625</v>
      </c>
      <c r="D59" s="38">
        <v>65</v>
      </c>
      <c r="E59" s="37">
        <v>6</v>
      </c>
      <c r="F59" s="37"/>
      <c r="G59" s="41">
        <f t="shared" si="20"/>
        <v>5.4166666666666661</v>
      </c>
      <c r="H59" s="615">
        <f t="shared" si="1"/>
        <v>0</v>
      </c>
      <c r="I59" s="615">
        <f t="shared" si="2"/>
        <v>0</v>
      </c>
      <c r="J59" s="12">
        <f t="shared" si="3"/>
        <v>0</v>
      </c>
      <c r="K59" s="12">
        <f t="shared" si="4"/>
        <v>0</v>
      </c>
      <c r="L59" s="12">
        <f t="shared" si="5"/>
        <v>0</v>
      </c>
      <c r="M59" s="12">
        <f t="shared" si="6"/>
        <v>0</v>
      </c>
      <c r="N59" s="26">
        <f t="shared" si="7"/>
        <v>0</v>
      </c>
      <c r="O59" s="26">
        <f t="shared" si="8"/>
        <v>0</v>
      </c>
      <c r="P59" s="26">
        <f t="shared" si="9"/>
        <v>0</v>
      </c>
      <c r="Q59" s="612">
        <f t="shared" si="10"/>
        <v>7.5833333333333321</v>
      </c>
      <c r="R59" s="26">
        <f t="shared" si="11"/>
        <v>47.916666666666657</v>
      </c>
      <c r="S59" s="26">
        <f t="shared" si="12"/>
        <v>0</v>
      </c>
      <c r="T59" s="26">
        <f t="shared" si="13"/>
        <v>4.3</v>
      </c>
      <c r="U59" s="26">
        <f t="shared" si="14"/>
        <v>12.75</v>
      </c>
      <c r="V59" s="26">
        <f t="shared" si="15"/>
        <v>6.1583333333333332</v>
      </c>
      <c r="W59" s="20">
        <f t="shared" si="16"/>
        <v>30.791666666666664</v>
      </c>
      <c r="X59" s="20">
        <f t="shared" si="17"/>
        <v>47.916666666666657</v>
      </c>
      <c r="Y59" s="86">
        <f t="shared" si="18"/>
        <v>78.708333333333314</v>
      </c>
      <c r="Z59" s="15"/>
      <c r="AA59" s="23"/>
    </row>
    <row r="60" spans="2:27">
      <c r="B60" s="14">
        <f t="shared" si="19"/>
        <v>57</v>
      </c>
      <c r="C60" s="37" t="s">
        <v>625</v>
      </c>
      <c r="D60" s="38">
        <v>65</v>
      </c>
      <c r="E60" s="37">
        <v>6</v>
      </c>
      <c r="F60" s="37"/>
      <c r="G60" s="41">
        <f t="shared" si="20"/>
        <v>5.4166666666666661</v>
      </c>
      <c r="H60" s="615">
        <f t="shared" si="1"/>
        <v>0</v>
      </c>
      <c r="I60" s="615">
        <f t="shared" si="2"/>
        <v>0</v>
      </c>
      <c r="J60" s="12">
        <f t="shared" si="3"/>
        <v>0</v>
      </c>
      <c r="K60" s="12">
        <f t="shared" si="4"/>
        <v>0</v>
      </c>
      <c r="L60" s="12">
        <f t="shared" si="5"/>
        <v>0</v>
      </c>
      <c r="M60" s="12">
        <f t="shared" si="6"/>
        <v>0</v>
      </c>
      <c r="N60" s="26">
        <f t="shared" si="7"/>
        <v>0</v>
      </c>
      <c r="O60" s="26">
        <f t="shared" si="8"/>
        <v>0</v>
      </c>
      <c r="P60" s="26">
        <f t="shared" si="9"/>
        <v>0</v>
      </c>
      <c r="Q60" s="612">
        <f t="shared" si="10"/>
        <v>7.5833333333333321</v>
      </c>
      <c r="R60" s="26">
        <f t="shared" si="11"/>
        <v>47.916666666666657</v>
      </c>
      <c r="S60" s="26">
        <f t="shared" si="12"/>
        <v>0</v>
      </c>
      <c r="T60" s="26">
        <f t="shared" si="13"/>
        <v>4.3</v>
      </c>
      <c r="U60" s="26">
        <f t="shared" si="14"/>
        <v>12.75</v>
      </c>
      <c r="V60" s="26">
        <f t="shared" si="15"/>
        <v>6.1583333333333332</v>
      </c>
      <c r="W60" s="20">
        <f t="shared" si="16"/>
        <v>30.791666666666664</v>
      </c>
      <c r="X60" s="20">
        <f t="shared" si="17"/>
        <v>47.916666666666657</v>
      </c>
      <c r="Y60" s="86">
        <f t="shared" si="18"/>
        <v>78.708333333333314</v>
      </c>
      <c r="Z60" s="15"/>
      <c r="AA60" s="23"/>
    </row>
    <row r="61" spans="2:27">
      <c r="B61" s="14">
        <f t="shared" si="19"/>
        <v>58</v>
      </c>
      <c r="C61" s="37" t="s">
        <v>625</v>
      </c>
      <c r="D61" s="38">
        <v>35</v>
      </c>
      <c r="E61" s="37">
        <v>8</v>
      </c>
      <c r="F61" s="37"/>
      <c r="G61" s="41">
        <f t="shared" si="20"/>
        <v>2.9166666666666665</v>
      </c>
      <c r="H61" s="615">
        <f t="shared" si="1"/>
        <v>0</v>
      </c>
      <c r="I61" s="615">
        <f t="shared" si="2"/>
        <v>0</v>
      </c>
      <c r="J61" s="12">
        <f t="shared" si="3"/>
        <v>0</v>
      </c>
      <c r="K61" s="12">
        <f t="shared" si="4"/>
        <v>0</v>
      </c>
      <c r="L61" s="12">
        <f t="shared" si="5"/>
        <v>0</v>
      </c>
      <c r="M61" s="12">
        <f t="shared" si="6"/>
        <v>0</v>
      </c>
      <c r="N61" s="26">
        <f t="shared" si="7"/>
        <v>0</v>
      </c>
      <c r="O61" s="26">
        <f t="shared" si="8"/>
        <v>0</v>
      </c>
      <c r="P61" s="26">
        <f t="shared" si="9"/>
        <v>0</v>
      </c>
      <c r="Q61" s="612">
        <f t="shared" si="10"/>
        <v>5.7166666666666659</v>
      </c>
      <c r="R61" s="26">
        <f t="shared" si="11"/>
        <v>36.416666666666671</v>
      </c>
      <c r="S61" s="26">
        <f t="shared" si="12"/>
        <v>0</v>
      </c>
      <c r="T61" s="26">
        <f t="shared" si="13"/>
        <v>6.3</v>
      </c>
      <c r="U61" s="26">
        <f t="shared" si="14"/>
        <v>13.25</v>
      </c>
      <c r="V61" s="26">
        <f t="shared" si="15"/>
        <v>6.3166666666666664</v>
      </c>
      <c r="W61" s="20">
        <f t="shared" si="16"/>
        <v>31.583333333333332</v>
      </c>
      <c r="X61" s="20">
        <f t="shared" si="17"/>
        <v>36.416666666666671</v>
      </c>
      <c r="Y61" s="86">
        <f t="shared" si="18"/>
        <v>68</v>
      </c>
      <c r="Z61" s="15"/>
      <c r="AA61" s="23"/>
    </row>
    <row r="62" spans="2:27">
      <c r="B62" s="14">
        <f t="shared" si="19"/>
        <v>59</v>
      </c>
      <c r="C62" s="37" t="s">
        <v>625</v>
      </c>
      <c r="D62" s="38">
        <v>180</v>
      </c>
      <c r="E62" s="37" t="s">
        <v>1325</v>
      </c>
      <c r="F62" s="37"/>
      <c r="G62" s="41">
        <f t="shared" si="20"/>
        <v>15</v>
      </c>
      <c r="H62" s="615">
        <f t="shared" si="1"/>
        <v>20</v>
      </c>
      <c r="I62" s="615">
        <f t="shared" si="2"/>
        <v>20</v>
      </c>
      <c r="J62" s="12">
        <f t="shared" si="3"/>
        <v>6.666666666666667</v>
      </c>
      <c r="K62" s="12">
        <f t="shared" si="4"/>
        <v>100</v>
      </c>
      <c r="L62" s="12">
        <f t="shared" si="5"/>
        <v>125</v>
      </c>
      <c r="M62" s="12">
        <f t="shared" si="6"/>
        <v>3.125</v>
      </c>
      <c r="N62" s="26">
        <f t="shared" si="7"/>
        <v>156.25</v>
      </c>
      <c r="O62" s="26">
        <f t="shared" si="8"/>
        <v>98.828125</v>
      </c>
      <c r="P62" s="26">
        <f t="shared" si="9"/>
        <v>143.75</v>
      </c>
      <c r="Q62" s="612">
        <f t="shared" si="10"/>
        <v>0</v>
      </c>
      <c r="R62" s="26">
        <f t="shared" si="11"/>
        <v>0</v>
      </c>
      <c r="S62" s="26">
        <f t="shared" si="12"/>
        <v>0</v>
      </c>
      <c r="T62" s="26">
        <f t="shared" si="13"/>
        <v>0</v>
      </c>
      <c r="U62" s="26">
        <f t="shared" si="14"/>
        <v>0</v>
      </c>
      <c r="V62" s="26">
        <f t="shared" si="15"/>
        <v>39.0625</v>
      </c>
      <c r="W62" s="20">
        <f t="shared" si="16"/>
        <v>195.3125</v>
      </c>
      <c r="X62" s="20">
        <f t="shared" si="17"/>
        <v>242.578125</v>
      </c>
      <c r="Y62" s="86">
        <f t="shared" si="18"/>
        <v>437.890625</v>
      </c>
      <c r="Z62" s="15"/>
      <c r="AA62" s="23"/>
    </row>
    <row r="63" spans="2:27">
      <c r="B63" s="14">
        <f t="shared" si="19"/>
        <v>60</v>
      </c>
      <c r="C63" s="37" t="s">
        <v>625</v>
      </c>
      <c r="D63" s="38">
        <v>260</v>
      </c>
      <c r="E63" s="37" t="s">
        <v>1323</v>
      </c>
      <c r="F63" s="37"/>
      <c r="G63" s="41">
        <f t="shared" si="20"/>
        <v>21.666666666666664</v>
      </c>
      <c r="H63" s="615">
        <f t="shared" si="1"/>
        <v>20</v>
      </c>
      <c r="I63" s="615">
        <f t="shared" si="2"/>
        <v>16</v>
      </c>
      <c r="J63" s="12">
        <f t="shared" si="3"/>
        <v>6</v>
      </c>
      <c r="K63" s="12">
        <f t="shared" si="4"/>
        <v>130</v>
      </c>
      <c r="L63" s="12">
        <f t="shared" si="5"/>
        <v>162.5</v>
      </c>
      <c r="M63" s="12">
        <f t="shared" si="6"/>
        <v>4.0625</v>
      </c>
      <c r="N63" s="26">
        <f t="shared" si="7"/>
        <v>203.125</v>
      </c>
      <c r="O63" s="26">
        <f t="shared" si="8"/>
        <v>128.4765625</v>
      </c>
      <c r="P63" s="26">
        <f t="shared" si="9"/>
        <v>186.875</v>
      </c>
      <c r="Q63" s="612">
        <f t="shared" si="10"/>
        <v>0</v>
      </c>
      <c r="R63" s="26">
        <f t="shared" si="11"/>
        <v>0</v>
      </c>
      <c r="S63" s="26">
        <f t="shared" si="12"/>
        <v>0</v>
      </c>
      <c r="T63" s="26">
        <f t="shared" si="13"/>
        <v>0</v>
      </c>
      <c r="U63" s="26">
        <f t="shared" si="14"/>
        <v>0</v>
      </c>
      <c r="V63" s="26">
        <f t="shared" si="15"/>
        <v>50.78125</v>
      </c>
      <c r="W63" s="20">
        <f t="shared" si="16"/>
        <v>253.90625</v>
      </c>
      <c r="X63" s="20">
        <f t="shared" si="17"/>
        <v>315.3515625</v>
      </c>
      <c r="Y63" s="86">
        <f t="shared" si="18"/>
        <v>569.2578125</v>
      </c>
      <c r="Z63" s="15"/>
      <c r="AA63" s="23"/>
    </row>
    <row r="64" spans="2:27">
      <c r="B64" s="14">
        <f t="shared" si="19"/>
        <v>61</v>
      </c>
      <c r="C64" s="37" t="s">
        <v>625</v>
      </c>
      <c r="D64" s="38">
        <v>85</v>
      </c>
      <c r="E64" s="37">
        <v>7</v>
      </c>
      <c r="F64" s="37"/>
      <c r="G64" s="41">
        <f t="shared" si="20"/>
        <v>7.083333333333333</v>
      </c>
      <c r="H64" s="615">
        <f t="shared" si="1"/>
        <v>0</v>
      </c>
      <c r="I64" s="615">
        <f t="shared" si="2"/>
        <v>0</v>
      </c>
      <c r="J64" s="12">
        <f t="shared" si="3"/>
        <v>0</v>
      </c>
      <c r="K64" s="12">
        <f t="shared" si="4"/>
        <v>0</v>
      </c>
      <c r="L64" s="12">
        <f t="shared" si="5"/>
        <v>0</v>
      </c>
      <c r="M64" s="12">
        <f t="shared" si="6"/>
        <v>0</v>
      </c>
      <c r="N64" s="26">
        <f t="shared" si="7"/>
        <v>0</v>
      </c>
      <c r="O64" s="26">
        <f t="shared" si="8"/>
        <v>0</v>
      </c>
      <c r="P64" s="26">
        <f t="shared" si="9"/>
        <v>0</v>
      </c>
      <c r="Q64" s="612">
        <f t="shared" si="10"/>
        <v>12.820833333333333</v>
      </c>
      <c r="R64" s="26">
        <f t="shared" si="11"/>
        <v>55.583333333333343</v>
      </c>
      <c r="S64" s="26">
        <f t="shared" si="12"/>
        <v>0</v>
      </c>
      <c r="T64" s="26">
        <f t="shared" si="13"/>
        <v>5.16</v>
      </c>
      <c r="U64" s="26">
        <f t="shared" si="14"/>
        <v>13</v>
      </c>
      <c r="V64" s="26">
        <f t="shared" si="15"/>
        <v>7.7452083333333333</v>
      </c>
      <c r="W64" s="20">
        <f t="shared" si="16"/>
        <v>38.726041666666667</v>
      </c>
      <c r="X64" s="20">
        <f t="shared" si="17"/>
        <v>55.583333333333343</v>
      </c>
      <c r="Y64" s="86">
        <f t="shared" si="18"/>
        <v>94.309375000000017</v>
      </c>
      <c r="Z64" s="15"/>
      <c r="AA64" s="23"/>
    </row>
    <row r="65" spans="2:27">
      <c r="B65" s="14">
        <f t="shared" si="19"/>
        <v>62</v>
      </c>
      <c r="C65" s="37" t="s">
        <v>625</v>
      </c>
      <c r="D65" s="38">
        <v>85</v>
      </c>
      <c r="E65" s="37">
        <v>7</v>
      </c>
      <c r="F65" s="37"/>
      <c r="G65" s="41">
        <f t="shared" si="20"/>
        <v>7.083333333333333</v>
      </c>
      <c r="H65" s="615">
        <f t="shared" si="1"/>
        <v>0</v>
      </c>
      <c r="I65" s="615">
        <f t="shared" si="2"/>
        <v>0</v>
      </c>
      <c r="J65" s="12">
        <f t="shared" si="3"/>
        <v>0</v>
      </c>
      <c r="K65" s="12">
        <f t="shared" si="4"/>
        <v>0</v>
      </c>
      <c r="L65" s="12">
        <f t="shared" si="5"/>
        <v>0</v>
      </c>
      <c r="M65" s="12">
        <f t="shared" si="6"/>
        <v>0</v>
      </c>
      <c r="N65" s="26">
        <f t="shared" si="7"/>
        <v>0</v>
      </c>
      <c r="O65" s="26">
        <f t="shared" si="8"/>
        <v>0</v>
      </c>
      <c r="P65" s="26">
        <f t="shared" si="9"/>
        <v>0</v>
      </c>
      <c r="Q65" s="612">
        <f t="shared" si="10"/>
        <v>12.820833333333333</v>
      </c>
      <c r="R65" s="26">
        <f t="shared" si="11"/>
        <v>55.583333333333343</v>
      </c>
      <c r="S65" s="26">
        <f t="shared" si="12"/>
        <v>0</v>
      </c>
      <c r="T65" s="26">
        <f t="shared" si="13"/>
        <v>5.16</v>
      </c>
      <c r="U65" s="26">
        <f t="shared" si="14"/>
        <v>13</v>
      </c>
      <c r="V65" s="26">
        <f t="shared" si="15"/>
        <v>7.7452083333333333</v>
      </c>
      <c r="W65" s="20">
        <f t="shared" si="16"/>
        <v>38.726041666666667</v>
      </c>
      <c r="X65" s="20">
        <f t="shared" si="17"/>
        <v>55.583333333333343</v>
      </c>
      <c r="Y65" s="86">
        <f t="shared" si="18"/>
        <v>94.309375000000017</v>
      </c>
      <c r="Z65" s="15"/>
      <c r="AA65" s="23"/>
    </row>
    <row r="66" spans="2:27">
      <c r="B66" s="14">
        <f t="shared" si="19"/>
        <v>63</v>
      </c>
      <c r="C66" s="37" t="s">
        <v>625</v>
      </c>
      <c r="D66" s="38">
        <v>85</v>
      </c>
      <c r="E66" s="37">
        <v>7</v>
      </c>
      <c r="F66" s="37"/>
      <c r="G66" s="41">
        <f t="shared" si="20"/>
        <v>7.083333333333333</v>
      </c>
      <c r="H66" s="615">
        <f t="shared" si="1"/>
        <v>0</v>
      </c>
      <c r="I66" s="615">
        <f t="shared" si="2"/>
        <v>0</v>
      </c>
      <c r="J66" s="12">
        <f t="shared" si="3"/>
        <v>0</v>
      </c>
      <c r="K66" s="12">
        <f t="shared" si="4"/>
        <v>0</v>
      </c>
      <c r="L66" s="12">
        <f t="shared" si="5"/>
        <v>0</v>
      </c>
      <c r="M66" s="12">
        <f t="shared" si="6"/>
        <v>0</v>
      </c>
      <c r="N66" s="26">
        <f t="shared" si="7"/>
        <v>0</v>
      </c>
      <c r="O66" s="26">
        <f t="shared" si="8"/>
        <v>0</v>
      </c>
      <c r="P66" s="26">
        <f t="shared" si="9"/>
        <v>0</v>
      </c>
      <c r="Q66" s="612">
        <f t="shared" si="10"/>
        <v>12.820833333333333</v>
      </c>
      <c r="R66" s="26">
        <f t="shared" si="11"/>
        <v>55.583333333333343</v>
      </c>
      <c r="S66" s="26">
        <f t="shared" si="12"/>
        <v>0</v>
      </c>
      <c r="T66" s="26">
        <f t="shared" si="13"/>
        <v>5.16</v>
      </c>
      <c r="U66" s="26">
        <f t="shared" si="14"/>
        <v>13</v>
      </c>
      <c r="V66" s="26">
        <f t="shared" si="15"/>
        <v>7.7452083333333333</v>
      </c>
      <c r="W66" s="20">
        <f t="shared" si="16"/>
        <v>38.726041666666667</v>
      </c>
      <c r="X66" s="20">
        <f t="shared" si="17"/>
        <v>55.583333333333343</v>
      </c>
      <c r="Y66" s="86">
        <f t="shared" si="18"/>
        <v>94.309375000000017</v>
      </c>
      <c r="Z66" s="15"/>
      <c r="AA66" s="23"/>
    </row>
    <row r="67" spans="2:27">
      <c r="B67" s="14">
        <f t="shared" si="19"/>
        <v>64</v>
      </c>
      <c r="C67" s="37" t="s">
        <v>625</v>
      </c>
      <c r="D67" s="38">
        <v>85</v>
      </c>
      <c r="E67" s="37">
        <v>7</v>
      </c>
      <c r="F67" s="37"/>
      <c r="G67" s="41">
        <f t="shared" si="20"/>
        <v>7.083333333333333</v>
      </c>
      <c r="H67" s="615">
        <f t="shared" si="1"/>
        <v>0</v>
      </c>
      <c r="I67" s="615">
        <f t="shared" si="2"/>
        <v>0</v>
      </c>
      <c r="J67" s="12">
        <f t="shared" si="3"/>
        <v>0</v>
      </c>
      <c r="K67" s="12">
        <f t="shared" si="4"/>
        <v>0</v>
      </c>
      <c r="L67" s="12">
        <f t="shared" si="5"/>
        <v>0</v>
      </c>
      <c r="M67" s="12">
        <f t="shared" si="6"/>
        <v>0</v>
      </c>
      <c r="N67" s="26">
        <f t="shared" si="7"/>
        <v>0</v>
      </c>
      <c r="O67" s="26">
        <f t="shared" si="8"/>
        <v>0</v>
      </c>
      <c r="P67" s="26">
        <f t="shared" si="9"/>
        <v>0</v>
      </c>
      <c r="Q67" s="612">
        <f t="shared" si="10"/>
        <v>12.820833333333333</v>
      </c>
      <c r="R67" s="26">
        <f t="shared" si="11"/>
        <v>55.583333333333343</v>
      </c>
      <c r="S67" s="26">
        <f t="shared" si="12"/>
        <v>0</v>
      </c>
      <c r="T67" s="26">
        <f t="shared" si="13"/>
        <v>5.16</v>
      </c>
      <c r="U67" s="26">
        <f t="shared" si="14"/>
        <v>13</v>
      </c>
      <c r="V67" s="26">
        <f t="shared" si="15"/>
        <v>7.7452083333333333</v>
      </c>
      <c r="W67" s="20">
        <f t="shared" si="16"/>
        <v>38.726041666666667</v>
      </c>
      <c r="X67" s="20">
        <f t="shared" si="17"/>
        <v>55.583333333333343</v>
      </c>
      <c r="Y67" s="86">
        <f t="shared" si="18"/>
        <v>94.309375000000017</v>
      </c>
      <c r="Z67" s="15"/>
      <c r="AA67" s="23"/>
    </row>
    <row r="68" spans="2:27">
      <c r="B68" s="14">
        <f t="shared" si="19"/>
        <v>65</v>
      </c>
      <c r="C68" s="37" t="s">
        <v>625</v>
      </c>
      <c r="D68" s="38">
        <v>50</v>
      </c>
      <c r="E68" s="37">
        <v>7</v>
      </c>
      <c r="F68" s="37"/>
      <c r="G68" s="41">
        <f t="shared" ref="G68:G99" si="21">IF(D68="","",+$G$2*D68)</f>
        <v>4.1666666666666661</v>
      </c>
      <c r="H68" s="615">
        <f t="shared" ref="H68:H131" si="22">IF(D68="",0,IF(ISERROR(FIND("*",E68)),0,(LEFT($E68,FIND("*",$E68)-1)+4)))</f>
        <v>0</v>
      </c>
      <c r="I68" s="615">
        <f t="shared" ref="I68:I131" si="23">IF(D68="",0,IF(ISERROR(FIND("*",E68)),0,(RIGHT($E68,LEN($E68)-FIND("*",$E68)))+4))</f>
        <v>0</v>
      </c>
      <c r="J68" s="12">
        <f t="shared" ref="J68:J131" si="24">IF(D68="",0,(H68+I68)*2*12/144)</f>
        <v>0</v>
      </c>
      <c r="K68" s="12">
        <f t="shared" ref="K68:K131" si="25">IF(E68="",0,J68*G68)</f>
        <v>0</v>
      </c>
      <c r="L68" s="12">
        <f t="shared" ref="L68:L131" si="26">IF(D68="",0,K68*(1+$L$2))</f>
        <v>0</v>
      </c>
      <c r="M68" s="12">
        <f t="shared" ref="M68:M131" si="27">IF(E68="",0,L68/40)</f>
        <v>0</v>
      </c>
      <c r="N68" s="26">
        <f t="shared" ref="N68:N131" si="28">IF(E68="",0,M68*$AC$4)</f>
        <v>0</v>
      </c>
      <c r="O68" s="26">
        <f t="shared" ref="O68:O131" si="29">M68*($AC$9/$AC$6+$AC$9/$AC$5+$AC$9/$AC$7)</f>
        <v>0</v>
      </c>
      <c r="P68" s="26">
        <f t="shared" ref="P68:P131" si="30">M68*($AC$9/$AC$8)</f>
        <v>0</v>
      </c>
      <c r="Q68" s="612">
        <f t="shared" ref="Q68:Q131" si="31">IF(D68="",0,IF(ISERROR(FIND("*",E68)),INDEX($AG$4:$AG$14,MATCH(E68,$AF$4:$AF$14,0),1)*G68,0))</f>
        <v>7.5416666666666661</v>
      </c>
      <c r="R68" s="26">
        <f t="shared" ref="R68:R131" si="32">IF(Q68=0,0,(G68*$AC$11+$AC$10)*$AC$9)</f>
        <v>42.166666666666664</v>
      </c>
      <c r="S68" s="26">
        <f t="shared" ref="S68:S131" si="33">IF($D68&gt;0,IF($F68="x",IF($H68&gt;0,$AK$4,IF($E68&gt;0,INDEX($AJ$4:$AJ$17,MATCH($E68,$AF$4:$AF$17,0),1),0)),0),0)</f>
        <v>0</v>
      </c>
      <c r="T68" s="26">
        <f t="shared" ref="T68:T131" si="34">IF($D68&gt;0,IF($H68&gt;0,0,IF($E68&gt;0,INDEX($AH$4:$AH$17,MATCH($E68,$AF$4:$AF$17,0),1)*2,0)),0)</f>
        <v>5.16</v>
      </c>
      <c r="U68" s="26">
        <f t="shared" ref="U68:U131" si="35">IF($D68&gt;0,IF($H68&gt;0,0,IF($E68&gt;0,INDEX($AI$4:$AI$17,MATCH($E68,$AF$4:$AF$17,0),1),0)),0)</f>
        <v>13</v>
      </c>
      <c r="V68" s="26">
        <f t="shared" ref="V68:V131" si="36">(N68+Q68+S68+T68+U68)*($V$2)</f>
        <v>6.425416666666667</v>
      </c>
      <c r="W68" s="20">
        <f t="shared" ref="W68:W131" si="37">N68+Q68+S68+T68+U68+V68</f>
        <v>32.127083333333331</v>
      </c>
      <c r="X68" s="20">
        <f t="shared" ref="X68:X131" si="38">R68+O68+P68</f>
        <v>42.166666666666664</v>
      </c>
      <c r="Y68" s="86">
        <f t="shared" ref="Y68:Y131" si="39">IFERROR(W68+X68,"")</f>
        <v>74.293749999999989</v>
      </c>
      <c r="Z68" s="15"/>
      <c r="AA68" s="23"/>
    </row>
    <row r="69" spans="2:27">
      <c r="B69" s="14">
        <f t="shared" ref="B69:B132" si="40">1+B68</f>
        <v>66</v>
      </c>
      <c r="C69" s="37" t="s">
        <v>625</v>
      </c>
      <c r="D69" s="38">
        <v>50</v>
      </c>
      <c r="E69" s="37">
        <v>7</v>
      </c>
      <c r="F69" s="37"/>
      <c r="G69" s="41">
        <f t="shared" si="21"/>
        <v>4.1666666666666661</v>
      </c>
      <c r="H69" s="615">
        <f t="shared" si="22"/>
        <v>0</v>
      </c>
      <c r="I69" s="615">
        <f t="shared" si="23"/>
        <v>0</v>
      </c>
      <c r="J69" s="12">
        <f t="shared" si="24"/>
        <v>0</v>
      </c>
      <c r="K69" s="12">
        <f t="shared" si="25"/>
        <v>0</v>
      </c>
      <c r="L69" s="12">
        <f t="shared" si="26"/>
        <v>0</v>
      </c>
      <c r="M69" s="12">
        <f t="shared" si="27"/>
        <v>0</v>
      </c>
      <c r="N69" s="26">
        <f t="shared" si="28"/>
        <v>0</v>
      </c>
      <c r="O69" s="26">
        <f t="shared" si="29"/>
        <v>0</v>
      </c>
      <c r="P69" s="26">
        <f t="shared" si="30"/>
        <v>0</v>
      </c>
      <c r="Q69" s="612">
        <f t="shared" si="31"/>
        <v>7.5416666666666661</v>
      </c>
      <c r="R69" s="26">
        <f t="shared" si="32"/>
        <v>42.166666666666664</v>
      </c>
      <c r="S69" s="26">
        <f t="shared" si="33"/>
        <v>0</v>
      </c>
      <c r="T69" s="26">
        <f t="shared" si="34"/>
        <v>5.16</v>
      </c>
      <c r="U69" s="26">
        <f t="shared" si="35"/>
        <v>13</v>
      </c>
      <c r="V69" s="26">
        <f t="shared" si="36"/>
        <v>6.425416666666667</v>
      </c>
      <c r="W69" s="20">
        <f t="shared" si="37"/>
        <v>32.127083333333331</v>
      </c>
      <c r="X69" s="20">
        <f t="shared" si="38"/>
        <v>42.166666666666664</v>
      </c>
      <c r="Y69" s="86">
        <f t="shared" si="39"/>
        <v>74.293749999999989</v>
      </c>
      <c r="Z69" s="15"/>
      <c r="AA69" s="23"/>
    </row>
    <row r="70" spans="2:27">
      <c r="B70" s="14">
        <f t="shared" si="40"/>
        <v>67</v>
      </c>
      <c r="C70" s="37" t="s">
        <v>625</v>
      </c>
      <c r="D70" s="38">
        <v>240</v>
      </c>
      <c r="E70" s="37">
        <v>5</v>
      </c>
      <c r="F70" s="37"/>
      <c r="G70" s="41">
        <f t="shared" si="21"/>
        <v>20</v>
      </c>
      <c r="H70" s="615">
        <f t="shared" si="22"/>
        <v>0</v>
      </c>
      <c r="I70" s="615">
        <f t="shared" si="23"/>
        <v>0</v>
      </c>
      <c r="J70" s="12">
        <f t="shared" si="24"/>
        <v>0</v>
      </c>
      <c r="K70" s="12">
        <f t="shared" si="25"/>
        <v>0</v>
      </c>
      <c r="L70" s="12">
        <f t="shared" si="26"/>
        <v>0</v>
      </c>
      <c r="M70" s="12">
        <f t="shared" si="27"/>
        <v>0</v>
      </c>
      <c r="N70" s="26">
        <f t="shared" si="28"/>
        <v>0</v>
      </c>
      <c r="O70" s="26">
        <f t="shared" si="29"/>
        <v>0</v>
      </c>
      <c r="P70" s="26">
        <f t="shared" si="30"/>
        <v>0</v>
      </c>
      <c r="Q70" s="612">
        <f t="shared" si="31"/>
        <v>28</v>
      </c>
      <c r="R70" s="26">
        <f t="shared" si="32"/>
        <v>115</v>
      </c>
      <c r="S70" s="26">
        <f t="shared" si="33"/>
        <v>0</v>
      </c>
      <c r="T70" s="26">
        <f t="shared" si="34"/>
        <v>3.9</v>
      </c>
      <c r="U70" s="26">
        <f t="shared" si="35"/>
        <v>12.25</v>
      </c>
      <c r="V70" s="26">
        <f t="shared" si="36"/>
        <v>11.0375</v>
      </c>
      <c r="W70" s="20">
        <f t="shared" si="37"/>
        <v>55.1875</v>
      </c>
      <c r="X70" s="20">
        <f t="shared" si="38"/>
        <v>115</v>
      </c>
      <c r="Y70" s="86">
        <f t="shared" si="39"/>
        <v>170.1875</v>
      </c>
      <c r="Z70" s="15"/>
      <c r="AA70" s="23"/>
    </row>
    <row r="71" spans="2:27">
      <c r="B71" s="14">
        <f t="shared" si="40"/>
        <v>68</v>
      </c>
      <c r="C71" s="37" t="s">
        <v>625</v>
      </c>
      <c r="D71" s="38">
        <v>240</v>
      </c>
      <c r="E71" s="37">
        <v>5</v>
      </c>
      <c r="F71" s="37"/>
      <c r="G71" s="41">
        <f t="shared" si="21"/>
        <v>20</v>
      </c>
      <c r="H71" s="615">
        <f t="shared" si="22"/>
        <v>0</v>
      </c>
      <c r="I71" s="615">
        <f t="shared" si="23"/>
        <v>0</v>
      </c>
      <c r="J71" s="12">
        <f t="shared" si="24"/>
        <v>0</v>
      </c>
      <c r="K71" s="12">
        <f t="shared" si="25"/>
        <v>0</v>
      </c>
      <c r="L71" s="12">
        <f t="shared" si="26"/>
        <v>0</v>
      </c>
      <c r="M71" s="12">
        <f t="shared" si="27"/>
        <v>0</v>
      </c>
      <c r="N71" s="26">
        <f t="shared" si="28"/>
        <v>0</v>
      </c>
      <c r="O71" s="26">
        <f t="shared" si="29"/>
        <v>0</v>
      </c>
      <c r="P71" s="26">
        <f t="shared" si="30"/>
        <v>0</v>
      </c>
      <c r="Q71" s="612">
        <f t="shared" si="31"/>
        <v>28</v>
      </c>
      <c r="R71" s="26">
        <f t="shared" si="32"/>
        <v>115</v>
      </c>
      <c r="S71" s="26">
        <f t="shared" si="33"/>
        <v>0</v>
      </c>
      <c r="T71" s="26">
        <f t="shared" si="34"/>
        <v>3.9</v>
      </c>
      <c r="U71" s="26">
        <f t="shared" si="35"/>
        <v>12.25</v>
      </c>
      <c r="V71" s="26">
        <f t="shared" si="36"/>
        <v>11.0375</v>
      </c>
      <c r="W71" s="20">
        <f t="shared" si="37"/>
        <v>55.1875</v>
      </c>
      <c r="X71" s="20">
        <f t="shared" si="38"/>
        <v>115</v>
      </c>
      <c r="Y71" s="86">
        <f t="shared" si="39"/>
        <v>170.1875</v>
      </c>
      <c r="Z71" s="15"/>
      <c r="AA71" s="23"/>
    </row>
    <row r="72" spans="2:27">
      <c r="B72" s="14">
        <f t="shared" si="40"/>
        <v>69</v>
      </c>
      <c r="C72" s="37" t="s">
        <v>625</v>
      </c>
      <c r="D72" s="40">
        <v>35</v>
      </c>
      <c r="E72" s="39">
        <v>8</v>
      </c>
      <c r="F72" s="37"/>
      <c r="G72" s="41">
        <f t="shared" si="21"/>
        <v>2.9166666666666665</v>
      </c>
      <c r="H72" s="615">
        <f t="shared" si="22"/>
        <v>0</v>
      </c>
      <c r="I72" s="615">
        <f t="shared" si="23"/>
        <v>0</v>
      </c>
      <c r="J72" s="12">
        <f t="shared" si="24"/>
        <v>0</v>
      </c>
      <c r="K72" s="12">
        <f t="shared" si="25"/>
        <v>0</v>
      </c>
      <c r="L72" s="12">
        <f t="shared" si="26"/>
        <v>0</v>
      </c>
      <c r="M72" s="12">
        <f t="shared" si="27"/>
        <v>0</v>
      </c>
      <c r="N72" s="26">
        <f t="shared" si="28"/>
        <v>0</v>
      </c>
      <c r="O72" s="26">
        <f t="shared" si="29"/>
        <v>0</v>
      </c>
      <c r="P72" s="26">
        <f t="shared" si="30"/>
        <v>0</v>
      </c>
      <c r="Q72" s="612">
        <f t="shared" si="31"/>
        <v>5.7166666666666659</v>
      </c>
      <c r="R72" s="26">
        <f t="shared" si="32"/>
        <v>36.416666666666671</v>
      </c>
      <c r="S72" s="26">
        <f t="shared" si="33"/>
        <v>0</v>
      </c>
      <c r="T72" s="26">
        <f t="shared" si="34"/>
        <v>6.3</v>
      </c>
      <c r="U72" s="26">
        <f t="shared" si="35"/>
        <v>13.25</v>
      </c>
      <c r="V72" s="26">
        <f t="shared" si="36"/>
        <v>6.3166666666666664</v>
      </c>
      <c r="W72" s="20">
        <f t="shared" si="37"/>
        <v>31.583333333333332</v>
      </c>
      <c r="X72" s="20">
        <f t="shared" si="38"/>
        <v>36.416666666666671</v>
      </c>
      <c r="Y72" s="86">
        <f t="shared" si="39"/>
        <v>68</v>
      </c>
      <c r="Z72" s="15"/>
      <c r="AA72" s="23"/>
    </row>
    <row r="73" spans="2:27">
      <c r="B73" s="14">
        <f t="shared" si="40"/>
        <v>70</v>
      </c>
      <c r="C73" s="37" t="s">
        <v>625</v>
      </c>
      <c r="D73" s="40">
        <v>180</v>
      </c>
      <c r="E73" s="39" t="s">
        <v>1325</v>
      </c>
      <c r="F73" s="37"/>
      <c r="G73" s="41">
        <f t="shared" si="21"/>
        <v>15</v>
      </c>
      <c r="H73" s="615">
        <f t="shared" si="22"/>
        <v>20</v>
      </c>
      <c r="I73" s="615">
        <f t="shared" si="23"/>
        <v>20</v>
      </c>
      <c r="J73" s="12">
        <f t="shared" si="24"/>
        <v>6.666666666666667</v>
      </c>
      <c r="K73" s="12">
        <f t="shared" si="25"/>
        <v>100</v>
      </c>
      <c r="L73" s="12">
        <f t="shared" si="26"/>
        <v>125</v>
      </c>
      <c r="M73" s="12">
        <f t="shared" si="27"/>
        <v>3.125</v>
      </c>
      <c r="N73" s="26">
        <f t="shared" si="28"/>
        <v>156.25</v>
      </c>
      <c r="O73" s="26">
        <f t="shared" si="29"/>
        <v>98.828125</v>
      </c>
      <c r="P73" s="26">
        <f t="shared" si="30"/>
        <v>143.75</v>
      </c>
      <c r="Q73" s="612">
        <f t="shared" si="31"/>
        <v>0</v>
      </c>
      <c r="R73" s="26">
        <f t="shared" si="32"/>
        <v>0</v>
      </c>
      <c r="S73" s="26">
        <f t="shared" si="33"/>
        <v>0</v>
      </c>
      <c r="T73" s="26">
        <f t="shared" si="34"/>
        <v>0</v>
      </c>
      <c r="U73" s="26">
        <f t="shared" si="35"/>
        <v>0</v>
      </c>
      <c r="V73" s="26">
        <f t="shared" si="36"/>
        <v>39.0625</v>
      </c>
      <c r="W73" s="20">
        <f t="shared" si="37"/>
        <v>195.3125</v>
      </c>
      <c r="X73" s="20">
        <f t="shared" si="38"/>
        <v>242.578125</v>
      </c>
      <c r="Y73" s="86">
        <f t="shared" si="39"/>
        <v>437.890625</v>
      </c>
      <c r="Z73" s="15"/>
      <c r="AA73" s="23"/>
    </row>
    <row r="74" spans="2:27">
      <c r="B74" s="14">
        <f t="shared" si="40"/>
        <v>71</v>
      </c>
      <c r="C74" s="37" t="s">
        <v>625</v>
      </c>
      <c r="D74" s="40">
        <v>260</v>
      </c>
      <c r="E74" s="39" t="s">
        <v>1323</v>
      </c>
      <c r="F74" s="37"/>
      <c r="G74" s="41">
        <f t="shared" si="21"/>
        <v>21.666666666666664</v>
      </c>
      <c r="H74" s="615">
        <f t="shared" si="22"/>
        <v>20</v>
      </c>
      <c r="I74" s="615">
        <f t="shared" si="23"/>
        <v>16</v>
      </c>
      <c r="J74" s="12">
        <f t="shared" si="24"/>
        <v>6</v>
      </c>
      <c r="K74" s="12">
        <f t="shared" si="25"/>
        <v>130</v>
      </c>
      <c r="L74" s="12">
        <f t="shared" si="26"/>
        <v>162.5</v>
      </c>
      <c r="M74" s="12">
        <f t="shared" si="27"/>
        <v>4.0625</v>
      </c>
      <c r="N74" s="26">
        <f t="shared" si="28"/>
        <v>203.125</v>
      </c>
      <c r="O74" s="26">
        <f t="shared" si="29"/>
        <v>128.4765625</v>
      </c>
      <c r="P74" s="26">
        <f t="shared" si="30"/>
        <v>186.875</v>
      </c>
      <c r="Q74" s="612">
        <f t="shared" si="31"/>
        <v>0</v>
      </c>
      <c r="R74" s="26">
        <f t="shared" si="32"/>
        <v>0</v>
      </c>
      <c r="S74" s="26">
        <f t="shared" si="33"/>
        <v>0</v>
      </c>
      <c r="T74" s="26">
        <f t="shared" si="34"/>
        <v>0</v>
      </c>
      <c r="U74" s="26">
        <f t="shared" si="35"/>
        <v>0</v>
      </c>
      <c r="V74" s="26">
        <f t="shared" si="36"/>
        <v>50.78125</v>
      </c>
      <c r="W74" s="20">
        <f t="shared" si="37"/>
        <v>253.90625</v>
      </c>
      <c r="X74" s="20">
        <f t="shared" si="38"/>
        <v>315.3515625</v>
      </c>
      <c r="Y74" s="86">
        <f t="shared" si="39"/>
        <v>569.2578125</v>
      </c>
      <c r="Z74" s="15"/>
      <c r="AA74" s="23"/>
    </row>
    <row r="75" spans="2:27">
      <c r="B75" s="14">
        <f t="shared" si="40"/>
        <v>72</v>
      </c>
      <c r="C75" s="37" t="s">
        <v>625</v>
      </c>
      <c r="D75" s="40">
        <v>85</v>
      </c>
      <c r="E75" s="39">
        <v>7</v>
      </c>
      <c r="F75" s="37"/>
      <c r="G75" s="41">
        <f t="shared" si="21"/>
        <v>7.083333333333333</v>
      </c>
      <c r="H75" s="615">
        <f t="shared" si="22"/>
        <v>0</v>
      </c>
      <c r="I75" s="615">
        <f t="shared" si="23"/>
        <v>0</v>
      </c>
      <c r="J75" s="12">
        <f t="shared" si="24"/>
        <v>0</v>
      </c>
      <c r="K75" s="12">
        <f t="shared" si="25"/>
        <v>0</v>
      </c>
      <c r="L75" s="12">
        <f t="shared" si="26"/>
        <v>0</v>
      </c>
      <c r="M75" s="12">
        <f t="shared" si="27"/>
        <v>0</v>
      </c>
      <c r="N75" s="26">
        <f t="shared" si="28"/>
        <v>0</v>
      </c>
      <c r="O75" s="26">
        <f t="shared" si="29"/>
        <v>0</v>
      </c>
      <c r="P75" s="26">
        <f t="shared" si="30"/>
        <v>0</v>
      </c>
      <c r="Q75" s="612">
        <f t="shared" si="31"/>
        <v>12.820833333333333</v>
      </c>
      <c r="R75" s="26">
        <f t="shared" si="32"/>
        <v>55.583333333333343</v>
      </c>
      <c r="S75" s="26">
        <f t="shared" si="33"/>
        <v>0</v>
      </c>
      <c r="T75" s="26">
        <f t="shared" si="34"/>
        <v>5.16</v>
      </c>
      <c r="U75" s="26">
        <f t="shared" si="35"/>
        <v>13</v>
      </c>
      <c r="V75" s="26">
        <f t="shared" si="36"/>
        <v>7.7452083333333333</v>
      </c>
      <c r="W75" s="20">
        <f t="shared" si="37"/>
        <v>38.726041666666667</v>
      </c>
      <c r="X75" s="20">
        <f t="shared" si="38"/>
        <v>55.583333333333343</v>
      </c>
      <c r="Y75" s="86">
        <f t="shared" si="39"/>
        <v>94.309375000000017</v>
      </c>
      <c r="Z75" s="15"/>
      <c r="AA75" s="23"/>
    </row>
    <row r="76" spans="2:27">
      <c r="B76" s="14">
        <f t="shared" si="40"/>
        <v>73</v>
      </c>
      <c r="C76" s="37" t="s">
        <v>625</v>
      </c>
      <c r="D76" s="40">
        <v>85</v>
      </c>
      <c r="E76" s="39">
        <v>7</v>
      </c>
      <c r="F76" s="37"/>
      <c r="G76" s="41">
        <f t="shared" si="21"/>
        <v>7.083333333333333</v>
      </c>
      <c r="H76" s="615">
        <f t="shared" si="22"/>
        <v>0</v>
      </c>
      <c r="I76" s="615">
        <f t="shared" si="23"/>
        <v>0</v>
      </c>
      <c r="J76" s="12">
        <f t="shared" si="24"/>
        <v>0</v>
      </c>
      <c r="K76" s="12">
        <f t="shared" si="25"/>
        <v>0</v>
      </c>
      <c r="L76" s="12">
        <f t="shared" si="26"/>
        <v>0</v>
      </c>
      <c r="M76" s="12">
        <f t="shared" si="27"/>
        <v>0</v>
      </c>
      <c r="N76" s="26">
        <f t="shared" si="28"/>
        <v>0</v>
      </c>
      <c r="O76" s="26">
        <f t="shared" si="29"/>
        <v>0</v>
      </c>
      <c r="P76" s="26">
        <f t="shared" si="30"/>
        <v>0</v>
      </c>
      <c r="Q76" s="612">
        <f t="shared" si="31"/>
        <v>12.820833333333333</v>
      </c>
      <c r="R76" s="26">
        <f t="shared" si="32"/>
        <v>55.583333333333343</v>
      </c>
      <c r="S76" s="26">
        <f t="shared" si="33"/>
        <v>0</v>
      </c>
      <c r="T76" s="26">
        <f t="shared" si="34"/>
        <v>5.16</v>
      </c>
      <c r="U76" s="26">
        <f t="shared" si="35"/>
        <v>13</v>
      </c>
      <c r="V76" s="26">
        <f t="shared" si="36"/>
        <v>7.7452083333333333</v>
      </c>
      <c r="W76" s="20">
        <f t="shared" si="37"/>
        <v>38.726041666666667</v>
      </c>
      <c r="X76" s="20">
        <f t="shared" si="38"/>
        <v>55.583333333333343</v>
      </c>
      <c r="Y76" s="86">
        <f t="shared" si="39"/>
        <v>94.309375000000017</v>
      </c>
      <c r="Z76" s="15"/>
      <c r="AA76" s="23"/>
    </row>
    <row r="77" spans="2:27">
      <c r="B77" s="14">
        <f t="shared" si="40"/>
        <v>74</v>
      </c>
      <c r="C77" s="37" t="s">
        <v>625</v>
      </c>
      <c r="D77" s="40">
        <v>85</v>
      </c>
      <c r="E77" s="39">
        <v>7</v>
      </c>
      <c r="F77" s="37"/>
      <c r="G77" s="41">
        <f t="shared" si="21"/>
        <v>7.083333333333333</v>
      </c>
      <c r="H77" s="615">
        <f t="shared" si="22"/>
        <v>0</v>
      </c>
      <c r="I77" s="615">
        <f t="shared" si="23"/>
        <v>0</v>
      </c>
      <c r="J77" s="12">
        <f t="shared" si="24"/>
        <v>0</v>
      </c>
      <c r="K77" s="12">
        <f t="shared" si="25"/>
        <v>0</v>
      </c>
      <c r="L77" s="12">
        <f t="shared" si="26"/>
        <v>0</v>
      </c>
      <c r="M77" s="12">
        <f t="shared" si="27"/>
        <v>0</v>
      </c>
      <c r="N77" s="26">
        <f t="shared" si="28"/>
        <v>0</v>
      </c>
      <c r="O77" s="26">
        <f t="shared" si="29"/>
        <v>0</v>
      </c>
      <c r="P77" s="26">
        <f t="shared" si="30"/>
        <v>0</v>
      </c>
      <c r="Q77" s="612">
        <f t="shared" si="31"/>
        <v>12.820833333333333</v>
      </c>
      <c r="R77" s="26">
        <f t="shared" si="32"/>
        <v>55.583333333333343</v>
      </c>
      <c r="S77" s="26">
        <f t="shared" si="33"/>
        <v>0</v>
      </c>
      <c r="T77" s="26">
        <f t="shared" si="34"/>
        <v>5.16</v>
      </c>
      <c r="U77" s="26">
        <f t="shared" si="35"/>
        <v>13</v>
      </c>
      <c r="V77" s="26">
        <f t="shared" si="36"/>
        <v>7.7452083333333333</v>
      </c>
      <c r="W77" s="20">
        <f t="shared" si="37"/>
        <v>38.726041666666667</v>
      </c>
      <c r="X77" s="20">
        <f t="shared" si="38"/>
        <v>55.583333333333343</v>
      </c>
      <c r="Y77" s="86">
        <f t="shared" si="39"/>
        <v>94.309375000000017</v>
      </c>
      <c r="Z77" s="15"/>
      <c r="AA77" s="23"/>
    </row>
    <row r="78" spans="2:27">
      <c r="B78" s="14">
        <f t="shared" si="40"/>
        <v>75</v>
      </c>
      <c r="C78" s="37" t="s">
        <v>625</v>
      </c>
      <c r="D78" s="40">
        <v>85</v>
      </c>
      <c r="E78" s="39">
        <v>7</v>
      </c>
      <c r="F78" s="37"/>
      <c r="G78" s="41">
        <f t="shared" si="21"/>
        <v>7.083333333333333</v>
      </c>
      <c r="H78" s="615">
        <f t="shared" si="22"/>
        <v>0</v>
      </c>
      <c r="I78" s="615">
        <f t="shared" si="23"/>
        <v>0</v>
      </c>
      <c r="J78" s="12">
        <f t="shared" si="24"/>
        <v>0</v>
      </c>
      <c r="K78" s="12">
        <f t="shared" si="25"/>
        <v>0</v>
      </c>
      <c r="L78" s="12">
        <f t="shared" si="26"/>
        <v>0</v>
      </c>
      <c r="M78" s="12">
        <f t="shared" si="27"/>
        <v>0</v>
      </c>
      <c r="N78" s="26">
        <f t="shared" si="28"/>
        <v>0</v>
      </c>
      <c r="O78" s="26">
        <f t="shared" si="29"/>
        <v>0</v>
      </c>
      <c r="P78" s="26">
        <f t="shared" si="30"/>
        <v>0</v>
      </c>
      <c r="Q78" s="612">
        <f t="shared" si="31"/>
        <v>12.820833333333333</v>
      </c>
      <c r="R78" s="26">
        <f t="shared" si="32"/>
        <v>55.583333333333343</v>
      </c>
      <c r="S78" s="26">
        <f t="shared" si="33"/>
        <v>0</v>
      </c>
      <c r="T78" s="26">
        <f t="shared" si="34"/>
        <v>5.16</v>
      </c>
      <c r="U78" s="26">
        <f t="shared" si="35"/>
        <v>13</v>
      </c>
      <c r="V78" s="26">
        <f t="shared" si="36"/>
        <v>7.7452083333333333</v>
      </c>
      <c r="W78" s="20">
        <f t="shared" si="37"/>
        <v>38.726041666666667</v>
      </c>
      <c r="X78" s="20">
        <f t="shared" si="38"/>
        <v>55.583333333333343</v>
      </c>
      <c r="Y78" s="86">
        <f t="shared" si="39"/>
        <v>94.309375000000017</v>
      </c>
      <c r="Z78" s="15"/>
      <c r="AA78" s="23"/>
    </row>
    <row r="79" spans="2:27">
      <c r="B79" s="14">
        <f t="shared" si="40"/>
        <v>76</v>
      </c>
      <c r="C79" s="37" t="s">
        <v>625</v>
      </c>
      <c r="D79" s="40">
        <v>50</v>
      </c>
      <c r="E79" s="39">
        <v>7</v>
      </c>
      <c r="F79" s="37"/>
      <c r="G79" s="41">
        <f t="shared" si="21"/>
        <v>4.1666666666666661</v>
      </c>
      <c r="H79" s="615">
        <f t="shared" si="22"/>
        <v>0</v>
      </c>
      <c r="I79" s="615">
        <f t="shared" si="23"/>
        <v>0</v>
      </c>
      <c r="J79" s="12">
        <f t="shared" si="24"/>
        <v>0</v>
      </c>
      <c r="K79" s="12">
        <f t="shared" si="25"/>
        <v>0</v>
      </c>
      <c r="L79" s="12">
        <f t="shared" si="26"/>
        <v>0</v>
      </c>
      <c r="M79" s="12">
        <f t="shared" si="27"/>
        <v>0</v>
      </c>
      <c r="N79" s="26">
        <f t="shared" si="28"/>
        <v>0</v>
      </c>
      <c r="O79" s="26">
        <f t="shared" si="29"/>
        <v>0</v>
      </c>
      <c r="P79" s="26">
        <f t="shared" si="30"/>
        <v>0</v>
      </c>
      <c r="Q79" s="612">
        <f t="shared" si="31"/>
        <v>7.5416666666666661</v>
      </c>
      <c r="R79" s="26">
        <f t="shared" si="32"/>
        <v>42.166666666666664</v>
      </c>
      <c r="S79" s="26">
        <f t="shared" si="33"/>
        <v>0</v>
      </c>
      <c r="T79" s="26">
        <f t="shared" si="34"/>
        <v>5.16</v>
      </c>
      <c r="U79" s="26">
        <f t="shared" si="35"/>
        <v>13</v>
      </c>
      <c r="V79" s="26">
        <f t="shared" si="36"/>
        <v>6.425416666666667</v>
      </c>
      <c r="W79" s="20">
        <f t="shared" si="37"/>
        <v>32.127083333333331</v>
      </c>
      <c r="X79" s="20">
        <f t="shared" si="38"/>
        <v>42.166666666666664</v>
      </c>
      <c r="Y79" s="86">
        <f t="shared" si="39"/>
        <v>74.293749999999989</v>
      </c>
      <c r="Z79" s="15"/>
      <c r="AA79" s="23"/>
    </row>
    <row r="80" spans="2:27">
      <c r="B80" s="14">
        <f t="shared" si="40"/>
        <v>77</v>
      </c>
      <c r="C80" s="37" t="s">
        <v>625</v>
      </c>
      <c r="D80" s="40">
        <v>50</v>
      </c>
      <c r="E80" s="39">
        <v>7</v>
      </c>
      <c r="F80" s="37"/>
      <c r="G80" s="41">
        <f t="shared" si="21"/>
        <v>4.1666666666666661</v>
      </c>
      <c r="H80" s="615">
        <f t="shared" si="22"/>
        <v>0</v>
      </c>
      <c r="I80" s="615">
        <f t="shared" si="23"/>
        <v>0</v>
      </c>
      <c r="J80" s="12">
        <f t="shared" si="24"/>
        <v>0</v>
      </c>
      <c r="K80" s="12">
        <f t="shared" si="25"/>
        <v>0</v>
      </c>
      <c r="L80" s="12">
        <f t="shared" si="26"/>
        <v>0</v>
      </c>
      <c r="M80" s="12">
        <f t="shared" si="27"/>
        <v>0</v>
      </c>
      <c r="N80" s="26">
        <f t="shared" si="28"/>
        <v>0</v>
      </c>
      <c r="O80" s="26">
        <f t="shared" si="29"/>
        <v>0</v>
      </c>
      <c r="P80" s="26">
        <f t="shared" si="30"/>
        <v>0</v>
      </c>
      <c r="Q80" s="612">
        <f t="shared" si="31"/>
        <v>7.5416666666666661</v>
      </c>
      <c r="R80" s="26">
        <f t="shared" si="32"/>
        <v>42.166666666666664</v>
      </c>
      <c r="S80" s="26">
        <f t="shared" si="33"/>
        <v>0</v>
      </c>
      <c r="T80" s="26">
        <f t="shared" si="34"/>
        <v>5.16</v>
      </c>
      <c r="U80" s="26">
        <f t="shared" si="35"/>
        <v>13</v>
      </c>
      <c r="V80" s="26">
        <f t="shared" si="36"/>
        <v>6.425416666666667</v>
      </c>
      <c r="W80" s="20">
        <f t="shared" si="37"/>
        <v>32.127083333333331</v>
      </c>
      <c r="X80" s="20">
        <f t="shared" si="38"/>
        <v>42.166666666666664</v>
      </c>
      <c r="Y80" s="86">
        <f t="shared" si="39"/>
        <v>74.293749999999989</v>
      </c>
      <c r="Z80" s="15"/>
      <c r="AA80" s="23"/>
    </row>
    <row r="81" spans="2:27">
      <c r="B81" s="14">
        <f t="shared" si="40"/>
        <v>78</v>
      </c>
      <c r="C81" s="37" t="s">
        <v>625</v>
      </c>
      <c r="D81" s="40">
        <v>240</v>
      </c>
      <c r="E81" s="39">
        <v>5</v>
      </c>
      <c r="F81" s="37"/>
      <c r="G81" s="41">
        <f t="shared" si="21"/>
        <v>20</v>
      </c>
      <c r="H81" s="615">
        <f t="shared" si="22"/>
        <v>0</v>
      </c>
      <c r="I81" s="615">
        <f t="shared" si="23"/>
        <v>0</v>
      </c>
      <c r="J81" s="12">
        <f t="shared" si="24"/>
        <v>0</v>
      </c>
      <c r="K81" s="12">
        <f t="shared" si="25"/>
        <v>0</v>
      </c>
      <c r="L81" s="12">
        <f t="shared" si="26"/>
        <v>0</v>
      </c>
      <c r="M81" s="12">
        <f t="shared" si="27"/>
        <v>0</v>
      </c>
      <c r="N81" s="26">
        <f t="shared" si="28"/>
        <v>0</v>
      </c>
      <c r="O81" s="26">
        <f t="shared" si="29"/>
        <v>0</v>
      </c>
      <c r="P81" s="26">
        <f t="shared" si="30"/>
        <v>0</v>
      </c>
      <c r="Q81" s="612">
        <f t="shared" si="31"/>
        <v>28</v>
      </c>
      <c r="R81" s="26">
        <f t="shared" si="32"/>
        <v>115</v>
      </c>
      <c r="S81" s="26">
        <f t="shared" si="33"/>
        <v>0</v>
      </c>
      <c r="T81" s="26">
        <f t="shared" si="34"/>
        <v>3.9</v>
      </c>
      <c r="U81" s="26">
        <f t="shared" si="35"/>
        <v>12.25</v>
      </c>
      <c r="V81" s="26">
        <f t="shared" si="36"/>
        <v>11.0375</v>
      </c>
      <c r="W81" s="20">
        <f t="shared" si="37"/>
        <v>55.1875</v>
      </c>
      <c r="X81" s="20">
        <f t="shared" si="38"/>
        <v>115</v>
      </c>
      <c r="Y81" s="86">
        <f t="shared" si="39"/>
        <v>170.1875</v>
      </c>
      <c r="Z81" s="15"/>
      <c r="AA81" s="23"/>
    </row>
    <row r="82" spans="2:27">
      <c r="B82" s="14">
        <f t="shared" si="40"/>
        <v>79</v>
      </c>
      <c r="C82" s="37" t="s">
        <v>625</v>
      </c>
      <c r="D82" s="40">
        <v>240</v>
      </c>
      <c r="E82" s="39">
        <v>5</v>
      </c>
      <c r="F82" s="37"/>
      <c r="G82" s="41">
        <f t="shared" si="21"/>
        <v>20</v>
      </c>
      <c r="H82" s="615">
        <f t="shared" si="22"/>
        <v>0</v>
      </c>
      <c r="I82" s="615">
        <f t="shared" si="23"/>
        <v>0</v>
      </c>
      <c r="J82" s="12">
        <f t="shared" si="24"/>
        <v>0</v>
      </c>
      <c r="K82" s="12">
        <f t="shared" si="25"/>
        <v>0</v>
      </c>
      <c r="L82" s="12">
        <f t="shared" si="26"/>
        <v>0</v>
      </c>
      <c r="M82" s="12">
        <f t="shared" si="27"/>
        <v>0</v>
      </c>
      <c r="N82" s="26">
        <f t="shared" si="28"/>
        <v>0</v>
      </c>
      <c r="O82" s="26">
        <f t="shared" si="29"/>
        <v>0</v>
      </c>
      <c r="P82" s="26">
        <f t="shared" si="30"/>
        <v>0</v>
      </c>
      <c r="Q82" s="612">
        <f t="shared" si="31"/>
        <v>28</v>
      </c>
      <c r="R82" s="26">
        <f t="shared" si="32"/>
        <v>115</v>
      </c>
      <c r="S82" s="26">
        <f t="shared" si="33"/>
        <v>0</v>
      </c>
      <c r="T82" s="26">
        <f t="shared" si="34"/>
        <v>3.9</v>
      </c>
      <c r="U82" s="26">
        <f t="shared" si="35"/>
        <v>12.25</v>
      </c>
      <c r="V82" s="26">
        <f t="shared" si="36"/>
        <v>11.0375</v>
      </c>
      <c r="W82" s="20">
        <f t="shared" si="37"/>
        <v>55.1875</v>
      </c>
      <c r="X82" s="20">
        <f t="shared" si="38"/>
        <v>115</v>
      </c>
      <c r="Y82" s="86">
        <f t="shared" si="39"/>
        <v>170.1875</v>
      </c>
      <c r="Z82" s="15"/>
      <c r="AA82" s="23"/>
    </row>
    <row r="83" spans="2:27">
      <c r="B83" s="14">
        <f t="shared" si="40"/>
        <v>80</v>
      </c>
      <c r="C83" s="37" t="s">
        <v>625</v>
      </c>
      <c r="D83" s="40">
        <v>500</v>
      </c>
      <c r="E83" s="39">
        <v>4</v>
      </c>
      <c r="F83" s="37"/>
      <c r="G83" s="41">
        <f t="shared" si="21"/>
        <v>41.666666666666664</v>
      </c>
      <c r="H83" s="615">
        <f t="shared" si="22"/>
        <v>0</v>
      </c>
      <c r="I83" s="615">
        <f t="shared" si="23"/>
        <v>0</v>
      </c>
      <c r="J83" s="12">
        <f t="shared" si="24"/>
        <v>0</v>
      </c>
      <c r="K83" s="12">
        <f t="shared" si="25"/>
        <v>0</v>
      </c>
      <c r="L83" s="12">
        <f t="shared" si="26"/>
        <v>0</v>
      </c>
      <c r="M83" s="12">
        <f t="shared" si="27"/>
        <v>0</v>
      </c>
      <c r="N83" s="26">
        <f t="shared" si="28"/>
        <v>0</v>
      </c>
      <c r="O83" s="26">
        <f t="shared" si="29"/>
        <v>0</v>
      </c>
      <c r="P83" s="26">
        <f t="shared" si="30"/>
        <v>0</v>
      </c>
      <c r="Q83" s="612">
        <f t="shared" si="31"/>
        <v>46.666666666666671</v>
      </c>
      <c r="R83" s="26">
        <f t="shared" si="32"/>
        <v>214.66666666666669</v>
      </c>
      <c r="S83" s="26">
        <f t="shared" si="33"/>
        <v>0</v>
      </c>
      <c r="T83" s="26">
        <f t="shared" si="34"/>
        <v>3.6</v>
      </c>
      <c r="U83" s="26">
        <f t="shared" si="35"/>
        <v>12</v>
      </c>
      <c r="V83" s="26">
        <f t="shared" si="36"/>
        <v>15.566666666666668</v>
      </c>
      <c r="W83" s="20">
        <f t="shared" si="37"/>
        <v>77.833333333333343</v>
      </c>
      <c r="X83" s="20">
        <f t="shared" si="38"/>
        <v>214.66666666666669</v>
      </c>
      <c r="Y83" s="86">
        <f t="shared" si="39"/>
        <v>292.5</v>
      </c>
      <c r="Z83" s="619"/>
      <c r="AA83" s="23"/>
    </row>
    <row r="84" spans="2:27">
      <c r="B84" s="14">
        <f t="shared" si="40"/>
        <v>81</v>
      </c>
      <c r="C84" s="37" t="s">
        <v>625</v>
      </c>
      <c r="D84" s="40">
        <v>500</v>
      </c>
      <c r="E84" s="39">
        <v>4</v>
      </c>
      <c r="F84" s="37"/>
      <c r="G84" s="41">
        <f t="shared" si="21"/>
        <v>41.666666666666664</v>
      </c>
      <c r="H84" s="615">
        <f t="shared" si="22"/>
        <v>0</v>
      </c>
      <c r="I84" s="615">
        <f t="shared" si="23"/>
        <v>0</v>
      </c>
      <c r="J84" s="12">
        <f t="shared" si="24"/>
        <v>0</v>
      </c>
      <c r="K84" s="12">
        <f t="shared" si="25"/>
        <v>0</v>
      </c>
      <c r="L84" s="12">
        <f t="shared" si="26"/>
        <v>0</v>
      </c>
      <c r="M84" s="12">
        <f t="shared" si="27"/>
        <v>0</v>
      </c>
      <c r="N84" s="26">
        <f t="shared" si="28"/>
        <v>0</v>
      </c>
      <c r="O84" s="26">
        <f t="shared" si="29"/>
        <v>0</v>
      </c>
      <c r="P84" s="26">
        <f t="shared" si="30"/>
        <v>0</v>
      </c>
      <c r="Q84" s="612">
        <f t="shared" si="31"/>
        <v>46.666666666666671</v>
      </c>
      <c r="R84" s="26">
        <f t="shared" si="32"/>
        <v>214.66666666666669</v>
      </c>
      <c r="S84" s="26">
        <f t="shared" si="33"/>
        <v>0</v>
      </c>
      <c r="T84" s="26">
        <f t="shared" si="34"/>
        <v>3.6</v>
      </c>
      <c r="U84" s="26">
        <f t="shared" si="35"/>
        <v>12</v>
      </c>
      <c r="V84" s="26">
        <f t="shared" si="36"/>
        <v>15.566666666666668</v>
      </c>
      <c r="W84" s="20">
        <f t="shared" si="37"/>
        <v>77.833333333333343</v>
      </c>
      <c r="X84" s="20">
        <f t="shared" si="38"/>
        <v>214.66666666666669</v>
      </c>
      <c r="Y84" s="86">
        <f t="shared" si="39"/>
        <v>292.5</v>
      </c>
      <c r="Z84" s="619"/>
      <c r="AA84" s="23"/>
    </row>
    <row r="85" spans="2:27">
      <c r="B85" s="14">
        <f t="shared" si="40"/>
        <v>82</v>
      </c>
      <c r="C85" s="37" t="s">
        <v>625</v>
      </c>
      <c r="D85" s="40">
        <v>113</v>
      </c>
      <c r="E85" s="39" t="s">
        <v>1326</v>
      </c>
      <c r="F85" s="37"/>
      <c r="G85" s="41">
        <f t="shared" si="21"/>
        <v>9.4166666666666661</v>
      </c>
      <c r="H85" s="615">
        <f t="shared" si="22"/>
        <v>16</v>
      </c>
      <c r="I85" s="615">
        <f t="shared" si="23"/>
        <v>14</v>
      </c>
      <c r="J85" s="12">
        <f t="shared" si="24"/>
        <v>5</v>
      </c>
      <c r="K85" s="12">
        <f t="shared" si="25"/>
        <v>47.083333333333329</v>
      </c>
      <c r="L85" s="12">
        <f t="shared" si="26"/>
        <v>58.854166666666657</v>
      </c>
      <c r="M85" s="12">
        <f t="shared" si="27"/>
        <v>1.4713541666666665</v>
      </c>
      <c r="N85" s="26">
        <f t="shared" si="28"/>
        <v>73.567708333333329</v>
      </c>
      <c r="O85" s="26">
        <f t="shared" si="29"/>
        <v>46.531575520833329</v>
      </c>
      <c r="P85" s="26">
        <f t="shared" si="30"/>
        <v>67.682291666666657</v>
      </c>
      <c r="Q85" s="612">
        <f t="shared" si="31"/>
        <v>0</v>
      </c>
      <c r="R85" s="26">
        <f t="shared" si="32"/>
        <v>0</v>
      </c>
      <c r="S85" s="26">
        <f t="shared" si="33"/>
        <v>0</v>
      </c>
      <c r="T85" s="26">
        <f t="shared" si="34"/>
        <v>0</v>
      </c>
      <c r="U85" s="26">
        <f t="shared" si="35"/>
        <v>0</v>
      </c>
      <c r="V85" s="26">
        <f t="shared" si="36"/>
        <v>18.391927083333332</v>
      </c>
      <c r="W85" s="20">
        <f t="shared" si="37"/>
        <v>91.959635416666657</v>
      </c>
      <c r="X85" s="20">
        <f t="shared" si="38"/>
        <v>114.21386718749999</v>
      </c>
      <c r="Y85" s="86">
        <f t="shared" si="39"/>
        <v>206.17350260416663</v>
      </c>
      <c r="Z85" s="619"/>
      <c r="AA85" s="23"/>
    </row>
    <row r="86" spans="2:27">
      <c r="B86" s="14">
        <f t="shared" si="40"/>
        <v>83</v>
      </c>
      <c r="C86" s="37" t="s">
        <v>625</v>
      </c>
      <c r="D86" s="40">
        <v>71</v>
      </c>
      <c r="E86" s="39" t="s">
        <v>1252</v>
      </c>
      <c r="F86" s="37"/>
      <c r="G86" s="41">
        <f t="shared" si="21"/>
        <v>5.9166666666666661</v>
      </c>
      <c r="H86" s="615">
        <f t="shared" si="22"/>
        <v>14</v>
      </c>
      <c r="I86" s="615">
        <f t="shared" si="23"/>
        <v>12</v>
      </c>
      <c r="J86" s="12">
        <f t="shared" si="24"/>
        <v>4.333333333333333</v>
      </c>
      <c r="K86" s="12">
        <f t="shared" si="25"/>
        <v>25.638888888888886</v>
      </c>
      <c r="L86" s="12">
        <f t="shared" si="26"/>
        <v>32.048611111111107</v>
      </c>
      <c r="M86" s="12">
        <f t="shared" si="27"/>
        <v>0.80121527777777768</v>
      </c>
      <c r="N86" s="26">
        <f t="shared" si="28"/>
        <v>40.060763888888886</v>
      </c>
      <c r="O86" s="26">
        <f t="shared" si="29"/>
        <v>25.338433159722218</v>
      </c>
      <c r="P86" s="26">
        <f t="shared" si="30"/>
        <v>36.855902777777771</v>
      </c>
      <c r="Q86" s="612">
        <f t="shared" si="31"/>
        <v>0</v>
      </c>
      <c r="R86" s="26">
        <f t="shared" si="32"/>
        <v>0</v>
      </c>
      <c r="S86" s="26">
        <f t="shared" si="33"/>
        <v>0</v>
      </c>
      <c r="T86" s="26">
        <f t="shared" si="34"/>
        <v>0</v>
      </c>
      <c r="U86" s="26">
        <f t="shared" si="35"/>
        <v>0</v>
      </c>
      <c r="V86" s="26">
        <f t="shared" si="36"/>
        <v>10.015190972222221</v>
      </c>
      <c r="W86" s="20">
        <f t="shared" si="37"/>
        <v>50.075954861111107</v>
      </c>
      <c r="X86" s="20">
        <f t="shared" si="38"/>
        <v>62.194335937499986</v>
      </c>
      <c r="Y86" s="86">
        <f t="shared" si="39"/>
        <v>112.27029079861109</v>
      </c>
      <c r="Z86" s="619"/>
      <c r="AA86" s="23"/>
    </row>
    <row r="87" spans="2:27">
      <c r="B87" s="14">
        <f t="shared" si="40"/>
        <v>84</v>
      </c>
      <c r="C87" s="37" t="s">
        <v>625</v>
      </c>
      <c r="D87" s="40">
        <v>86</v>
      </c>
      <c r="E87" s="39">
        <v>6</v>
      </c>
      <c r="F87" s="37"/>
      <c r="G87" s="41">
        <f t="shared" si="21"/>
        <v>7.1666666666666661</v>
      </c>
      <c r="H87" s="615">
        <f t="shared" si="22"/>
        <v>0</v>
      </c>
      <c r="I87" s="615">
        <f t="shared" si="23"/>
        <v>0</v>
      </c>
      <c r="J87" s="12">
        <f t="shared" si="24"/>
        <v>0</v>
      </c>
      <c r="K87" s="12">
        <f t="shared" si="25"/>
        <v>0</v>
      </c>
      <c r="L87" s="12">
        <f t="shared" si="26"/>
        <v>0</v>
      </c>
      <c r="M87" s="12">
        <f t="shared" si="27"/>
        <v>0</v>
      </c>
      <c r="N87" s="26">
        <f t="shared" si="28"/>
        <v>0</v>
      </c>
      <c r="O87" s="26">
        <f t="shared" si="29"/>
        <v>0</v>
      </c>
      <c r="P87" s="26">
        <f t="shared" si="30"/>
        <v>0</v>
      </c>
      <c r="Q87" s="612">
        <f t="shared" si="31"/>
        <v>10.033333333333331</v>
      </c>
      <c r="R87" s="26">
        <f t="shared" si="32"/>
        <v>55.966666666666669</v>
      </c>
      <c r="S87" s="26">
        <f t="shared" si="33"/>
        <v>0</v>
      </c>
      <c r="T87" s="26">
        <f t="shared" si="34"/>
        <v>4.3</v>
      </c>
      <c r="U87" s="26">
        <f t="shared" si="35"/>
        <v>12.75</v>
      </c>
      <c r="V87" s="26">
        <f t="shared" si="36"/>
        <v>6.770833333333333</v>
      </c>
      <c r="W87" s="20">
        <f t="shared" si="37"/>
        <v>33.854166666666664</v>
      </c>
      <c r="X87" s="20">
        <f t="shared" si="38"/>
        <v>55.966666666666669</v>
      </c>
      <c r="Y87" s="86">
        <f t="shared" si="39"/>
        <v>89.820833333333326</v>
      </c>
      <c r="Z87" s="619"/>
      <c r="AA87" s="23"/>
    </row>
    <row r="88" spans="2:27">
      <c r="B88" s="14">
        <f t="shared" si="40"/>
        <v>85</v>
      </c>
      <c r="C88" s="37" t="s">
        <v>625</v>
      </c>
      <c r="D88" s="40">
        <v>86</v>
      </c>
      <c r="E88" s="39">
        <v>6</v>
      </c>
      <c r="F88" s="37"/>
      <c r="G88" s="41">
        <f t="shared" si="21"/>
        <v>7.1666666666666661</v>
      </c>
      <c r="H88" s="615">
        <f t="shared" si="22"/>
        <v>0</v>
      </c>
      <c r="I88" s="615">
        <f t="shared" si="23"/>
        <v>0</v>
      </c>
      <c r="J88" s="12">
        <f t="shared" si="24"/>
        <v>0</v>
      </c>
      <c r="K88" s="12">
        <f t="shared" si="25"/>
        <v>0</v>
      </c>
      <c r="L88" s="12">
        <f t="shared" si="26"/>
        <v>0</v>
      </c>
      <c r="M88" s="12">
        <f t="shared" si="27"/>
        <v>0</v>
      </c>
      <c r="N88" s="26">
        <f t="shared" si="28"/>
        <v>0</v>
      </c>
      <c r="O88" s="26">
        <f t="shared" si="29"/>
        <v>0</v>
      </c>
      <c r="P88" s="26">
        <f t="shared" si="30"/>
        <v>0</v>
      </c>
      <c r="Q88" s="612">
        <f t="shared" si="31"/>
        <v>10.033333333333331</v>
      </c>
      <c r="R88" s="26">
        <f t="shared" si="32"/>
        <v>55.966666666666669</v>
      </c>
      <c r="S88" s="26">
        <f t="shared" si="33"/>
        <v>0</v>
      </c>
      <c r="T88" s="26">
        <f t="shared" si="34"/>
        <v>4.3</v>
      </c>
      <c r="U88" s="26">
        <f t="shared" si="35"/>
        <v>12.75</v>
      </c>
      <c r="V88" s="26">
        <f t="shared" si="36"/>
        <v>6.770833333333333</v>
      </c>
      <c r="W88" s="20">
        <f t="shared" si="37"/>
        <v>33.854166666666664</v>
      </c>
      <c r="X88" s="20">
        <f t="shared" si="38"/>
        <v>55.966666666666669</v>
      </c>
      <c r="Y88" s="86">
        <f t="shared" si="39"/>
        <v>89.820833333333326</v>
      </c>
      <c r="Z88" s="619"/>
      <c r="AA88" s="23"/>
    </row>
    <row r="89" spans="2:27">
      <c r="B89" s="14">
        <f t="shared" si="40"/>
        <v>86</v>
      </c>
      <c r="C89" s="37" t="s">
        <v>625</v>
      </c>
      <c r="D89" s="40">
        <v>86</v>
      </c>
      <c r="E89" s="39">
        <v>6</v>
      </c>
      <c r="F89" s="37"/>
      <c r="G89" s="41">
        <f t="shared" si="21"/>
        <v>7.1666666666666661</v>
      </c>
      <c r="H89" s="615">
        <f t="shared" si="22"/>
        <v>0</v>
      </c>
      <c r="I89" s="615">
        <f t="shared" si="23"/>
        <v>0</v>
      </c>
      <c r="J89" s="12">
        <f t="shared" si="24"/>
        <v>0</v>
      </c>
      <c r="K89" s="12">
        <f t="shared" si="25"/>
        <v>0</v>
      </c>
      <c r="L89" s="12">
        <f t="shared" si="26"/>
        <v>0</v>
      </c>
      <c r="M89" s="12">
        <f t="shared" si="27"/>
        <v>0</v>
      </c>
      <c r="N89" s="26">
        <f t="shared" si="28"/>
        <v>0</v>
      </c>
      <c r="O89" s="26">
        <f t="shared" si="29"/>
        <v>0</v>
      </c>
      <c r="P89" s="26">
        <f t="shared" si="30"/>
        <v>0</v>
      </c>
      <c r="Q89" s="612">
        <f t="shared" si="31"/>
        <v>10.033333333333331</v>
      </c>
      <c r="R89" s="26">
        <f t="shared" si="32"/>
        <v>55.966666666666669</v>
      </c>
      <c r="S89" s="26">
        <f t="shared" si="33"/>
        <v>0</v>
      </c>
      <c r="T89" s="26">
        <f t="shared" si="34"/>
        <v>4.3</v>
      </c>
      <c r="U89" s="26">
        <f t="shared" si="35"/>
        <v>12.75</v>
      </c>
      <c r="V89" s="26">
        <f t="shared" si="36"/>
        <v>6.770833333333333</v>
      </c>
      <c r="W89" s="20">
        <f t="shared" si="37"/>
        <v>33.854166666666664</v>
      </c>
      <c r="X89" s="20">
        <f t="shared" si="38"/>
        <v>55.966666666666669</v>
      </c>
      <c r="Y89" s="86">
        <f t="shared" si="39"/>
        <v>89.820833333333326</v>
      </c>
      <c r="Z89" s="619"/>
      <c r="AA89" s="23"/>
    </row>
    <row r="90" spans="2:27">
      <c r="B90" s="14">
        <f t="shared" si="40"/>
        <v>87</v>
      </c>
      <c r="C90" s="37" t="s">
        <v>625</v>
      </c>
      <c r="D90" s="40">
        <v>86</v>
      </c>
      <c r="E90" s="39">
        <v>6</v>
      </c>
      <c r="F90" s="37"/>
      <c r="G90" s="41">
        <f t="shared" si="21"/>
        <v>7.1666666666666661</v>
      </c>
      <c r="H90" s="615">
        <f t="shared" si="22"/>
        <v>0</v>
      </c>
      <c r="I90" s="615">
        <f t="shared" si="23"/>
        <v>0</v>
      </c>
      <c r="J90" s="12">
        <f t="shared" si="24"/>
        <v>0</v>
      </c>
      <c r="K90" s="12">
        <f t="shared" si="25"/>
        <v>0</v>
      </c>
      <c r="L90" s="12">
        <f t="shared" si="26"/>
        <v>0</v>
      </c>
      <c r="M90" s="12">
        <f t="shared" si="27"/>
        <v>0</v>
      </c>
      <c r="N90" s="26">
        <f t="shared" si="28"/>
        <v>0</v>
      </c>
      <c r="O90" s="26">
        <f t="shared" si="29"/>
        <v>0</v>
      </c>
      <c r="P90" s="26">
        <f t="shared" si="30"/>
        <v>0</v>
      </c>
      <c r="Q90" s="612">
        <f t="shared" si="31"/>
        <v>10.033333333333331</v>
      </c>
      <c r="R90" s="26">
        <f t="shared" si="32"/>
        <v>55.966666666666669</v>
      </c>
      <c r="S90" s="26">
        <f t="shared" si="33"/>
        <v>0</v>
      </c>
      <c r="T90" s="26">
        <f t="shared" si="34"/>
        <v>4.3</v>
      </c>
      <c r="U90" s="26">
        <f t="shared" si="35"/>
        <v>12.75</v>
      </c>
      <c r="V90" s="26">
        <f t="shared" si="36"/>
        <v>6.770833333333333</v>
      </c>
      <c r="W90" s="20">
        <f t="shared" si="37"/>
        <v>33.854166666666664</v>
      </c>
      <c r="X90" s="20">
        <f t="shared" si="38"/>
        <v>55.966666666666669</v>
      </c>
      <c r="Y90" s="86">
        <f t="shared" si="39"/>
        <v>89.820833333333326</v>
      </c>
      <c r="Z90" s="619"/>
      <c r="AA90" s="23"/>
    </row>
    <row r="91" spans="2:27">
      <c r="B91" s="14">
        <f t="shared" si="40"/>
        <v>88</v>
      </c>
      <c r="C91" s="37" t="s">
        <v>625</v>
      </c>
      <c r="D91" s="40">
        <v>240</v>
      </c>
      <c r="E91" s="39">
        <v>4</v>
      </c>
      <c r="F91" s="37"/>
      <c r="G91" s="41">
        <f t="shared" si="21"/>
        <v>20</v>
      </c>
      <c r="H91" s="615">
        <f t="shared" si="22"/>
        <v>0</v>
      </c>
      <c r="I91" s="615">
        <f t="shared" si="23"/>
        <v>0</v>
      </c>
      <c r="J91" s="12">
        <f t="shared" si="24"/>
        <v>0</v>
      </c>
      <c r="K91" s="12">
        <f t="shared" si="25"/>
        <v>0</v>
      </c>
      <c r="L91" s="12">
        <f t="shared" si="26"/>
        <v>0</v>
      </c>
      <c r="M91" s="12">
        <f t="shared" si="27"/>
        <v>0</v>
      </c>
      <c r="N91" s="26">
        <f t="shared" si="28"/>
        <v>0</v>
      </c>
      <c r="O91" s="26">
        <f t="shared" si="29"/>
        <v>0</v>
      </c>
      <c r="P91" s="26">
        <f t="shared" si="30"/>
        <v>0</v>
      </c>
      <c r="Q91" s="612">
        <f t="shared" si="31"/>
        <v>22.400000000000002</v>
      </c>
      <c r="R91" s="26">
        <f t="shared" si="32"/>
        <v>115</v>
      </c>
      <c r="S91" s="26">
        <f t="shared" si="33"/>
        <v>0</v>
      </c>
      <c r="T91" s="26">
        <f t="shared" si="34"/>
        <v>3.6</v>
      </c>
      <c r="U91" s="26">
        <f t="shared" si="35"/>
        <v>12</v>
      </c>
      <c r="V91" s="26">
        <f t="shared" si="36"/>
        <v>9.5</v>
      </c>
      <c r="W91" s="20">
        <f t="shared" si="37"/>
        <v>47.5</v>
      </c>
      <c r="X91" s="20">
        <f t="shared" si="38"/>
        <v>115</v>
      </c>
      <c r="Y91" s="86">
        <f t="shared" si="39"/>
        <v>162.5</v>
      </c>
      <c r="Z91" s="619"/>
      <c r="AA91" s="23"/>
    </row>
    <row r="92" spans="2:27">
      <c r="B92" s="14">
        <f t="shared" si="40"/>
        <v>89</v>
      </c>
      <c r="C92" s="37" t="s">
        <v>625</v>
      </c>
      <c r="D92" s="40">
        <v>113</v>
      </c>
      <c r="E92" s="39" t="s">
        <v>1326</v>
      </c>
      <c r="F92" s="37"/>
      <c r="G92" s="41">
        <f t="shared" si="21"/>
        <v>9.4166666666666661</v>
      </c>
      <c r="H92" s="615">
        <f t="shared" si="22"/>
        <v>16</v>
      </c>
      <c r="I92" s="615">
        <f t="shared" si="23"/>
        <v>14</v>
      </c>
      <c r="J92" s="12">
        <f t="shared" si="24"/>
        <v>5</v>
      </c>
      <c r="K92" s="12">
        <f t="shared" si="25"/>
        <v>47.083333333333329</v>
      </c>
      <c r="L92" s="12">
        <f t="shared" si="26"/>
        <v>58.854166666666657</v>
      </c>
      <c r="M92" s="12">
        <f t="shared" si="27"/>
        <v>1.4713541666666665</v>
      </c>
      <c r="N92" s="26">
        <f t="shared" si="28"/>
        <v>73.567708333333329</v>
      </c>
      <c r="O92" s="26">
        <f t="shared" si="29"/>
        <v>46.531575520833329</v>
      </c>
      <c r="P92" s="26">
        <f t="shared" si="30"/>
        <v>67.682291666666657</v>
      </c>
      <c r="Q92" s="612">
        <f t="shared" si="31"/>
        <v>0</v>
      </c>
      <c r="R92" s="26">
        <f t="shared" si="32"/>
        <v>0</v>
      </c>
      <c r="S92" s="26">
        <f t="shared" si="33"/>
        <v>0</v>
      </c>
      <c r="T92" s="26">
        <f t="shared" si="34"/>
        <v>0</v>
      </c>
      <c r="U92" s="26">
        <f t="shared" si="35"/>
        <v>0</v>
      </c>
      <c r="V92" s="26">
        <f t="shared" si="36"/>
        <v>18.391927083333332</v>
      </c>
      <c r="W92" s="20">
        <f t="shared" si="37"/>
        <v>91.959635416666657</v>
      </c>
      <c r="X92" s="20">
        <f t="shared" si="38"/>
        <v>114.21386718749999</v>
      </c>
      <c r="Y92" s="86">
        <f t="shared" si="39"/>
        <v>206.17350260416663</v>
      </c>
      <c r="Z92" s="619"/>
      <c r="AA92" s="23"/>
    </row>
    <row r="93" spans="2:27">
      <c r="B93" s="14">
        <f t="shared" si="40"/>
        <v>90</v>
      </c>
      <c r="C93" s="37" t="s">
        <v>625</v>
      </c>
      <c r="D93" s="40">
        <v>71</v>
      </c>
      <c r="E93" s="39" t="s">
        <v>1252</v>
      </c>
      <c r="F93" s="37"/>
      <c r="G93" s="41">
        <f t="shared" si="21"/>
        <v>5.9166666666666661</v>
      </c>
      <c r="H93" s="615">
        <f t="shared" si="22"/>
        <v>14</v>
      </c>
      <c r="I93" s="615">
        <f t="shared" si="23"/>
        <v>12</v>
      </c>
      <c r="J93" s="12">
        <f t="shared" si="24"/>
        <v>4.333333333333333</v>
      </c>
      <c r="K93" s="12">
        <f t="shared" si="25"/>
        <v>25.638888888888886</v>
      </c>
      <c r="L93" s="12">
        <f t="shared" si="26"/>
        <v>32.048611111111107</v>
      </c>
      <c r="M93" s="12">
        <f t="shared" si="27"/>
        <v>0.80121527777777768</v>
      </c>
      <c r="N93" s="26">
        <f t="shared" si="28"/>
        <v>40.060763888888886</v>
      </c>
      <c r="O93" s="26">
        <f t="shared" si="29"/>
        <v>25.338433159722218</v>
      </c>
      <c r="P93" s="26">
        <f t="shared" si="30"/>
        <v>36.855902777777771</v>
      </c>
      <c r="Q93" s="612">
        <f t="shared" si="31"/>
        <v>0</v>
      </c>
      <c r="R93" s="26">
        <f t="shared" si="32"/>
        <v>0</v>
      </c>
      <c r="S93" s="26">
        <f t="shared" si="33"/>
        <v>0</v>
      </c>
      <c r="T93" s="26">
        <f t="shared" si="34"/>
        <v>0</v>
      </c>
      <c r="U93" s="26">
        <f t="shared" si="35"/>
        <v>0</v>
      </c>
      <c r="V93" s="26">
        <f t="shared" si="36"/>
        <v>10.015190972222221</v>
      </c>
      <c r="W93" s="20">
        <f t="shared" si="37"/>
        <v>50.075954861111107</v>
      </c>
      <c r="X93" s="20">
        <f t="shared" si="38"/>
        <v>62.194335937499986</v>
      </c>
      <c r="Y93" s="86">
        <f t="shared" si="39"/>
        <v>112.27029079861109</v>
      </c>
      <c r="Z93" s="619"/>
      <c r="AA93" s="23"/>
    </row>
    <row r="94" spans="2:27">
      <c r="B94" s="14">
        <f t="shared" si="40"/>
        <v>91</v>
      </c>
      <c r="C94" s="37" t="s">
        <v>625</v>
      </c>
      <c r="D94" s="40">
        <v>86</v>
      </c>
      <c r="E94" s="39">
        <v>6</v>
      </c>
      <c r="F94" s="37"/>
      <c r="G94" s="41">
        <f t="shared" si="21"/>
        <v>7.1666666666666661</v>
      </c>
      <c r="H94" s="615">
        <f t="shared" si="22"/>
        <v>0</v>
      </c>
      <c r="I94" s="615">
        <f t="shared" si="23"/>
        <v>0</v>
      </c>
      <c r="J94" s="12">
        <f t="shared" si="24"/>
        <v>0</v>
      </c>
      <c r="K94" s="12">
        <f t="shared" si="25"/>
        <v>0</v>
      </c>
      <c r="L94" s="12">
        <f t="shared" si="26"/>
        <v>0</v>
      </c>
      <c r="M94" s="12">
        <f t="shared" si="27"/>
        <v>0</v>
      </c>
      <c r="N94" s="26">
        <f t="shared" si="28"/>
        <v>0</v>
      </c>
      <c r="O94" s="26">
        <f t="shared" si="29"/>
        <v>0</v>
      </c>
      <c r="P94" s="26">
        <f t="shared" si="30"/>
        <v>0</v>
      </c>
      <c r="Q94" s="612">
        <f t="shared" si="31"/>
        <v>10.033333333333331</v>
      </c>
      <c r="R94" s="26">
        <f t="shared" si="32"/>
        <v>55.966666666666669</v>
      </c>
      <c r="S94" s="26">
        <f t="shared" si="33"/>
        <v>0</v>
      </c>
      <c r="T94" s="26">
        <f t="shared" si="34"/>
        <v>4.3</v>
      </c>
      <c r="U94" s="26">
        <f t="shared" si="35"/>
        <v>12.75</v>
      </c>
      <c r="V94" s="26">
        <f t="shared" si="36"/>
        <v>6.770833333333333</v>
      </c>
      <c r="W94" s="20">
        <f t="shared" si="37"/>
        <v>33.854166666666664</v>
      </c>
      <c r="X94" s="20">
        <f t="shared" si="38"/>
        <v>55.966666666666669</v>
      </c>
      <c r="Y94" s="86">
        <f t="shared" si="39"/>
        <v>89.820833333333326</v>
      </c>
      <c r="Z94" s="619"/>
      <c r="AA94" s="23"/>
    </row>
    <row r="95" spans="2:27">
      <c r="B95" s="14">
        <f t="shared" si="40"/>
        <v>92</v>
      </c>
      <c r="C95" s="37" t="s">
        <v>625</v>
      </c>
      <c r="D95" s="40">
        <v>86</v>
      </c>
      <c r="E95" s="39">
        <v>6</v>
      </c>
      <c r="F95" s="37"/>
      <c r="G95" s="41">
        <f t="shared" si="21"/>
        <v>7.1666666666666661</v>
      </c>
      <c r="H95" s="615">
        <f t="shared" si="22"/>
        <v>0</v>
      </c>
      <c r="I95" s="615">
        <f t="shared" si="23"/>
        <v>0</v>
      </c>
      <c r="J95" s="12">
        <f t="shared" si="24"/>
        <v>0</v>
      </c>
      <c r="K95" s="12">
        <f t="shared" si="25"/>
        <v>0</v>
      </c>
      <c r="L95" s="12">
        <f t="shared" si="26"/>
        <v>0</v>
      </c>
      <c r="M95" s="12">
        <f t="shared" si="27"/>
        <v>0</v>
      </c>
      <c r="N95" s="26">
        <f t="shared" si="28"/>
        <v>0</v>
      </c>
      <c r="O95" s="26">
        <f t="shared" si="29"/>
        <v>0</v>
      </c>
      <c r="P95" s="26">
        <f t="shared" si="30"/>
        <v>0</v>
      </c>
      <c r="Q95" s="612">
        <f t="shared" si="31"/>
        <v>10.033333333333331</v>
      </c>
      <c r="R95" s="26">
        <f t="shared" si="32"/>
        <v>55.966666666666669</v>
      </c>
      <c r="S95" s="26">
        <f t="shared" si="33"/>
        <v>0</v>
      </c>
      <c r="T95" s="26">
        <f t="shared" si="34"/>
        <v>4.3</v>
      </c>
      <c r="U95" s="26">
        <f t="shared" si="35"/>
        <v>12.75</v>
      </c>
      <c r="V95" s="26">
        <f t="shared" si="36"/>
        <v>6.770833333333333</v>
      </c>
      <c r="W95" s="20">
        <f t="shared" si="37"/>
        <v>33.854166666666664</v>
      </c>
      <c r="X95" s="20">
        <f t="shared" si="38"/>
        <v>55.966666666666669</v>
      </c>
      <c r="Y95" s="86">
        <f t="shared" si="39"/>
        <v>89.820833333333326</v>
      </c>
      <c r="Z95" s="619"/>
      <c r="AA95" s="23"/>
    </row>
    <row r="96" spans="2:27">
      <c r="B96" s="14">
        <f t="shared" si="40"/>
        <v>93</v>
      </c>
      <c r="C96" s="37" t="s">
        <v>625</v>
      </c>
      <c r="D96" s="40">
        <v>86</v>
      </c>
      <c r="E96" s="39">
        <v>6</v>
      </c>
      <c r="F96" s="37"/>
      <c r="G96" s="41">
        <f t="shared" si="21"/>
        <v>7.1666666666666661</v>
      </c>
      <c r="H96" s="615">
        <f t="shared" si="22"/>
        <v>0</v>
      </c>
      <c r="I96" s="615">
        <f t="shared" si="23"/>
        <v>0</v>
      </c>
      <c r="J96" s="12">
        <f t="shared" si="24"/>
        <v>0</v>
      </c>
      <c r="K96" s="12">
        <f t="shared" si="25"/>
        <v>0</v>
      </c>
      <c r="L96" s="12">
        <f t="shared" si="26"/>
        <v>0</v>
      </c>
      <c r="M96" s="12">
        <f t="shared" si="27"/>
        <v>0</v>
      </c>
      <c r="N96" s="26">
        <f t="shared" si="28"/>
        <v>0</v>
      </c>
      <c r="O96" s="26">
        <f t="shared" si="29"/>
        <v>0</v>
      </c>
      <c r="P96" s="26">
        <f t="shared" si="30"/>
        <v>0</v>
      </c>
      <c r="Q96" s="612">
        <f t="shared" si="31"/>
        <v>10.033333333333331</v>
      </c>
      <c r="R96" s="26">
        <f t="shared" si="32"/>
        <v>55.966666666666669</v>
      </c>
      <c r="S96" s="26">
        <f t="shared" si="33"/>
        <v>0</v>
      </c>
      <c r="T96" s="26">
        <f t="shared" si="34"/>
        <v>4.3</v>
      </c>
      <c r="U96" s="26">
        <f t="shared" si="35"/>
        <v>12.75</v>
      </c>
      <c r="V96" s="26">
        <f t="shared" si="36"/>
        <v>6.770833333333333</v>
      </c>
      <c r="W96" s="20">
        <f t="shared" si="37"/>
        <v>33.854166666666664</v>
      </c>
      <c r="X96" s="20">
        <f t="shared" si="38"/>
        <v>55.966666666666669</v>
      </c>
      <c r="Y96" s="86">
        <f t="shared" si="39"/>
        <v>89.820833333333326</v>
      </c>
      <c r="Z96" s="619"/>
      <c r="AA96" s="23"/>
    </row>
    <row r="97" spans="2:27">
      <c r="B97" s="14">
        <f t="shared" si="40"/>
        <v>94</v>
      </c>
      <c r="C97" s="37" t="s">
        <v>625</v>
      </c>
      <c r="D97" s="40">
        <v>86</v>
      </c>
      <c r="E97" s="39">
        <v>6</v>
      </c>
      <c r="F97" s="37"/>
      <c r="G97" s="41">
        <f t="shared" si="21"/>
        <v>7.1666666666666661</v>
      </c>
      <c r="H97" s="615">
        <f t="shared" si="22"/>
        <v>0</v>
      </c>
      <c r="I97" s="615">
        <f t="shared" si="23"/>
        <v>0</v>
      </c>
      <c r="J97" s="12">
        <f t="shared" si="24"/>
        <v>0</v>
      </c>
      <c r="K97" s="12">
        <f t="shared" si="25"/>
        <v>0</v>
      </c>
      <c r="L97" s="12">
        <f t="shared" si="26"/>
        <v>0</v>
      </c>
      <c r="M97" s="12">
        <f t="shared" si="27"/>
        <v>0</v>
      </c>
      <c r="N97" s="26">
        <f t="shared" si="28"/>
        <v>0</v>
      </c>
      <c r="O97" s="26">
        <f t="shared" si="29"/>
        <v>0</v>
      </c>
      <c r="P97" s="26">
        <f t="shared" si="30"/>
        <v>0</v>
      </c>
      <c r="Q97" s="612">
        <f t="shared" si="31"/>
        <v>10.033333333333331</v>
      </c>
      <c r="R97" s="26">
        <f t="shared" si="32"/>
        <v>55.966666666666669</v>
      </c>
      <c r="S97" s="26">
        <f t="shared" si="33"/>
        <v>0</v>
      </c>
      <c r="T97" s="26">
        <f t="shared" si="34"/>
        <v>4.3</v>
      </c>
      <c r="U97" s="26">
        <f t="shared" si="35"/>
        <v>12.75</v>
      </c>
      <c r="V97" s="26">
        <f t="shared" si="36"/>
        <v>6.770833333333333</v>
      </c>
      <c r="W97" s="20">
        <f t="shared" si="37"/>
        <v>33.854166666666664</v>
      </c>
      <c r="X97" s="20">
        <f t="shared" si="38"/>
        <v>55.966666666666669</v>
      </c>
      <c r="Y97" s="86">
        <f t="shared" si="39"/>
        <v>89.820833333333326</v>
      </c>
      <c r="Z97" s="619"/>
      <c r="AA97" s="23"/>
    </row>
    <row r="98" spans="2:27">
      <c r="B98" s="14">
        <f t="shared" si="40"/>
        <v>95</v>
      </c>
      <c r="C98" s="37" t="s">
        <v>625</v>
      </c>
      <c r="D98" s="40">
        <v>240</v>
      </c>
      <c r="E98" s="39">
        <v>4</v>
      </c>
      <c r="F98" s="37"/>
      <c r="G98" s="41">
        <f t="shared" si="21"/>
        <v>20</v>
      </c>
      <c r="H98" s="615">
        <f t="shared" si="22"/>
        <v>0</v>
      </c>
      <c r="I98" s="615">
        <f t="shared" si="23"/>
        <v>0</v>
      </c>
      <c r="J98" s="12">
        <f t="shared" si="24"/>
        <v>0</v>
      </c>
      <c r="K98" s="12">
        <f t="shared" si="25"/>
        <v>0</v>
      </c>
      <c r="L98" s="12">
        <f t="shared" si="26"/>
        <v>0</v>
      </c>
      <c r="M98" s="12">
        <f t="shared" si="27"/>
        <v>0</v>
      </c>
      <c r="N98" s="26">
        <f t="shared" si="28"/>
        <v>0</v>
      </c>
      <c r="O98" s="26">
        <f t="shared" si="29"/>
        <v>0</v>
      </c>
      <c r="P98" s="26">
        <f t="shared" si="30"/>
        <v>0</v>
      </c>
      <c r="Q98" s="612">
        <f t="shared" si="31"/>
        <v>22.400000000000002</v>
      </c>
      <c r="R98" s="26">
        <f t="shared" si="32"/>
        <v>115</v>
      </c>
      <c r="S98" s="26">
        <f t="shared" si="33"/>
        <v>0</v>
      </c>
      <c r="T98" s="26">
        <f t="shared" si="34"/>
        <v>3.6</v>
      </c>
      <c r="U98" s="26">
        <f t="shared" si="35"/>
        <v>12</v>
      </c>
      <c r="V98" s="26">
        <f t="shared" si="36"/>
        <v>9.5</v>
      </c>
      <c r="W98" s="20">
        <f t="shared" si="37"/>
        <v>47.5</v>
      </c>
      <c r="X98" s="20">
        <f t="shared" si="38"/>
        <v>115</v>
      </c>
      <c r="Y98" s="86">
        <f t="shared" si="39"/>
        <v>162.5</v>
      </c>
      <c r="Z98" s="619"/>
      <c r="AA98" s="23"/>
    </row>
    <row r="99" spans="2:27">
      <c r="B99" s="14">
        <f t="shared" si="40"/>
        <v>96</v>
      </c>
      <c r="C99" s="37" t="s">
        <v>625</v>
      </c>
      <c r="D99" s="40">
        <v>113</v>
      </c>
      <c r="E99" s="39" t="s">
        <v>1326</v>
      </c>
      <c r="F99" s="37"/>
      <c r="G99" s="41">
        <f t="shared" si="21"/>
        <v>9.4166666666666661</v>
      </c>
      <c r="H99" s="615">
        <f t="shared" si="22"/>
        <v>16</v>
      </c>
      <c r="I99" s="615">
        <f t="shared" si="23"/>
        <v>14</v>
      </c>
      <c r="J99" s="12">
        <f t="shared" si="24"/>
        <v>5</v>
      </c>
      <c r="K99" s="12">
        <f t="shared" si="25"/>
        <v>47.083333333333329</v>
      </c>
      <c r="L99" s="12">
        <f t="shared" si="26"/>
        <v>58.854166666666657</v>
      </c>
      <c r="M99" s="12">
        <f t="shared" si="27"/>
        <v>1.4713541666666665</v>
      </c>
      <c r="N99" s="26">
        <f t="shared" si="28"/>
        <v>73.567708333333329</v>
      </c>
      <c r="O99" s="26">
        <f t="shared" si="29"/>
        <v>46.531575520833329</v>
      </c>
      <c r="P99" s="26">
        <f t="shared" si="30"/>
        <v>67.682291666666657</v>
      </c>
      <c r="Q99" s="612">
        <f t="shared" si="31"/>
        <v>0</v>
      </c>
      <c r="R99" s="26">
        <f t="shared" si="32"/>
        <v>0</v>
      </c>
      <c r="S99" s="26">
        <f t="shared" si="33"/>
        <v>0</v>
      </c>
      <c r="T99" s="26">
        <f t="shared" si="34"/>
        <v>0</v>
      </c>
      <c r="U99" s="26">
        <f t="shared" si="35"/>
        <v>0</v>
      </c>
      <c r="V99" s="26">
        <f t="shared" si="36"/>
        <v>18.391927083333332</v>
      </c>
      <c r="W99" s="20">
        <f t="shared" si="37"/>
        <v>91.959635416666657</v>
      </c>
      <c r="X99" s="20">
        <f t="shared" si="38"/>
        <v>114.21386718749999</v>
      </c>
      <c r="Y99" s="86">
        <f t="shared" si="39"/>
        <v>206.17350260416663</v>
      </c>
      <c r="Z99" s="619"/>
      <c r="AA99" s="23"/>
    </row>
    <row r="100" spans="2:27">
      <c r="B100" s="14">
        <f t="shared" si="40"/>
        <v>97</v>
      </c>
      <c r="C100" s="37" t="s">
        <v>625</v>
      </c>
      <c r="D100" s="40">
        <v>71</v>
      </c>
      <c r="E100" s="39" t="s">
        <v>1252</v>
      </c>
      <c r="F100" s="37"/>
      <c r="G100" s="41">
        <f t="shared" ref="G100:G122" si="41">IF(D100="","",+$G$2*D100)</f>
        <v>5.9166666666666661</v>
      </c>
      <c r="H100" s="615">
        <f t="shared" si="22"/>
        <v>14</v>
      </c>
      <c r="I100" s="615">
        <f t="shared" si="23"/>
        <v>12</v>
      </c>
      <c r="J100" s="12">
        <f t="shared" si="24"/>
        <v>4.333333333333333</v>
      </c>
      <c r="K100" s="12">
        <f t="shared" si="25"/>
        <v>25.638888888888886</v>
      </c>
      <c r="L100" s="12">
        <f t="shared" si="26"/>
        <v>32.048611111111107</v>
      </c>
      <c r="M100" s="12">
        <f t="shared" si="27"/>
        <v>0.80121527777777768</v>
      </c>
      <c r="N100" s="26">
        <f t="shared" si="28"/>
        <v>40.060763888888886</v>
      </c>
      <c r="O100" s="26">
        <f t="shared" si="29"/>
        <v>25.338433159722218</v>
      </c>
      <c r="P100" s="26">
        <f t="shared" si="30"/>
        <v>36.855902777777771</v>
      </c>
      <c r="Q100" s="612">
        <f t="shared" si="31"/>
        <v>0</v>
      </c>
      <c r="R100" s="26">
        <f t="shared" si="32"/>
        <v>0</v>
      </c>
      <c r="S100" s="26">
        <f t="shared" si="33"/>
        <v>0</v>
      </c>
      <c r="T100" s="26">
        <f t="shared" si="34"/>
        <v>0</v>
      </c>
      <c r="U100" s="26">
        <f t="shared" si="35"/>
        <v>0</v>
      </c>
      <c r="V100" s="26">
        <f t="shared" si="36"/>
        <v>10.015190972222221</v>
      </c>
      <c r="W100" s="20">
        <f t="shared" si="37"/>
        <v>50.075954861111107</v>
      </c>
      <c r="X100" s="20">
        <f t="shared" si="38"/>
        <v>62.194335937499986</v>
      </c>
      <c r="Y100" s="86">
        <f t="shared" si="39"/>
        <v>112.27029079861109</v>
      </c>
      <c r="Z100" s="619"/>
      <c r="AA100" s="23"/>
    </row>
    <row r="101" spans="2:27">
      <c r="B101" s="14">
        <f t="shared" si="40"/>
        <v>98</v>
      </c>
      <c r="C101" s="37" t="s">
        <v>625</v>
      </c>
      <c r="D101" s="40">
        <v>86</v>
      </c>
      <c r="E101" s="39">
        <v>6</v>
      </c>
      <c r="F101" s="37"/>
      <c r="G101" s="41">
        <f t="shared" si="41"/>
        <v>7.1666666666666661</v>
      </c>
      <c r="H101" s="615">
        <f t="shared" si="22"/>
        <v>0</v>
      </c>
      <c r="I101" s="615">
        <f t="shared" si="23"/>
        <v>0</v>
      </c>
      <c r="J101" s="12">
        <f t="shared" si="24"/>
        <v>0</v>
      </c>
      <c r="K101" s="12">
        <f t="shared" si="25"/>
        <v>0</v>
      </c>
      <c r="L101" s="12">
        <f t="shared" si="26"/>
        <v>0</v>
      </c>
      <c r="M101" s="12">
        <f t="shared" si="27"/>
        <v>0</v>
      </c>
      <c r="N101" s="26">
        <f t="shared" si="28"/>
        <v>0</v>
      </c>
      <c r="O101" s="26">
        <f t="shared" si="29"/>
        <v>0</v>
      </c>
      <c r="P101" s="26">
        <f t="shared" si="30"/>
        <v>0</v>
      </c>
      <c r="Q101" s="612">
        <f t="shared" si="31"/>
        <v>10.033333333333331</v>
      </c>
      <c r="R101" s="26">
        <f t="shared" si="32"/>
        <v>55.966666666666669</v>
      </c>
      <c r="S101" s="26">
        <f t="shared" si="33"/>
        <v>0</v>
      </c>
      <c r="T101" s="26">
        <f t="shared" si="34"/>
        <v>4.3</v>
      </c>
      <c r="U101" s="26">
        <f t="shared" si="35"/>
        <v>12.75</v>
      </c>
      <c r="V101" s="26">
        <f t="shared" si="36"/>
        <v>6.770833333333333</v>
      </c>
      <c r="W101" s="20">
        <f t="shared" si="37"/>
        <v>33.854166666666664</v>
      </c>
      <c r="X101" s="20">
        <f t="shared" si="38"/>
        <v>55.966666666666669</v>
      </c>
      <c r="Y101" s="86">
        <f t="shared" si="39"/>
        <v>89.820833333333326</v>
      </c>
      <c r="Z101" s="619"/>
      <c r="AA101" s="23"/>
    </row>
    <row r="102" spans="2:27">
      <c r="B102" s="14">
        <f t="shared" si="40"/>
        <v>99</v>
      </c>
      <c r="C102" s="37" t="s">
        <v>625</v>
      </c>
      <c r="D102" s="40">
        <v>86</v>
      </c>
      <c r="E102" s="39">
        <v>6</v>
      </c>
      <c r="F102" s="37"/>
      <c r="G102" s="41">
        <f t="shared" si="41"/>
        <v>7.1666666666666661</v>
      </c>
      <c r="H102" s="615">
        <f t="shared" si="22"/>
        <v>0</v>
      </c>
      <c r="I102" s="615">
        <f t="shared" si="23"/>
        <v>0</v>
      </c>
      <c r="J102" s="12">
        <f t="shared" si="24"/>
        <v>0</v>
      </c>
      <c r="K102" s="12">
        <f t="shared" si="25"/>
        <v>0</v>
      </c>
      <c r="L102" s="12">
        <f t="shared" si="26"/>
        <v>0</v>
      </c>
      <c r="M102" s="12">
        <f t="shared" si="27"/>
        <v>0</v>
      </c>
      <c r="N102" s="26">
        <f t="shared" si="28"/>
        <v>0</v>
      </c>
      <c r="O102" s="26">
        <f t="shared" si="29"/>
        <v>0</v>
      </c>
      <c r="P102" s="26">
        <f t="shared" si="30"/>
        <v>0</v>
      </c>
      <c r="Q102" s="612">
        <f t="shared" si="31"/>
        <v>10.033333333333331</v>
      </c>
      <c r="R102" s="26">
        <f t="shared" si="32"/>
        <v>55.966666666666669</v>
      </c>
      <c r="S102" s="26">
        <f t="shared" si="33"/>
        <v>0</v>
      </c>
      <c r="T102" s="26">
        <f t="shared" si="34"/>
        <v>4.3</v>
      </c>
      <c r="U102" s="26">
        <f t="shared" si="35"/>
        <v>12.75</v>
      </c>
      <c r="V102" s="26">
        <f t="shared" si="36"/>
        <v>6.770833333333333</v>
      </c>
      <c r="W102" s="20">
        <f t="shared" si="37"/>
        <v>33.854166666666664</v>
      </c>
      <c r="X102" s="20">
        <f t="shared" si="38"/>
        <v>55.966666666666669</v>
      </c>
      <c r="Y102" s="86">
        <f t="shared" si="39"/>
        <v>89.820833333333326</v>
      </c>
      <c r="Z102" s="619"/>
      <c r="AA102" s="23"/>
    </row>
    <row r="103" spans="2:27">
      <c r="B103" s="14">
        <f t="shared" si="40"/>
        <v>100</v>
      </c>
      <c r="C103" s="37" t="s">
        <v>625</v>
      </c>
      <c r="D103" s="40">
        <v>86</v>
      </c>
      <c r="E103" s="39">
        <v>6</v>
      </c>
      <c r="F103" s="37"/>
      <c r="G103" s="41">
        <f t="shared" si="41"/>
        <v>7.1666666666666661</v>
      </c>
      <c r="H103" s="615">
        <f t="shared" si="22"/>
        <v>0</v>
      </c>
      <c r="I103" s="615">
        <f t="shared" si="23"/>
        <v>0</v>
      </c>
      <c r="J103" s="12">
        <f t="shared" si="24"/>
        <v>0</v>
      </c>
      <c r="K103" s="12">
        <f t="shared" si="25"/>
        <v>0</v>
      </c>
      <c r="L103" s="12">
        <f t="shared" si="26"/>
        <v>0</v>
      </c>
      <c r="M103" s="12">
        <f t="shared" si="27"/>
        <v>0</v>
      </c>
      <c r="N103" s="26">
        <f t="shared" si="28"/>
        <v>0</v>
      </c>
      <c r="O103" s="26">
        <f t="shared" si="29"/>
        <v>0</v>
      </c>
      <c r="P103" s="26">
        <f t="shared" si="30"/>
        <v>0</v>
      </c>
      <c r="Q103" s="612">
        <f t="shared" si="31"/>
        <v>10.033333333333331</v>
      </c>
      <c r="R103" s="26">
        <f t="shared" si="32"/>
        <v>55.966666666666669</v>
      </c>
      <c r="S103" s="26">
        <f t="shared" si="33"/>
        <v>0</v>
      </c>
      <c r="T103" s="26">
        <f t="shared" si="34"/>
        <v>4.3</v>
      </c>
      <c r="U103" s="26">
        <f t="shared" si="35"/>
        <v>12.75</v>
      </c>
      <c r="V103" s="26">
        <f t="shared" si="36"/>
        <v>6.770833333333333</v>
      </c>
      <c r="W103" s="20">
        <f t="shared" si="37"/>
        <v>33.854166666666664</v>
      </c>
      <c r="X103" s="20">
        <f t="shared" si="38"/>
        <v>55.966666666666669</v>
      </c>
      <c r="Y103" s="86">
        <f t="shared" si="39"/>
        <v>89.820833333333326</v>
      </c>
      <c r="Z103" s="619"/>
      <c r="AA103" s="23"/>
    </row>
    <row r="104" spans="2:27">
      <c r="B104" s="14">
        <f t="shared" si="40"/>
        <v>101</v>
      </c>
      <c r="C104" s="37" t="s">
        <v>625</v>
      </c>
      <c r="D104" s="40">
        <v>86</v>
      </c>
      <c r="E104" s="39">
        <v>6</v>
      </c>
      <c r="F104" s="37"/>
      <c r="G104" s="41">
        <f t="shared" si="41"/>
        <v>7.1666666666666661</v>
      </c>
      <c r="H104" s="615">
        <f t="shared" si="22"/>
        <v>0</v>
      </c>
      <c r="I104" s="615">
        <f t="shared" si="23"/>
        <v>0</v>
      </c>
      <c r="J104" s="12">
        <f t="shared" si="24"/>
        <v>0</v>
      </c>
      <c r="K104" s="12">
        <f t="shared" si="25"/>
        <v>0</v>
      </c>
      <c r="L104" s="12">
        <f t="shared" si="26"/>
        <v>0</v>
      </c>
      <c r="M104" s="12">
        <f t="shared" si="27"/>
        <v>0</v>
      </c>
      <c r="N104" s="26">
        <f t="shared" si="28"/>
        <v>0</v>
      </c>
      <c r="O104" s="26">
        <f t="shared" si="29"/>
        <v>0</v>
      </c>
      <c r="P104" s="26">
        <f t="shared" si="30"/>
        <v>0</v>
      </c>
      <c r="Q104" s="612">
        <f t="shared" si="31"/>
        <v>10.033333333333331</v>
      </c>
      <c r="R104" s="26">
        <f t="shared" si="32"/>
        <v>55.966666666666669</v>
      </c>
      <c r="S104" s="26">
        <f t="shared" si="33"/>
        <v>0</v>
      </c>
      <c r="T104" s="26">
        <f t="shared" si="34"/>
        <v>4.3</v>
      </c>
      <c r="U104" s="26">
        <f t="shared" si="35"/>
        <v>12.75</v>
      </c>
      <c r="V104" s="26">
        <f t="shared" si="36"/>
        <v>6.770833333333333</v>
      </c>
      <c r="W104" s="20">
        <f t="shared" si="37"/>
        <v>33.854166666666664</v>
      </c>
      <c r="X104" s="20">
        <f t="shared" si="38"/>
        <v>55.966666666666669</v>
      </c>
      <c r="Y104" s="86">
        <f t="shared" si="39"/>
        <v>89.820833333333326</v>
      </c>
      <c r="Z104" s="619"/>
      <c r="AA104" s="23"/>
    </row>
    <row r="105" spans="2:27">
      <c r="B105" s="14">
        <f t="shared" si="40"/>
        <v>102</v>
      </c>
      <c r="C105" s="37" t="s">
        <v>625</v>
      </c>
      <c r="D105" s="40">
        <v>240</v>
      </c>
      <c r="E105" s="39">
        <v>4</v>
      </c>
      <c r="F105" s="37"/>
      <c r="G105" s="41">
        <f t="shared" si="41"/>
        <v>20</v>
      </c>
      <c r="H105" s="615">
        <f t="shared" si="22"/>
        <v>0</v>
      </c>
      <c r="I105" s="615">
        <f t="shared" si="23"/>
        <v>0</v>
      </c>
      <c r="J105" s="12">
        <f t="shared" si="24"/>
        <v>0</v>
      </c>
      <c r="K105" s="12">
        <f t="shared" si="25"/>
        <v>0</v>
      </c>
      <c r="L105" s="12">
        <f t="shared" si="26"/>
        <v>0</v>
      </c>
      <c r="M105" s="12">
        <f t="shared" si="27"/>
        <v>0</v>
      </c>
      <c r="N105" s="26">
        <f t="shared" si="28"/>
        <v>0</v>
      </c>
      <c r="O105" s="26">
        <f t="shared" si="29"/>
        <v>0</v>
      </c>
      <c r="P105" s="26">
        <f t="shared" si="30"/>
        <v>0</v>
      </c>
      <c r="Q105" s="612">
        <f t="shared" si="31"/>
        <v>22.400000000000002</v>
      </c>
      <c r="R105" s="26">
        <f t="shared" si="32"/>
        <v>115</v>
      </c>
      <c r="S105" s="26">
        <f t="shared" si="33"/>
        <v>0</v>
      </c>
      <c r="T105" s="26">
        <f t="shared" si="34"/>
        <v>3.6</v>
      </c>
      <c r="U105" s="26">
        <f t="shared" si="35"/>
        <v>12</v>
      </c>
      <c r="V105" s="26">
        <f t="shared" si="36"/>
        <v>9.5</v>
      </c>
      <c r="W105" s="20">
        <f t="shared" si="37"/>
        <v>47.5</v>
      </c>
      <c r="X105" s="20">
        <f t="shared" si="38"/>
        <v>115</v>
      </c>
      <c r="Y105" s="86">
        <f t="shared" si="39"/>
        <v>162.5</v>
      </c>
      <c r="Z105" s="619"/>
      <c r="AA105" s="23"/>
    </row>
    <row r="106" spans="2:27">
      <c r="B106" s="14">
        <f t="shared" si="40"/>
        <v>103</v>
      </c>
      <c r="C106" s="37" t="s">
        <v>625</v>
      </c>
      <c r="D106" s="40">
        <v>113</v>
      </c>
      <c r="E106" s="39" t="s">
        <v>1326</v>
      </c>
      <c r="F106" s="37"/>
      <c r="G106" s="41">
        <f t="shared" si="41"/>
        <v>9.4166666666666661</v>
      </c>
      <c r="H106" s="615">
        <f t="shared" si="22"/>
        <v>16</v>
      </c>
      <c r="I106" s="615">
        <f t="shared" si="23"/>
        <v>14</v>
      </c>
      <c r="J106" s="12">
        <f t="shared" si="24"/>
        <v>5</v>
      </c>
      <c r="K106" s="12">
        <f t="shared" si="25"/>
        <v>47.083333333333329</v>
      </c>
      <c r="L106" s="12">
        <f t="shared" si="26"/>
        <v>58.854166666666657</v>
      </c>
      <c r="M106" s="12">
        <f t="shared" si="27"/>
        <v>1.4713541666666665</v>
      </c>
      <c r="N106" s="26">
        <f t="shared" si="28"/>
        <v>73.567708333333329</v>
      </c>
      <c r="O106" s="26">
        <f t="shared" si="29"/>
        <v>46.531575520833329</v>
      </c>
      <c r="P106" s="26">
        <f t="shared" si="30"/>
        <v>67.682291666666657</v>
      </c>
      <c r="Q106" s="612">
        <f t="shared" si="31"/>
        <v>0</v>
      </c>
      <c r="R106" s="26">
        <f t="shared" si="32"/>
        <v>0</v>
      </c>
      <c r="S106" s="26">
        <f t="shared" si="33"/>
        <v>0</v>
      </c>
      <c r="T106" s="26">
        <f t="shared" si="34"/>
        <v>0</v>
      </c>
      <c r="U106" s="26">
        <f t="shared" si="35"/>
        <v>0</v>
      </c>
      <c r="V106" s="26">
        <f t="shared" si="36"/>
        <v>18.391927083333332</v>
      </c>
      <c r="W106" s="20">
        <f t="shared" si="37"/>
        <v>91.959635416666657</v>
      </c>
      <c r="X106" s="20">
        <f t="shared" si="38"/>
        <v>114.21386718749999</v>
      </c>
      <c r="Y106" s="86">
        <f t="shared" si="39"/>
        <v>206.17350260416663</v>
      </c>
      <c r="Z106" s="619"/>
      <c r="AA106" s="23"/>
    </row>
    <row r="107" spans="2:27">
      <c r="B107" s="14">
        <f t="shared" si="40"/>
        <v>104</v>
      </c>
      <c r="C107" s="37" t="s">
        <v>625</v>
      </c>
      <c r="D107" s="40">
        <v>71</v>
      </c>
      <c r="E107" s="39" t="s">
        <v>1252</v>
      </c>
      <c r="F107" s="37"/>
      <c r="G107" s="41">
        <f t="shared" si="41"/>
        <v>5.9166666666666661</v>
      </c>
      <c r="H107" s="615">
        <f t="shared" si="22"/>
        <v>14</v>
      </c>
      <c r="I107" s="615">
        <f t="shared" si="23"/>
        <v>12</v>
      </c>
      <c r="J107" s="12">
        <f t="shared" si="24"/>
        <v>4.333333333333333</v>
      </c>
      <c r="K107" s="12">
        <f t="shared" si="25"/>
        <v>25.638888888888886</v>
      </c>
      <c r="L107" s="12">
        <f t="shared" si="26"/>
        <v>32.048611111111107</v>
      </c>
      <c r="M107" s="12">
        <f t="shared" si="27"/>
        <v>0.80121527777777768</v>
      </c>
      <c r="N107" s="26">
        <f t="shared" si="28"/>
        <v>40.060763888888886</v>
      </c>
      <c r="O107" s="26">
        <f t="shared" si="29"/>
        <v>25.338433159722218</v>
      </c>
      <c r="P107" s="26">
        <f t="shared" si="30"/>
        <v>36.855902777777771</v>
      </c>
      <c r="Q107" s="612">
        <f t="shared" si="31"/>
        <v>0</v>
      </c>
      <c r="R107" s="26">
        <f t="shared" si="32"/>
        <v>0</v>
      </c>
      <c r="S107" s="26">
        <f t="shared" si="33"/>
        <v>0</v>
      </c>
      <c r="T107" s="26">
        <f t="shared" si="34"/>
        <v>0</v>
      </c>
      <c r="U107" s="26">
        <f t="shared" si="35"/>
        <v>0</v>
      </c>
      <c r="V107" s="26">
        <f t="shared" si="36"/>
        <v>10.015190972222221</v>
      </c>
      <c r="W107" s="20">
        <f t="shared" si="37"/>
        <v>50.075954861111107</v>
      </c>
      <c r="X107" s="20">
        <f t="shared" si="38"/>
        <v>62.194335937499986</v>
      </c>
      <c r="Y107" s="86">
        <f t="shared" si="39"/>
        <v>112.27029079861109</v>
      </c>
      <c r="Z107" s="619"/>
    </row>
    <row r="108" spans="2:27">
      <c r="B108" s="14">
        <f t="shared" si="40"/>
        <v>105</v>
      </c>
      <c r="C108" s="37" t="s">
        <v>625</v>
      </c>
      <c r="D108" s="40">
        <v>86</v>
      </c>
      <c r="E108" s="39">
        <v>6</v>
      </c>
      <c r="F108" s="37"/>
      <c r="G108" s="41">
        <f t="shared" si="41"/>
        <v>7.1666666666666661</v>
      </c>
      <c r="H108" s="615">
        <f t="shared" si="22"/>
        <v>0</v>
      </c>
      <c r="I108" s="615">
        <f t="shared" si="23"/>
        <v>0</v>
      </c>
      <c r="J108" s="12">
        <f t="shared" si="24"/>
        <v>0</v>
      </c>
      <c r="K108" s="12">
        <f t="shared" si="25"/>
        <v>0</v>
      </c>
      <c r="L108" s="12">
        <f t="shared" si="26"/>
        <v>0</v>
      </c>
      <c r="M108" s="12">
        <f t="shared" si="27"/>
        <v>0</v>
      </c>
      <c r="N108" s="26">
        <f t="shared" si="28"/>
        <v>0</v>
      </c>
      <c r="O108" s="26">
        <f t="shared" si="29"/>
        <v>0</v>
      </c>
      <c r="P108" s="26">
        <f t="shared" si="30"/>
        <v>0</v>
      </c>
      <c r="Q108" s="612">
        <f t="shared" si="31"/>
        <v>10.033333333333331</v>
      </c>
      <c r="R108" s="26">
        <f t="shared" si="32"/>
        <v>55.966666666666669</v>
      </c>
      <c r="S108" s="26">
        <f t="shared" si="33"/>
        <v>0</v>
      </c>
      <c r="T108" s="26">
        <f t="shared" si="34"/>
        <v>4.3</v>
      </c>
      <c r="U108" s="26">
        <f t="shared" si="35"/>
        <v>12.75</v>
      </c>
      <c r="V108" s="26">
        <f t="shared" si="36"/>
        <v>6.770833333333333</v>
      </c>
      <c r="W108" s="20">
        <f t="shared" si="37"/>
        <v>33.854166666666664</v>
      </c>
      <c r="X108" s="20">
        <f t="shared" si="38"/>
        <v>55.966666666666669</v>
      </c>
      <c r="Y108" s="86">
        <f t="shared" si="39"/>
        <v>89.820833333333326</v>
      </c>
      <c r="Z108" s="619"/>
    </row>
    <row r="109" spans="2:27">
      <c r="B109" s="14">
        <f t="shared" si="40"/>
        <v>106</v>
      </c>
      <c r="C109" s="37" t="s">
        <v>625</v>
      </c>
      <c r="D109" s="40">
        <v>86</v>
      </c>
      <c r="E109" s="39">
        <v>6</v>
      </c>
      <c r="F109" s="37"/>
      <c r="G109" s="41">
        <f t="shared" si="41"/>
        <v>7.1666666666666661</v>
      </c>
      <c r="H109" s="615">
        <f t="shared" si="22"/>
        <v>0</v>
      </c>
      <c r="I109" s="615">
        <f t="shared" si="23"/>
        <v>0</v>
      </c>
      <c r="J109" s="12">
        <f t="shared" si="24"/>
        <v>0</v>
      </c>
      <c r="K109" s="12">
        <f t="shared" si="25"/>
        <v>0</v>
      </c>
      <c r="L109" s="12">
        <f t="shared" si="26"/>
        <v>0</v>
      </c>
      <c r="M109" s="12">
        <f t="shared" si="27"/>
        <v>0</v>
      </c>
      <c r="N109" s="26">
        <f t="shared" si="28"/>
        <v>0</v>
      </c>
      <c r="O109" s="26">
        <f t="shared" si="29"/>
        <v>0</v>
      </c>
      <c r="P109" s="26">
        <f t="shared" si="30"/>
        <v>0</v>
      </c>
      <c r="Q109" s="612">
        <f t="shared" si="31"/>
        <v>10.033333333333331</v>
      </c>
      <c r="R109" s="26">
        <f t="shared" si="32"/>
        <v>55.966666666666669</v>
      </c>
      <c r="S109" s="26">
        <f t="shared" si="33"/>
        <v>0</v>
      </c>
      <c r="T109" s="26">
        <f t="shared" si="34"/>
        <v>4.3</v>
      </c>
      <c r="U109" s="26">
        <f t="shared" si="35"/>
        <v>12.75</v>
      </c>
      <c r="V109" s="26">
        <f t="shared" si="36"/>
        <v>6.770833333333333</v>
      </c>
      <c r="W109" s="20">
        <f t="shared" si="37"/>
        <v>33.854166666666664</v>
      </c>
      <c r="X109" s="20">
        <f t="shared" si="38"/>
        <v>55.966666666666669</v>
      </c>
      <c r="Y109" s="86">
        <f t="shared" si="39"/>
        <v>89.820833333333326</v>
      </c>
      <c r="Z109" s="619"/>
    </row>
    <row r="110" spans="2:27">
      <c r="B110" s="14">
        <f t="shared" si="40"/>
        <v>107</v>
      </c>
      <c r="C110" s="37" t="s">
        <v>625</v>
      </c>
      <c r="D110" s="40">
        <v>86</v>
      </c>
      <c r="E110" s="39">
        <v>6</v>
      </c>
      <c r="F110" s="37"/>
      <c r="G110" s="41">
        <f t="shared" si="41"/>
        <v>7.1666666666666661</v>
      </c>
      <c r="H110" s="615">
        <f t="shared" si="22"/>
        <v>0</v>
      </c>
      <c r="I110" s="615">
        <f t="shared" si="23"/>
        <v>0</v>
      </c>
      <c r="J110" s="12">
        <f t="shared" si="24"/>
        <v>0</v>
      </c>
      <c r="K110" s="12">
        <f t="shared" si="25"/>
        <v>0</v>
      </c>
      <c r="L110" s="12">
        <f t="shared" si="26"/>
        <v>0</v>
      </c>
      <c r="M110" s="12">
        <f t="shared" si="27"/>
        <v>0</v>
      </c>
      <c r="N110" s="26">
        <f t="shared" si="28"/>
        <v>0</v>
      </c>
      <c r="O110" s="26">
        <f t="shared" si="29"/>
        <v>0</v>
      </c>
      <c r="P110" s="26">
        <f t="shared" si="30"/>
        <v>0</v>
      </c>
      <c r="Q110" s="612">
        <f t="shared" si="31"/>
        <v>10.033333333333331</v>
      </c>
      <c r="R110" s="26">
        <f t="shared" si="32"/>
        <v>55.966666666666669</v>
      </c>
      <c r="S110" s="26">
        <f t="shared" si="33"/>
        <v>0</v>
      </c>
      <c r="T110" s="26">
        <f t="shared" si="34"/>
        <v>4.3</v>
      </c>
      <c r="U110" s="26">
        <f t="shared" si="35"/>
        <v>12.75</v>
      </c>
      <c r="V110" s="26">
        <f t="shared" si="36"/>
        <v>6.770833333333333</v>
      </c>
      <c r="W110" s="20">
        <f t="shared" si="37"/>
        <v>33.854166666666664</v>
      </c>
      <c r="X110" s="20">
        <f t="shared" si="38"/>
        <v>55.966666666666669</v>
      </c>
      <c r="Y110" s="86">
        <f t="shared" si="39"/>
        <v>89.820833333333326</v>
      </c>
      <c r="Z110" s="619"/>
    </row>
    <row r="111" spans="2:27">
      <c r="B111" s="14">
        <f t="shared" si="40"/>
        <v>108</v>
      </c>
      <c r="C111" s="37" t="s">
        <v>625</v>
      </c>
      <c r="D111" s="40">
        <v>86</v>
      </c>
      <c r="E111" s="39">
        <v>6</v>
      </c>
      <c r="F111" s="37"/>
      <c r="G111" s="41">
        <f t="shared" si="41"/>
        <v>7.1666666666666661</v>
      </c>
      <c r="H111" s="615">
        <f t="shared" si="22"/>
        <v>0</v>
      </c>
      <c r="I111" s="615">
        <f t="shared" si="23"/>
        <v>0</v>
      </c>
      <c r="J111" s="12">
        <f t="shared" si="24"/>
        <v>0</v>
      </c>
      <c r="K111" s="12">
        <f t="shared" si="25"/>
        <v>0</v>
      </c>
      <c r="L111" s="12">
        <f t="shared" si="26"/>
        <v>0</v>
      </c>
      <c r="M111" s="12">
        <f t="shared" si="27"/>
        <v>0</v>
      </c>
      <c r="N111" s="26">
        <f t="shared" si="28"/>
        <v>0</v>
      </c>
      <c r="O111" s="26">
        <f t="shared" si="29"/>
        <v>0</v>
      </c>
      <c r="P111" s="26">
        <f t="shared" si="30"/>
        <v>0</v>
      </c>
      <c r="Q111" s="612">
        <f t="shared" si="31"/>
        <v>10.033333333333331</v>
      </c>
      <c r="R111" s="26">
        <f t="shared" si="32"/>
        <v>55.966666666666669</v>
      </c>
      <c r="S111" s="26">
        <f t="shared" si="33"/>
        <v>0</v>
      </c>
      <c r="T111" s="26">
        <f t="shared" si="34"/>
        <v>4.3</v>
      </c>
      <c r="U111" s="26">
        <f t="shared" si="35"/>
        <v>12.75</v>
      </c>
      <c r="V111" s="26">
        <f t="shared" si="36"/>
        <v>6.770833333333333</v>
      </c>
      <c r="W111" s="20">
        <f t="shared" si="37"/>
        <v>33.854166666666664</v>
      </c>
      <c r="X111" s="20">
        <f t="shared" si="38"/>
        <v>55.966666666666669</v>
      </c>
      <c r="Y111" s="86">
        <f t="shared" si="39"/>
        <v>89.820833333333326</v>
      </c>
      <c r="Z111" s="619"/>
    </row>
    <row r="112" spans="2:27">
      <c r="B112" s="14">
        <f t="shared" si="40"/>
        <v>109</v>
      </c>
      <c r="C112" s="37" t="s">
        <v>625</v>
      </c>
      <c r="D112" s="40">
        <v>240</v>
      </c>
      <c r="E112" s="39">
        <v>4</v>
      </c>
      <c r="F112" s="37"/>
      <c r="G112" s="41">
        <f t="shared" si="41"/>
        <v>20</v>
      </c>
      <c r="H112" s="615">
        <f t="shared" si="22"/>
        <v>0</v>
      </c>
      <c r="I112" s="615">
        <f t="shared" si="23"/>
        <v>0</v>
      </c>
      <c r="J112" s="12">
        <f t="shared" si="24"/>
        <v>0</v>
      </c>
      <c r="K112" s="12">
        <f t="shared" si="25"/>
        <v>0</v>
      </c>
      <c r="L112" s="12">
        <f t="shared" si="26"/>
        <v>0</v>
      </c>
      <c r="M112" s="12">
        <f t="shared" si="27"/>
        <v>0</v>
      </c>
      <c r="N112" s="26">
        <f t="shared" si="28"/>
        <v>0</v>
      </c>
      <c r="O112" s="26">
        <f t="shared" si="29"/>
        <v>0</v>
      </c>
      <c r="P112" s="26">
        <f t="shared" si="30"/>
        <v>0</v>
      </c>
      <c r="Q112" s="612">
        <f t="shared" si="31"/>
        <v>22.400000000000002</v>
      </c>
      <c r="R112" s="26">
        <f t="shared" si="32"/>
        <v>115</v>
      </c>
      <c r="S112" s="26">
        <f t="shared" si="33"/>
        <v>0</v>
      </c>
      <c r="T112" s="26">
        <f t="shared" si="34"/>
        <v>3.6</v>
      </c>
      <c r="U112" s="26">
        <f t="shared" si="35"/>
        <v>12</v>
      </c>
      <c r="V112" s="26">
        <f t="shared" si="36"/>
        <v>9.5</v>
      </c>
      <c r="W112" s="20">
        <f t="shared" si="37"/>
        <v>47.5</v>
      </c>
      <c r="X112" s="20">
        <f t="shared" si="38"/>
        <v>115</v>
      </c>
      <c r="Y112" s="86">
        <f t="shared" si="39"/>
        <v>162.5</v>
      </c>
      <c r="Z112" s="619"/>
    </row>
    <row r="113" spans="2:26">
      <c r="B113" s="14">
        <f t="shared" si="40"/>
        <v>110</v>
      </c>
      <c r="C113" s="37" t="s">
        <v>625</v>
      </c>
      <c r="D113" s="40">
        <v>113</v>
      </c>
      <c r="E113" s="39" t="s">
        <v>1326</v>
      </c>
      <c r="F113" s="37"/>
      <c r="G113" s="41">
        <f t="shared" si="41"/>
        <v>9.4166666666666661</v>
      </c>
      <c r="H113" s="615">
        <f t="shared" si="22"/>
        <v>16</v>
      </c>
      <c r="I113" s="615">
        <f t="shared" si="23"/>
        <v>14</v>
      </c>
      <c r="J113" s="12">
        <f t="shared" si="24"/>
        <v>5</v>
      </c>
      <c r="K113" s="12">
        <f t="shared" si="25"/>
        <v>47.083333333333329</v>
      </c>
      <c r="L113" s="12">
        <f t="shared" si="26"/>
        <v>58.854166666666657</v>
      </c>
      <c r="M113" s="12">
        <f t="shared" si="27"/>
        <v>1.4713541666666665</v>
      </c>
      <c r="N113" s="26">
        <f t="shared" si="28"/>
        <v>73.567708333333329</v>
      </c>
      <c r="O113" s="26">
        <f t="shared" si="29"/>
        <v>46.531575520833329</v>
      </c>
      <c r="P113" s="26">
        <f t="shared" si="30"/>
        <v>67.682291666666657</v>
      </c>
      <c r="Q113" s="612">
        <f t="shared" si="31"/>
        <v>0</v>
      </c>
      <c r="R113" s="26">
        <f t="shared" si="32"/>
        <v>0</v>
      </c>
      <c r="S113" s="26">
        <f t="shared" si="33"/>
        <v>0</v>
      </c>
      <c r="T113" s="26">
        <f t="shared" si="34"/>
        <v>0</v>
      </c>
      <c r="U113" s="26">
        <f t="shared" si="35"/>
        <v>0</v>
      </c>
      <c r="V113" s="26">
        <f t="shared" si="36"/>
        <v>18.391927083333332</v>
      </c>
      <c r="W113" s="20">
        <f t="shared" si="37"/>
        <v>91.959635416666657</v>
      </c>
      <c r="X113" s="20">
        <f t="shared" si="38"/>
        <v>114.21386718749999</v>
      </c>
      <c r="Y113" s="86">
        <f t="shared" si="39"/>
        <v>206.17350260416663</v>
      </c>
      <c r="Z113" s="619"/>
    </row>
    <row r="114" spans="2:26">
      <c r="B114" s="14">
        <f t="shared" si="40"/>
        <v>111</v>
      </c>
      <c r="C114" s="37" t="s">
        <v>625</v>
      </c>
      <c r="D114" s="40">
        <v>71</v>
      </c>
      <c r="E114" s="39" t="s">
        <v>1252</v>
      </c>
      <c r="F114" s="37"/>
      <c r="G114" s="41">
        <f t="shared" si="41"/>
        <v>5.9166666666666661</v>
      </c>
      <c r="H114" s="615">
        <f t="shared" si="22"/>
        <v>14</v>
      </c>
      <c r="I114" s="615">
        <f t="shared" si="23"/>
        <v>12</v>
      </c>
      <c r="J114" s="12">
        <f t="shared" si="24"/>
        <v>4.333333333333333</v>
      </c>
      <c r="K114" s="12">
        <f t="shared" si="25"/>
        <v>25.638888888888886</v>
      </c>
      <c r="L114" s="12">
        <f t="shared" si="26"/>
        <v>32.048611111111107</v>
      </c>
      <c r="M114" s="12">
        <f t="shared" si="27"/>
        <v>0.80121527777777768</v>
      </c>
      <c r="N114" s="26">
        <f t="shared" si="28"/>
        <v>40.060763888888886</v>
      </c>
      <c r="O114" s="26">
        <f t="shared" si="29"/>
        <v>25.338433159722218</v>
      </c>
      <c r="P114" s="26">
        <f t="shared" si="30"/>
        <v>36.855902777777771</v>
      </c>
      <c r="Q114" s="612">
        <f t="shared" si="31"/>
        <v>0</v>
      </c>
      <c r="R114" s="26">
        <f t="shared" si="32"/>
        <v>0</v>
      </c>
      <c r="S114" s="26">
        <f t="shared" si="33"/>
        <v>0</v>
      </c>
      <c r="T114" s="26">
        <f t="shared" si="34"/>
        <v>0</v>
      </c>
      <c r="U114" s="26">
        <f t="shared" si="35"/>
        <v>0</v>
      </c>
      <c r="V114" s="26">
        <f t="shared" si="36"/>
        <v>10.015190972222221</v>
      </c>
      <c r="W114" s="20">
        <f t="shared" si="37"/>
        <v>50.075954861111107</v>
      </c>
      <c r="X114" s="20">
        <f t="shared" si="38"/>
        <v>62.194335937499986</v>
      </c>
      <c r="Y114" s="86">
        <f t="shared" si="39"/>
        <v>112.27029079861109</v>
      </c>
      <c r="Z114" s="619"/>
    </row>
    <row r="115" spans="2:26">
      <c r="B115" s="14">
        <f t="shared" si="40"/>
        <v>112</v>
      </c>
      <c r="C115" s="37" t="s">
        <v>625</v>
      </c>
      <c r="D115" s="40">
        <v>86</v>
      </c>
      <c r="E115" s="39">
        <v>6</v>
      </c>
      <c r="F115" s="37"/>
      <c r="G115" s="41">
        <f t="shared" si="41"/>
        <v>7.1666666666666661</v>
      </c>
      <c r="H115" s="615">
        <f t="shared" si="22"/>
        <v>0</v>
      </c>
      <c r="I115" s="615">
        <f t="shared" si="23"/>
        <v>0</v>
      </c>
      <c r="J115" s="12">
        <f t="shared" si="24"/>
        <v>0</v>
      </c>
      <c r="K115" s="12">
        <f t="shared" si="25"/>
        <v>0</v>
      </c>
      <c r="L115" s="12">
        <f t="shared" si="26"/>
        <v>0</v>
      </c>
      <c r="M115" s="12">
        <f t="shared" si="27"/>
        <v>0</v>
      </c>
      <c r="N115" s="26">
        <f t="shared" si="28"/>
        <v>0</v>
      </c>
      <c r="O115" s="26">
        <f t="shared" si="29"/>
        <v>0</v>
      </c>
      <c r="P115" s="26">
        <f t="shared" si="30"/>
        <v>0</v>
      </c>
      <c r="Q115" s="612">
        <f t="shared" si="31"/>
        <v>10.033333333333331</v>
      </c>
      <c r="R115" s="26">
        <f t="shared" si="32"/>
        <v>55.966666666666669</v>
      </c>
      <c r="S115" s="26">
        <f t="shared" si="33"/>
        <v>0</v>
      </c>
      <c r="T115" s="26">
        <f t="shared" si="34"/>
        <v>4.3</v>
      </c>
      <c r="U115" s="26">
        <f t="shared" si="35"/>
        <v>12.75</v>
      </c>
      <c r="V115" s="26">
        <f t="shared" si="36"/>
        <v>6.770833333333333</v>
      </c>
      <c r="W115" s="20">
        <f t="shared" si="37"/>
        <v>33.854166666666664</v>
      </c>
      <c r="X115" s="20">
        <f t="shared" si="38"/>
        <v>55.966666666666669</v>
      </c>
      <c r="Y115" s="86">
        <f t="shared" si="39"/>
        <v>89.820833333333326</v>
      </c>
      <c r="Z115" s="619"/>
    </row>
    <row r="116" spans="2:26">
      <c r="B116" s="14">
        <f t="shared" si="40"/>
        <v>113</v>
      </c>
      <c r="C116" s="37" t="s">
        <v>625</v>
      </c>
      <c r="D116" s="40">
        <v>86</v>
      </c>
      <c r="E116" s="39">
        <v>6</v>
      </c>
      <c r="F116" s="37"/>
      <c r="G116" s="41">
        <f t="shared" si="41"/>
        <v>7.1666666666666661</v>
      </c>
      <c r="H116" s="615">
        <f t="shared" si="22"/>
        <v>0</v>
      </c>
      <c r="I116" s="615">
        <f t="shared" si="23"/>
        <v>0</v>
      </c>
      <c r="J116" s="12">
        <f t="shared" si="24"/>
        <v>0</v>
      </c>
      <c r="K116" s="12">
        <f t="shared" si="25"/>
        <v>0</v>
      </c>
      <c r="L116" s="12">
        <f t="shared" si="26"/>
        <v>0</v>
      </c>
      <c r="M116" s="12">
        <f t="shared" si="27"/>
        <v>0</v>
      </c>
      <c r="N116" s="26">
        <f t="shared" si="28"/>
        <v>0</v>
      </c>
      <c r="O116" s="26">
        <f t="shared" si="29"/>
        <v>0</v>
      </c>
      <c r="P116" s="26">
        <f t="shared" si="30"/>
        <v>0</v>
      </c>
      <c r="Q116" s="612">
        <f t="shared" si="31"/>
        <v>10.033333333333331</v>
      </c>
      <c r="R116" s="26">
        <f t="shared" si="32"/>
        <v>55.966666666666669</v>
      </c>
      <c r="S116" s="26">
        <f t="shared" si="33"/>
        <v>0</v>
      </c>
      <c r="T116" s="26">
        <f t="shared" si="34"/>
        <v>4.3</v>
      </c>
      <c r="U116" s="26">
        <f t="shared" si="35"/>
        <v>12.75</v>
      </c>
      <c r="V116" s="26">
        <f t="shared" si="36"/>
        <v>6.770833333333333</v>
      </c>
      <c r="W116" s="20">
        <f t="shared" si="37"/>
        <v>33.854166666666664</v>
      </c>
      <c r="X116" s="20">
        <f t="shared" si="38"/>
        <v>55.966666666666669</v>
      </c>
      <c r="Y116" s="86">
        <f t="shared" si="39"/>
        <v>89.820833333333326</v>
      </c>
      <c r="Z116" s="619"/>
    </row>
    <row r="117" spans="2:26">
      <c r="B117" s="14">
        <f t="shared" si="40"/>
        <v>114</v>
      </c>
      <c r="C117" s="37" t="s">
        <v>625</v>
      </c>
      <c r="D117" s="40">
        <v>86</v>
      </c>
      <c r="E117" s="39">
        <v>6</v>
      </c>
      <c r="F117" s="37"/>
      <c r="G117" s="41">
        <f t="shared" si="41"/>
        <v>7.1666666666666661</v>
      </c>
      <c r="H117" s="615">
        <f t="shared" si="22"/>
        <v>0</v>
      </c>
      <c r="I117" s="615">
        <f t="shared" si="23"/>
        <v>0</v>
      </c>
      <c r="J117" s="12">
        <f t="shared" si="24"/>
        <v>0</v>
      </c>
      <c r="K117" s="12">
        <f t="shared" si="25"/>
        <v>0</v>
      </c>
      <c r="L117" s="12">
        <f t="shared" si="26"/>
        <v>0</v>
      </c>
      <c r="M117" s="12">
        <f t="shared" si="27"/>
        <v>0</v>
      </c>
      <c r="N117" s="26">
        <f t="shared" si="28"/>
        <v>0</v>
      </c>
      <c r="O117" s="26">
        <f t="shared" si="29"/>
        <v>0</v>
      </c>
      <c r="P117" s="26">
        <f t="shared" si="30"/>
        <v>0</v>
      </c>
      <c r="Q117" s="612">
        <f t="shared" si="31"/>
        <v>10.033333333333331</v>
      </c>
      <c r="R117" s="26">
        <f t="shared" si="32"/>
        <v>55.966666666666669</v>
      </c>
      <c r="S117" s="26">
        <f t="shared" si="33"/>
        <v>0</v>
      </c>
      <c r="T117" s="26">
        <f t="shared" si="34"/>
        <v>4.3</v>
      </c>
      <c r="U117" s="26">
        <f t="shared" si="35"/>
        <v>12.75</v>
      </c>
      <c r="V117" s="26">
        <f t="shared" si="36"/>
        <v>6.770833333333333</v>
      </c>
      <c r="W117" s="20">
        <f t="shared" si="37"/>
        <v>33.854166666666664</v>
      </c>
      <c r="X117" s="20">
        <f t="shared" si="38"/>
        <v>55.966666666666669</v>
      </c>
      <c r="Y117" s="86">
        <f t="shared" si="39"/>
        <v>89.820833333333326</v>
      </c>
      <c r="Z117" s="619"/>
    </row>
    <row r="118" spans="2:26">
      <c r="B118" s="14">
        <f t="shared" si="40"/>
        <v>115</v>
      </c>
      <c r="C118" s="37" t="s">
        <v>625</v>
      </c>
      <c r="D118" s="40">
        <v>86</v>
      </c>
      <c r="E118" s="39">
        <v>6</v>
      </c>
      <c r="F118" s="37"/>
      <c r="G118" s="41">
        <f t="shared" si="41"/>
        <v>7.1666666666666661</v>
      </c>
      <c r="H118" s="615">
        <f t="shared" si="22"/>
        <v>0</v>
      </c>
      <c r="I118" s="615">
        <f t="shared" si="23"/>
        <v>0</v>
      </c>
      <c r="J118" s="12">
        <f t="shared" si="24"/>
        <v>0</v>
      </c>
      <c r="K118" s="12">
        <f t="shared" si="25"/>
        <v>0</v>
      </c>
      <c r="L118" s="12">
        <f t="shared" si="26"/>
        <v>0</v>
      </c>
      <c r="M118" s="12">
        <f t="shared" si="27"/>
        <v>0</v>
      </c>
      <c r="N118" s="26">
        <f t="shared" si="28"/>
        <v>0</v>
      </c>
      <c r="O118" s="26">
        <f t="shared" si="29"/>
        <v>0</v>
      </c>
      <c r="P118" s="26">
        <f t="shared" si="30"/>
        <v>0</v>
      </c>
      <c r="Q118" s="612">
        <f t="shared" si="31"/>
        <v>10.033333333333331</v>
      </c>
      <c r="R118" s="26">
        <f t="shared" si="32"/>
        <v>55.966666666666669</v>
      </c>
      <c r="S118" s="26">
        <f t="shared" si="33"/>
        <v>0</v>
      </c>
      <c r="T118" s="26">
        <f t="shared" si="34"/>
        <v>4.3</v>
      </c>
      <c r="U118" s="26">
        <f t="shared" si="35"/>
        <v>12.75</v>
      </c>
      <c r="V118" s="26">
        <f t="shared" si="36"/>
        <v>6.770833333333333</v>
      </c>
      <c r="W118" s="20">
        <f t="shared" si="37"/>
        <v>33.854166666666664</v>
      </c>
      <c r="X118" s="20">
        <f t="shared" si="38"/>
        <v>55.966666666666669</v>
      </c>
      <c r="Y118" s="86">
        <f t="shared" si="39"/>
        <v>89.820833333333326</v>
      </c>
      <c r="Z118" s="619"/>
    </row>
    <row r="119" spans="2:26">
      <c r="B119" s="14">
        <f t="shared" si="40"/>
        <v>116</v>
      </c>
      <c r="C119" s="37" t="s">
        <v>625</v>
      </c>
      <c r="D119" s="40">
        <v>240</v>
      </c>
      <c r="E119" s="39">
        <v>4</v>
      </c>
      <c r="F119" s="37"/>
      <c r="G119" s="41">
        <f t="shared" si="41"/>
        <v>20</v>
      </c>
      <c r="H119" s="615">
        <f t="shared" si="22"/>
        <v>0</v>
      </c>
      <c r="I119" s="615">
        <f t="shared" si="23"/>
        <v>0</v>
      </c>
      <c r="J119" s="12">
        <f t="shared" si="24"/>
        <v>0</v>
      </c>
      <c r="K119" s="12">
        <f t="shared" si="25"/>
        <v>0</v>
      </c>
      <c r="L119" s="12">
        <f t="shared" si="26"/>
        <v>0</v>
      </c>
      <c r="M119" s="12">
        <f t="shared" si="27"/>
        <v>0</v>
      </c>
      <c r="N119" s="26">
        <f t="shared" si="28"/>
        <v>0</v>
      </c>
      <c r="O119" s="26">
        <f t="shared" si="29"/>
        <v>0</v>
      </c>
      <c r="P119" s="26">
        <f t="shared" si="30"/>
        <v>0</v>
      </c>
      <c r="Q119" s="612">
        <f t="shared" si="31"/>
        <v>22.400000000000002</v>
      </c>
      <c r="R119" s="26">
        <f t="shared" si="32"/>
        <v>115</v>
      </c>
      <c r="S119" s="26">
        <f t="shared" si="33"/>
        <v>0</v>
      </c>
      <c r="T119" s="26">
        <f t="shared" si="34"/>
        <v>3.6</v>
      </c>
      <c r="U119" s="26">
        <f t="shared" si="35"/>
        <v>12</v>
      </c>
      <c r="V119" s="26">
        <f t="shared" si="36"/>
        <v>9.5</v>
      </c>
      <c r="W119" s="20">
        <f t="shared" si="37"/>
        <v>47.5</v>
      </c>
      <c r="X119" s="20">
        <f t="shared" si="38"/>
        <v>115</v>
      </c>
      <c r="Y119" s="86">
        <f t="shared" si="39"/>
        <v>162.5</v>
      </c>
      <c r="Z119" s="619"/>
    </row>
    <row r="120" spans="2:26">
      <c r="B120" s="14">
        <f t="shared" si="40"/>
        <v>117</v>
      </c>
      <c r="C120" s="37" t="s">
        <v>625</v>
      </c>
      <c r="D120" s="40">
        <v>113</v>
      </c>
      <c r="E120" s="39" t="s">
        <v>1326</v>
      </c>
      <c r="F120" s="37"/>
      <c r="G120" s="41">
        <f t="shared" si="41"/>
        <v>9.4166666666666661</v>
      </c>
      <c r="H120" s="615">
        <f t="shared" si="22"/>
        <v>16</v>
      </c>
      <c r="I120" s="615">
        <f t="shared" si="23"/>
        <v>14</v>
      </c>
      <c r="J120" s="12">
        <f t="shared" si="24"/>
        <v>5</v>
      </c>
      <c r="K120" s="12">
        <f t="shared" si="25"/>
        <v>47.083333333333329</v>
      </c>
      <c r="L120" s="12">
        <f t="shared" si="26"/>
        <v>58.854166666666657</v>
      </c>
      <c r="M120" s="12">
        <f t="shared" si="27"/>
        <v>1.4713541666666665</v>
      </c>
      <c r="N120" s="26">
        <f t="shared" si="28"/>
        <v>73.567708333333329</v>
      </c>
      <c r="O120" s="26">
        <f t="shared" si="29"/>
        <v>46.531575520833329</v>
      </c>
      <c r="P120" s="26">
        <f t="shared" si="30"/>
        <v>67.682291666666657</v>
      </c>
      <c r="Q120" s="612">
        <f t="shared" si="31"/>
        <v>0</v>
      </c>
      <c r="R120" s="26">
        <f t="shared" si="32"/>
        <v>0</v>
      </c>
      <c r="S120" s="26">
        <f t="shared" si="33"/>
        <v>0</v>
      </c>
      <c r="T120" s="26">
        <f t="shared" si="34"/>
        <v>0</v>
      </c>
      <c r="U120" s="26">
        <f t="shared" si="35"/>
        <v>0</v>
      </c>
      <c r="V120" s="26">
        <f t="shared" si="36"/>
        <v>18.391927083333332</v>
      </c>
      <c r="W120" s="20">
        <f t="shared" si="37"/>
        <v>91.959635416666657</v>
      </c>
      <c r="X120" s="20">
        <f t="shared" si="38"/>
        <v>114.21386718749999</v>
      </c>
      <c r="Y120" s="86">
        <f t="shared" si="39"/>
        <v>206.17350260416663</v>
      </c>
      <c r="Z120" s="619"/>
    </row>
    <row r="121" spans="2:26">
      <c r="B121" s="14">
        <f t="shared" si="40"/>
        <v>118</v>
      </c>
      <c r="C121" s="37" t="s">
        <v>625</v>
      </c>
      <c r="D121" s="40">
        <v>71</v>
      </c>
      <c r="E121" s="39" t="s">
        <v>1252</v>
      </c>
      <c r="F121" s="37"/>
      <c r="G121" s="41">
        <f t="shared" si="41"/>
        <v>5.9166666666666661</v>
      </c>
      <c r="H121" s="615">
        <f t="shared" si="22"/>
        <v>14</v>
      </c>
      <c r="I121" s="615">
        <f t="shared" si="23"/>
        <v>12</v>
      </c>
      <c r="J121" s="12">
        <f t="shared" si="24"/>
        <v>4.333333333333333</v>
      </c>
      <c r="K121" s="12">
        <f t="shared" si="25"/>
        <v>25.638888888888886</v>
      </c>
      <c r="L121" s="12">
        <f t="shared" si="26"/>
        <v>32.048611111111107</v>
      </c>
      <c r="M121" s="12">
        <f t="shared" si="27"/>
        <v>0.80121527777777768</v>
      </c>
      <c r="N121" s="26">
        <f t="shared" si="28"/>
        <v>40.060763888888886</v>
      </c>
      <c r="O121" s="26">
        <f t="shared" si="29"/>
        <v>25.338433159722218</v>
      </c>
      <c r="P121" s="26">
        <f t="shared" si="30"/>
        <v>36.855902777777771</v>
      </c>
      <c r="Q121" s="612">
        <f t="shared" si="31"/>
        <v>0</v>
      </c>
      <c r="R121" s="26">
        <f t="shared" si="32"/>
        <v>0</v>
      </c>
      <c r="S121" s="26">
        <f t="shared" si="33"/>
        <v>0</v>
      </c>
      <c r="T121" s="26">
        <f t="shared" si="34"/>
        <v>0</v>
      </c>
      <c r="U121" s="26">
        <f t="shared" si="35"/>
        <v>0</v>
      </c>
      <c r="V121" s="26">
        <f t="shared" si="36"/>
        <v>10.015190972222221</v>
      </c>
      <c r="W121" s="20">
        <f t="shared" si="37"/>
        <v>50.075954861111107</v>
      </c>
      <c r="X121" s="20">
        <f t="shared" si="38"/>
        <v>62.194335937499986</v>
      </c>
      <c r="Y121" s="86">
        <f t="shared" si="39"/>
        <v>112.27029079861109</v>
      </c>
      <c r="Z121" s="619"/>
    </row>
    <row r="122" spans="2:26">
      <c r="B122" s="14">
        <f t="shared" si="40"/>
        <v>119</v>
      </c>
      <c r="C122" s="37" t="s">
        <v>625</v>
      </c>
      <c r="D122" s="40">
        <v>86</v>
      </c>
      <c r="E122" s="39">
        <v>7</v>
      </c>
      <c r="F122" s="37"/>
      <c r="G122" s="41">
        <f t="shared" si="41"/>
        <v>7.1666666666666661</v>
      </c>
      <c r="H122" s="615">
        <f t="shared" si="22"/>
        <v>0</v>
      </c>
      <c r="I122" s="615">
        <f t="shared" si="23"/>
        <v>0</v>
      </c>
      <c r="J122" s="12">
        <f t="shared" si="24"/>
        <v>0</v>
      </c>
      <c r="K122" s="12">
        <f t="shared" si="25"/>
        <v>0</v>
      </c>
      <c r="L122" s="12">
        <f t="shared" si="26"/>
        <v>0</v>
      </c>
      <c r="M122" s="12">
        <f t="shared" si="27"/>
        <v>0</v>
      </c>
      <c r="N122" s="26">
        <f t="shared" si="28"/>
        <v>0</v>
      </c>
      <c r="O122" s="26">
        <f t="shared" si="29"/>
        <v>0</v>
      </c>
      <c r="P122" s="26">
        <f t="shared" si="30"/>
        <v>0</v>
      </c>
      <c r="Q122" s="612">
        <f t="shared" si="31"/>
        <v>12.971666666666666</v>
      </c>
      <c r="R122" s="26">
        <f t="shared" si="32"/>
        <v>55.966666666666669</v>
      </c>
      <c r="S122" s="26">
        <f t="shared" si="33"/>
        <v>0</v>
      </c>
      <c r="T122" s="26">
        <f t="shared" si="34"/>
        <v>5.16</v>
      </c>
      <c r="U122" s="26">
        <f t="shared" si="35"/>
        <v>13</v>
      </c>
      <c r="V122" s="26">
        <f t="shared" si="36"/>
        <v>7.7829166666666669</v>
      </c>
      <c r="W122" s="20">
        <f t="shared" si="37"/>
        <v>38.914583333333333</v>
      </c>
      <c r="X122" s="20">
        <f t="shared" si="38"/>
        <v>55.966666666666669</v>
      </c>
      <c r="Y122" s="86">
        <f t="shared" si="39"/>
        <v>94.881249999999994</v>
      </c>
      <c r="Z122" s="619"/>
    </row>
    <row r="123" spans="2:26">
      <c r="B123" s="14">
        <f t="shared" si="40"/>
        <v>120</v>
      </c>
      <c r="C123" s="37" t="s">
        <v>625</v>
      </c>
      <c r="D123" s="40">
        <v>86</v>
      </c>
      <c r="E123" s="39">
        <v>7</v>
      </c>
      <c r="F123" s="37"/>
      <c r="G123" s="41"/>
      <c r="H123" s="615">
        <f t="shared" si="22"/>
        <v>0</v>
      </c>
      <c r="I123" s="615">
        <f t="shared" si="23"/>
        <v>0</v>
      </c>
      <c r="J123" s="12">
        <f t="shared" si="24"/>
        <v>0</v>
      </c>
      <c r="K123" s="12">
        <f t="shared" si="25"/>
        <v>0</v>
      </c>
      <c r="L123" s="12">
        <f t="shared" si="26"/>
        <v>0</v>
      </c>
      <c r="M123" s="12">
        <f t="shared" si="27"/>
        <v>0</v>
      </c>
      <c r="N123" s="26">
        <f t="shared" si="28"/>
        <v>0</v>
      </c>
      <c r="O123" s="26">
        <f t="shared" si="29"/>
        <v>0</v>
      </c>
      <c r="P123" s="26">
        <f t="shared" si="30"/>
        <v>0</v>
      </c>
      <c r="Q123" s="612">
        <f t="shared" si="31"/>
        <v>0</v>
      </c>
      <c r="R123" s="26">
        <f t="shared" si="32"/>
        <v>0</v>
      </c>
      <c r="S123" s="26">
        <f t="shared" si="33"/>
        <v>0</v>
      </c>
      <c r="T123" s="26">
        <f t="shared" si="34"/>
        <v>5.16</v>
      </c>
      <c r="U123" s="26">
        <f t="shared" si="35"/>
        <v>13</v>
      </c>
      <c r="V123" s="26">
        <f t="shared" si="36"/>
        <v>4.54</v>
      </c>
      <c r="W123" s="20">
        <f t="shared" si="37"/>
        <v>22.7</v>
      </c>
      <c r="X123" s="20">
        <f t="shared" si="38"/>
        <v>0</v>
      </c>
      <c r="Y123" s="86">
        <f t="shared" si="39"/>
        <v>22.7</v>
      </c>
      <c r="Z123" s="619"/>
    </row>
    <row r="124" spans="2:26">
      <c r="B124" s="14">
        <f t="shared" si="40"/>
        <v>121</v>
      </c>
      <c r="C124" s="37" t="s">
        <v>625</v>
      </c>
      <c r="D124" s="40">
        <v>86</v>
      </c>
      <c r="E124" s="39">
        <v>7</v>
      </c>
      <c r="F124" s="37"/>
      <c r="G124" s="41">
        <f t="shared" ref="G124:G155" si="42">IF(D124="","",+$G$2*D124)</f>
        <v>7.1666666666666661</v>
      </c>
      <c r="H124" s="615">
        <f t="shared" si="22"/>
        <v>0</v>
      </c>
      <c r="I124" s="615">
        <f t="shared" si="23"/>
        <v>0</v>
      </c>
      <c r="J124" s="12">
        <f t="shared" si="24"/>
        <v>0</v>
      </c>
      <c r="K124" s="12">
        <f t="shared" si="25"/>
        <v>0</v>
      </c>
      <c r="L124" s="12">
        <f t="shared" si="26"/>
        <v>0</v>
      </c>
      <c r="M124" s="12">
        <f t="shared" si="27"/>
        <v>0</v>
      </c>
      <c r="N124" s="26">
        <f t="shared" si="28"/>
        <v>0</v>
      </c>
      <c r="O124" s="26">
        <f t="shared" si="29"/>
        <v>0</v>
      </c>
      <c r="P124" s="26">
        <f t="shared" si="30"/>
        <v>0</v>
      </c>
      <c r="Q124" s="612">
        <f t="shared" si="31"/>
        <v>12.971666666666666</v>
      </c>
      <c r="R124" s="26">
        <f t="shared" si="32"/>
        <v>55.966666666666669</v>
      </c>
      <c r="S124" s="26">
        <f t="shared" si="33"/>
        <v>0</v>
      </c>
      <c r="T124" s="26">
        <f t="shared" si="34"/>
        <v>5.16</v>
      </c>
      <c r="U124" s="26">
        <f t="shared" si="35"/>
        <v>13</v>
      </c>
      <c r="V124" s="26">
        <f t="shared" si="36"/>
        <v>7.7829166666666669</v>
      </c>
      <c r="W124" s="20">
        <f t="shared" si="37"/>
        <v>38.914583333333333</v>
      </c>
      <c r="X124" s="20">
        <f t="shared" si="38"/>
        <v>55.966666666666669</v>
      </c>
      <c r="Y124" s="86">
        <f t="shared" si="39"/>
        <v>94.881249999999994</v>
      </c>
      <c r="Z124" s="619"/>
    </row>
    <row r="125" spans="2:26">
      <c r="B125" s="14">
        <f t="shared" si="40"/>
        <v>122</v>
      </c>
      <c r="C125" s="37" t="s">
        <v>625</v>
      </c>
      <c r="D125" s="40">
        <v>86</v>
      </c>
      <c r="E125" s="39">
        <v>7</v>
      </c>
      <c r="F125" s="37"/>
      <c r="G125" s="41">
        <f t="shared" si="42"/>
        <v>7.1666666666666661</v>
      </c>
      <c r="H125" s="615">
        <f t="shared" si="22"/>
        <v>0</v>
      </c>
      <c r="I125" s="615">
        <f t="shared" si="23"/>
        <v>0</v>
      </c>
      <c r="J125" s="12">
        <f t="shared" si="24"/>
        <v>0</v>
      </c>
      <c r="K125" s="12">
        <f t="shared" si="25"/>
        <v>0</v>
      </c>
      <c r="L125" s="12">
        <f t="shared" si="26"/>
        <v>0</v>
      </c>
      <c r="M125" s="12">
        <f t="shared" si="27"/>
        <v>0</v>
      </c>
      <c r="N125" s="26">
        <f t="shared" si="28"/>
        <v>0</v>
      </c>
      <c r="O125" s="26">
        <f t="shared" si="29"/>
        <v>0</v>
      </c>
      <c r="P125" s="26">
        <f t="shared" si="30"/>
        <v>0</v>
      </c>
      <c r="Q125" s="612">
        <f t="shared" si="31"/>
        <v>12.971666666666666</v>
      </c>
      <c r="R125" s="26">
        <f t="shared" si="32"/>
        <v>55.966666666666669</v>
      </c>
      <c r="S125" s="26">
        <f t="shared" si="33"/>
        <v>0</v>
      </c>
      <c r="T125" s="26">
        <f t="shared" si="34"/>
        <v>5.16</v>
      </c>
      <c r="U125" s="26">
        <f t="shared" si="35"/>
        <v>13</v>
      </c>
      <c r="V125" s="26">
        <f t="shared" si="36"/>
        <v>7.7829166666666669</v>
      </c>
      <c r="W125" s="20">
        <f t="shared" si="37"/>
        <v>38.914583333333333</v>
      </c>
      <c r="X125" s="20">
        <f t="shared" si="38"/>
        <v>55.966666666666669</v>
      </c>
      <c r="Y125" s="86">
        <f t="shared" si="39"/>
        <v>94.881249999999994</v>
      </c>
      <c r="Z125" s="619"/>
    </row>
    <row r="126" spans="2:26">
      <c r="B126" s="14">
        <f t="shared" si="40"/>
        <v>123</v>
      </c>
      <c r="C126" s="37" t="s">
        <v>625</v>
      </c>
      <c r="D126" s="40">
        <v>240</v>
      </c>
      <c r="E126" s="39">
        <v>4</v>
      </c>
      <c r="F126" s="37"/>
      <c r="G126" s="41">
        <f t="shared" si="42"/>
        <v>20</v>
      </c>
      <c r="H126" s="615">
        <f t="shared" si="22"/>
        <v>0</v>
      </c>
      <c r="I126" s="615">
        <f t="shared" si="23"/>
        <v>0</v>
      </c>
      <c r="J126" s="12">
        <f t="shared" si="24"/>
        <v>0</v>
      </c>
      <c r="K126" s="12">
        <f t="shared" si="25"/>
        <v>0</v>
      </c>
      <c r="L126" s="12">
        <f t="shared" si="26"/>
        <v>0</v>
      </c>
      <c r="M126" s="12">
        <f t="shared" si="27"/>
        <v>0</v>
      </c>
      <c r="N126" s="26">
        <f t="shared" si="28"/>
        <v>0</v>
      </c>
      <c r="O126" s="26">
        <f t="shared" si="29"/>
        <v>0</v>
      </c>
      <c r="P126" s="26">
        <f t="shared" si="30"/>
        <v>0</v>
      </c>
      <c r="Q126" s="612">
        <f t="shared" si="31"/>
        <v>22.400000000000002</v>
      </c>
      <c r="R126" s="26">
        <f t="shared" si="32"/>
        <v>115</v>
      </c>
      <c r="S126" s="26">
        <f t="shared" si="33"/>
        <v>0</v>
      </c>
      <c r="T126" s="26">
        <f t="shared" si="34"/>
        <v>3.6</v>
      </c>
      <c r="U126" s="26">
        <f t="shared" si="35"/>
        <v>12</v>
      </c>
      <c r="V126" s="26">
        <f t="shared" si="36"/>
        <v>9.5</v>
      </c>
      <c r="W126" s="20">
        <f t="shared" si="37"/>
        <v>47.5</v>
      </c>
      <c r="X126" s="20">
        <f t="shared" si="38"/>
        <v>115</v>
      </c>
      <c r="Y126" s="86">
        <f t="shared" si="39"/>
        <v>162.5</v>
      </c>
      <c r="Z126" s="619"/>
    </row>
    <row r="127" spans="2:26">
      <c r="B127" s="14">
        <f t="shared" si="40"/>
        <v>124</v>
      </c>
      <c r="C127" s="37" t="s">
        <v>625</v>
      </c>
      <c r="D127" s="40">
        <v>113</v>
      </c>
      <c r="E127" s="39" t="s">
        <v>1326</v>
      </c>
      <c r="F127" s="37"/>
      <c r="G127" s="41">
        <f t="shared" si="42"/>
        <v>9.4166666666666661</v>
      </c>
      <c r="H127" s="615">
        <f t="shared" si="22"/>
        <v>16</v>
      </c>
      <c r="I127" s="615">
        <f t="shared" si="23"/>
        <v>14</v>
      </c>
      <c r="J127" s="12">
        <f t="shared" si="24"/>
        <v>5</v>
      </c>
      <c r="K127" s="12">
        <f t="shared" si="25"/>
        <v>47.083333333333329</v>
      </c>
      <c r="L127" s="12">
        <f t="shared" si="26"/>
        <v>58.854166666666657</v>
      </c>
      <c r="M127" s="12">
        <f t="shared" si="27"/>
        <v>1.4713541666666665</v>
      </c>
      <c r="N127" s="26">
        <f t="shared" si="28"/>
        <v>73.567708333333329</v>
      </c>
      <c r="O127" s="26">
        <f t="shared" si="29"/>
        <v>46.531575520833329</v>
      </c>
      <c r="P127" s="26">
        <f t="shared" si="30"/>
        <v>67.682291666666657</v>
      </c>
      <c r="Q127" s="612">
        <f t="shared" si="31"/>
        <v>0</v>
      </c>
      <c r="R127" s="26">
        <f t="shared" si="32"/>
        <v>0</v>
      </c>
      <c r="S127" s="26">
        <f t="shared" si="33"/>
        <v>0</v>
      </c>
      <c r="T127" s="26">
        <f t="shared" si="34"/>
        <v>0</v>
      </c>
      <c r="U127" s="26">
        <f t="shared" si="35"/>
        <v>0</v>
      </c>
      <c r="V127" s="26">
        <f t="shared" si="36"/>
        <v>18.391927083333332</v>
      </c>
      <c r="W127" s="20">
        <f t="shared" si="37"/>
        <v>91.959635416666657</v>
      </c>
      <c r="X127" s="20">
        <f t="shared" si="38"/>
        <v>114.21386718749999</v>
      </c>
      <c r="Y127" s="86">
        <f t="shared" si="39"/>
        <v>206.17350260416663</v>
      </c>
      <c r="Z127" s="619"/>
    </row>
    <row r="128" spans="2:26">
      <c r="B128" s="14">
        <f t="shared" si="40"/>
        <v>125</v>
      </c>
      <c r="C128" s="37" t="s">
        <v>625</v>
      </c>
      <c r="D128" s="40">
        <v>71</v>
      </c>
      <c r="E128" s="39" t="s">
        <v>1252</v>
      </c>
      <c r="F128" s="37"/>
      <c r="G128" s="41">
        <f t="shared" si="42"/>
        <v>5.9166666666666661</v>
      </c>
      <c r="H128" s="615">
        <f t="shared" si="22"/>
        <v>14</v>
      </c>
      <c r="I128" s="615">
        <f t="shared" si="23"/>
        <v>12</v>
      </c>
      <c r="J128" s="12">
        <f t="shared" si="24"/>
        <v>4.333333333333333</v>
      </c>
      <c r="K128" s="12">
        <f t="shared" si="25"/>
        <v>25.638888888888886</v>
      </c>
      <c r="L128" s="12">
        <f t="shared" si="26"/>
        <v>32.048611111111107</v>
      </c>
      <c r="M128" s="12">
        <f t="shared" si="27"/>
        <v>0.80121527777777768</v>
      </c>
      <c r="N128" s="26">
        <f t="shared" si="28"/>
        <v>40.060763888888886</v>
      </c>
      <c r="O128" s="26">
        <f t="shared" si="29"/>
        <v>25.338433159722218</v>
      </c>
      <c r="P128" s="26">
        <f t="shared" si="30"/>
        <v>36.855902777777771</v>
      </c>
      <c r="Q128" s="612">
        <f t="shared" si="31"/>
        <v>0</v>
      </c>
      <c r="R128" s="26">
        <f t="shared" si="32"/>
        <v>0</v>
      </c>
      <c r="S128" s="26">
        <f t="shared" si="33"/>
        <v>0</v>
      </c>
      <c r="T128" s="26">
        <f t="shared" si="34"/>
        <v>0</v>
      </c>
      <c r="U128" s="26">
        <f t="shared" si="35"/>
        <v>0</v>
      </c>
      <c r="V128" s="26">
        <f t="shared" si="36"/>
        <v>10.015190972222221</v>
      </c>
      <c r="W128" s="20">
        <f t="shared" si="37"/>
        <v>50.075954861111107</v>
      </c>
      <c r="X128" s="20">
        <f t="shared" si="38"/>
        <v>62.194335937499986</v>
      </c>
      <c r="Y128" s="86">
        <f t="shared" si="39"/>
        <v>112.27029079861109</v>
      </c>
      <c r="Z128" s="619"/>
    </row>
    <row r="129" spans="2:26">
      <c r="B129" s="14">
        <f t="shared" si="40"/>
        <v>126</v>
      </c>
      <c r="C129" s="37" t="s">
        <v>625</v>
      </c>
      <c r="D129" s="40">
        <v>86</v>
      </c>
      <c r="E129" s="39">
        <v>6</v>
      </c>
      <c r="F129" s="37"/>
      <c r="G129" s="41">
        <f t="shared" si="42"/>
        <v>7.1666666666666661</v>
      </c>
      <c r="H129" s="615">
        <f t="shared" si="22"/>
        <v>0</v>
      </c>
      <c r="I129" s="615">
        <f t="shared" si="23"/>
        <v>0</v>
      </c>
      <c r="J129" s="12">
        <f t="shared" si="24"/>
        <v>0</v>
      </c>
      <c r="K129" s="12">
        <f t="shared" si="25"/>
        <v>0</v>
      </c>
      <c r="L129" s="12">
        <f t="shared" si="26"/>
        <v>0</v>
      </c>
      <c r="M129" s="12">
        <f t="shared" si="27"/>
        <v>0</v>
      </c>
      <c r="N129" s="26">
        <f t="shared" si="28"/>
        <v>0</v>
      </c>
      <c r="O129" s="26">
        <f t="shared" si="29"/>
        <v>0</v>
      </c>
      <c r="P129" s="26">
        <f t="shared" si="30"/>
        <v>0</v>
      </c>
      <c r="Q129" s="612">
        <f t="shared" si="31"/>
        <v>10.033333333333331</v>
      </c>
      <c r="R129" s="26">
        <f t="shared" si="32"/>
        <v>55.966666666666669</v>
      </c>
      <c r="S129" s="26">
        <f t="shared" si="33"/>
        <v>0</v>
      </c>
      <c r="T129" s="26">
        <f t="shared" si="34"/>
        <v>4.3</v>
      </c>
      <c r="U129" s="26">
        <f t="shared" si="35"/>
        <v>12.75</v>
      </c>
      <c r="V129" s="26">
        <f t="shared" si="36"/>
        <v>6.770833333333333</v>
      </c>
      <c r="W129" s="20">
        <f t="shared" si="37"/>
        <v>33.854166666666664</v>
      </c>
      <c r="X129" s="20">
        <f t="shared" si="38"/>
        <v>55.966666666666669</v>
      </c>
      <c r="Y129" s="86">
        <f t="shared" si="39"/>
        <v>89.820833333333326</v>
      </c>
      <c r="Z129" s="619"/>
    </row>
    <row r="130" spans="2:26">
      <c r="B130" s="14">
        <f t="shared" si="40"/>
        <v>127</v>
      </c>
      <c r="C130" s="37" t="s">
        <v>625</v>
      </c>
      <c r="D130" s="40">
        <v>86</v>
      </c>
      <c r="E130" s="39">
        <v>6</v>
      </c>
      <c r="F130" s="37"/>
      <c r="G130" s="41">
        <f t="shared" si="42"/>
        <v>7.1666666666666661</v>
      </c>
      <c r="H130" s="615">
        <f t="shared" si="22"/>
        <v>0</v>
      </c>
      <c r="I130" s="615">
        <f t="shared" si="23"/>
        <v>0</v>
      </c>
      <c r="J130" s="12">
        <f t="shared" si="24"/>
        <v>0</v>
      </c>
      <c r="K130" s="12">
        <f t="shared" si="25"/>
        <v>0</v>
      </c>
      <c r="L130" s="12">
        <f t="shared" si="26"/>
        <v>0</v>
      </c>
      <c r="M130" s="12">
        <f t="shared" si="27"/>
        <v>0</v>
      </c>
      <c r="N130" s="26">
        <f t="shared" si="28"/>
        <v>0</v>
      </c>
      <c r="O130" s="26">
        <f t="shared" si="29"/>
        <v>0</v>
      </c>
      <c r="P130" s="26">
        <f t="shared" si="30"/>
        <v>0</v>
      </c>
      <c r="Q130" s="612">
        <f t="shared" si="31"/>
        <v>10.033333333333331</v>
      </c>
      <c r="R130" s="26">
        <f t="shared" si="32"/>
        <v>55.966666666666669</v>
      </c>
      <c r="S130" s="26">
        <f t="shared" si="33"/>
        <v>0</v>
      </c>
      <c r="T130" s="26">
        <f t="shared" si="34"/>
        <v>4.3</v>
      </c>
      <c r="U130" s="26">
        <f t="shared" si="35"/>
        <v>12.75</v>
      </c>
      <c r="V130" s="26">
        <f t="shared" si="36"/>
        <v>6.770833333333333</v>
      </c>
      <c r="W130" s="20">
        <f t="shared" si="37"/>
        <v>33.854166666666664</v>
      </c>
      <c r="X130" s="20">
        <f t="shared" si="38"/>
        <v>55.966666666666669</v>
      </c>
      <c r="Y130" s="86">
        <f t="shared" si="39"/>
        <v>89.820833333333326</v>
      </c>
      <c r="Z130" s="619"/>
    </row>
    <row r="131" spans="2:26">
      <c r="B131" s="14">
        <f t="shared" si="40"/>
        <v>128</v>
      </c>
      <c r="C131" s="37" t="s">
        <v>625</v>
      </c>
      <c r="D131" s="40">
        <v>86</v>
      </c>
      <c r="E131" s="39">
        <v>6</v>
      </c>
      <c r="F131" s="37"/>
      <c r="G131" s="41">
        <f t="shared" si="42"/>
        <v>7.1666666666666661</v>
      </c>
      <c r="H131" s="615">
        <f t="shared" si="22"/>
        <v>0</v>
      </c>
      <c r="I131" s="615">
        <f t="shared" si="23"/>
        <v>0</v>
      </c>
      <c r="J131" s="12">
        <f t="shared" si="24"/>
        <v>0</v>
      </c>
      <c r="K131" s="12">
        <f t="shared" si="25"/>
        <v>0</v>
      </c>
      <c r="L131" s="12">
        <f t="shared" si="26"/>
        <v>0</v>
      </c>
      <c r="M131" s="12">
        <f t="shared" si="27"/>
        <v>0</v>
      </c>
      <c r="N131" s="26">
        <f t="shared" si="28"/>
        <v>0</v>
      </c>
      <c r="O131" s="26">
        <f t="shared" si="29"/>
        <v>0</v>
      </c>
      <c r="P131" s="26">
        <f t="shared" si="30"/>
        <v>0</v>
      </c>
      <c r="Q131" s="612">
        <f t="shared" si="31"/>
        <v>10.033333333333331</v>
      </c>
      <c r="R131" s="26">
        <f t="shared" si="32"/>
        <v>55.966666666666669</v>
      </c>
      <c r="S131" s="26">
        <f t="shared" si="33"/>
        <v>0</v>
      </c>
      <c r="T131" s="26">
        <f t="shared" si="34"/>
        <v>4.3</v>
      </c>
      <c r="U131" s="26">
        <f t="shared" si="35"/>
        <v>12.75</v>
      </c>
      <c r="V131" s="26">
        <f t="shared" si="36"/>
        <v>6.770833333333333</v>
      </c>
      <c r="W131" s="20">
        <f t="shared" si="37"/>
        <v>33.854166666666664</v>
      </c>
      <c r="X131" s="20">
        <f t="shared" si="38"/>
        <v>55.966666666666669</v>
      </c>
      <c r="Y131" s="86">
        <f t="shared" si="39"/>
        <v>89.820833333333326</v>
      </c>
      <c r="Z131" s="619"/>
    </row>
    <row r="132" spans="2:26">
      <c r="B132" s="14">
        <f t="shared" si="40"/>
        <v>129</v>
      </c>
      <c r="C132" s="37" t="s">
        <v>625</v>
      </c>
      <c r="D132" s="40">
        <v>86</v>
      </c>
      <c r="E132" s="39">
        <v>6</v>
      </c>
      <c r="F132" s="37"/>
      <c r="G132" s="41">
        <f t="shared" si="42"/>
        <v>7.1666666666666661</v>
      </c>
      <c r="H132" s="615">
        <f t="shared" ref="H132:H195" si="43">IF(D132="",0,IF(ISERROR(FIND("*",E132)),0,(LEFT($E132,FIND("*",$E132)-1)+4)))</f>
        <v>0</v>
      </c>
      <c r="I132" s="615">
        <f t="shared" ref="I132:I195" si="44">IF(D132="",0,IF(ISERROR(FIND("*",E132)),0,(RIGHT($E132,LEN($E132)-FIND("*",$E132)))+4))</f>
        <v>0</v>
      </c>
      <c r="J132" s="12">
        <f t="shared" ref="J132:J195" si="45">IF(D132="",0,(H132+I132)*2*12/144)</f>
        <v>0</v>
      </c>
      <c r="K132" s="12">
        <f t="shared" ref="K132:K195" si="46">IF(E132="",0,J132*G132)</f>
        <v>0</v>
      </c>
      <c r="L132" s="12">
        <f t="shared" ref="L132:L195" si="47">IF(D132="",0,K132*(1+$L$2))</f>
        <v>0</v>
      </c>
      <c r="M132" s="12">
        <f t="shared" ref="M132:M195" si="48">IF(E132="",0,L132/40)</f>
        <v>0</v>
      </c>
      <c r="N132" s="26">
        <f t="shared" ref="N132:N195" si="49">IF(E132="",0,M132*$AC$4)</f>
        <v>0</v>
      </c>
      <c r="O132" s="26">
        <f t="shared" ref="O132:O195" si="50">M132*($AC$9/$AC$6+$AC$9/$AC$5+$AC$9/$AC$7)</f>
        <v>0</v>
      </c>
      <c r="P132" s="26">
        <f t="shared" ref="P132:P195" si="51">M132*($AC$9/$AC$8)</f>
        <v>0</v>
      </c>
      <c r="Q132" s="612">
        <f t="shared" ref="Q132:Q195" si="52">IF(D132="",0,IF(ISERROR(FIND("*",E132)),INDEX($AG$4:$AG$14,MATCH(E132,$AF$4:$AF$14,0),1)*G132,0))</f>
        <v>10.033333333333331</v>
      </c>
      <c r="R132" s="26">
        <f t="shared" ref="R132:R195" si="53">IF(Q132=0,0,(G132*$AC$11+$AC$10)*$AC$9)</f>
        <v>55.966666666666669</v>
      </c>
      <c r="S132" s="26">
        <f t="shared" ref="S132:S195" si="54">IF($D132&gt;0,IF($F132="x",IF($H132&gt;0,$AK$4,IF($E132&gt;0,INDEX($AJ$4:$AJ$17,MATCH($E132,$AF$4:$AF$17,0),1),0)),0),0)</f>
        <v>0</v>
      </c>
      <c r="T132" s="26">
        <f t="shared" ref="T132:T195" si="55">IF($D132&gt;0,IF($H132&gt;0,0,IF($E132&gt;0,INDEX($AH$4:$AH$17,MATCH($E132,$AF$4:$AF$17,0),1)*2,0)),0)</f>
        <v>4.3</v>
      </c>
      <c r="U132" s="26">
        <f t="shared" ref="U132:U195" si="56">IF($D132&gt;0,IF($H132&gt;0,0,IF($E132&gt;0,INDEX($AI$4:$AI$17,MATCH($E132,$AF$4:$AF$17,0),1),0)),0)</f>
        <v>12.75</v>
      </c>
      <c r="V132" s="26">
        <f t="shared" ref="V132:V195" si="57">(N132+Q132+S132+T132+U132)*($V$2)</f>
        <v>6.770833333333333</v>
      </c>
      <c r="W132" s="20">
        <f t="shared" ref="W132:W195" si="58">N132+Q132+S132+T132+U132+V132</f>
        <v>33.854166666666664</v>
      </c>
      <c r="X132" s="20">
        <f t="shared" ref="X132:X195" si="59">R132+O132+P132</f>
        <v>55.966666666666669</v>
      </c>
      <c r="Y132" s="86">
        <f t="shared" ref="Y132:Y195" si="60">IFERROR(W132+X132,"")</f>
        <v>89.820833333333326</v>
      </c>
      <c r="Z132" s="619"/>
    </row>
    <row r="133" spans="2:26">
      <c r="B133" s="14">
        <f t="shared" ref="B133:B196" si="61">1+B132</f>
        <v>130</v>
      </c>
      <c r="C133" s="37" t="s">
        <v>625</v>
      </c>
      <c r="D133" s="40">
        <v>210</v>
      </c>
      <c r="E133" s="39">
        <v>4</v>
      </c>
      <c r="F133" s="37"/>
      <c r="G133" s="41">
        <f t="shared" si="42"/>
        <v>17.5</v>
      </c>
      <c r="H133" s="615">
        <f t="shared" si="43"/>
        <v>0</v>
      </c>
      <c r="I133" s="615">
        <f t="shared" si="44"/>
        <v>0</v>
      </c>
      <c r="J133" s="12">
        <f t="shared" si="45"/>
        <v>0</v>
      </c>
      <c r="K133" s="12">
        <f t="shared" si="46"/>
        <v>0</v>
      </c>
      <c r="L133" s="12">
        <f t="shared" si="47"/>
        <v>0</v>
      </c>
      <c r="M133" s="12">
        <f t="shared" si="48"/>
        <v>0</v>
      </c>
      <c r="N133" s="26">
        <f t="shared" si="49"/>
        <v>0</v>
      </c>
      <c r="O133" s="26">
        <f t="shared" si="50"/>
        <v>0</v>
      </c>
      <c r="P133" s="26">
        <f t="shared" si="51"/>
        <v>0</v>
      </c>
      <c r="Q133" s="612">
        <f t="shared" si="52"/>
        <v>19.600000000000001</v>
      </c>
      <c r="R133" s="26">
        <f t="shared" si="53"/>
        <v>103.5</v>
      </c>
      <c r="S133" s="26">
        <f t="shared" si="54"/>
        <v>0</v>
      </c>
      <c r="T133" s="26">
        <f t="shared" si="55"/>
        <v>3.6</v>
      </c>
      <c r="U133" s="26">
        <f t="shared" si="56"/>
        <v>12</v>
      </c>
      <c r="V133" s="26">
        <f t="shared" si="57"/>
        <v>8.8000000000000007</v>
      </c>
      <c r="W133" s="20">
        <f t="shared" si="58"/>
        <v>44</v>
      </c>
      <c r="X133" s="20">
        <f t="shared" si="59"/>
        <v>103.5</v>
      </c>
      <c r="Y133" s="86">
        <f t="shared" si="60"/>
        <v>147.5</v>
      </c>
      <c r="Z133" s="619"/>
    </row>
    <row r="134" spans="2:26">
      <c r="B134" s="14">
        <f t="shared" si="61"/>
        <v>131</v>
      </c>
      <c r="C134" s="37" t="s">
        <v>625</v>
      </c>
      <c r="D134" s="40">
        <v>210</v>
      </c>
      <c r="E134" s="39">
        <v>4</v>
      </c>
      <c r="F134" s="37"/>
      <c r="G134" s="41">
        <f t="shared" si="42"/>
        <v>17.5</v>
      </c>
      <c r="H134" s="615">
        <f t="shared" si="43"/>
        <v>0</v>
      </c>
      <c r="I134" s="615">
        <f t="shared" si="44"/>
        <v>0</v>
      </c>
      <c r="J134" s="12">
        <f t="shared" si="45"/>
        <v>0</v>
      </c>
      <c r="K134" s="12">
        <f t="shared" si="46"/>
        <v>0</v>
      </c>
      <c r="L134" s="12">
        <f t="shared" si="47"/>
        <v>0</v>
      </c>
      <c r="M134" s="12">
        <f t="shared" si="48"/>
        <v>0</v>
      </c>
      <c r="N134" s="26">
        <f t="shared" si="49"/>
        <v>0</v>
      </c>
      <c r="O134" s="26">
        <f t="shared" si="50"/>
        <v>0</v>
      </c>
      <c r="P134" s="26">
        <f t="shared" si="51"/>
        <v>0</v>
      </c>
      <c r="Q134" s="612">
        <f t="shared" si="52"/>
        <v>19.600000000000001</v>
      </c>
      <c r="R134" s="26">
        <f t="shared" si="53"/>
        <v>103.5</v>
      </c>
      <c r="S134" s="26">
        <f t="shared" si="54"/>
        <v>0</v>
      </c>
      <c r="T134" s="26">
        <f t="shared" si="55"/>
        <v>3.6</v>
      </c>
      <c r="U134" s="26">
        <f t="shared" si="56"/>
        <v>12</v>
      </c>
      <c r="V134" s="26">
        <f t="shared" si="57"/>
        <v>8.8000000000000007</v>
      </c>
      <c r="W134" s="20">
        <f t="shared" si="58"/>
        <v>44</v>
      </c>
      <c r="X134" s="20">
        <f t="shared" si="59"/>
        <v>103.5</v>
      </c>
      <c r="Y134" s="86">
        <f t="shared" si="60"/>
        <v>147.5</v>
      </c>
      <c r="Z134" s="619"/>
    </row>
    <row r="135" spans="2:26">
      <c r="B135" s="14">
        <f t="shared" si="61"/>
        <v>132</v>
      </c>
      <c r="C135" s="37" t="s">
        <v>625</v>
      </c>
      <c r="D135" s="40">
        <v>100</v>
      </c>
      <c r="E135" s="39">
        <v>8</v>
      </c>
      <c r="F135" s="37"/>
      <c r="G135" s="41">
        <f t="shared" si="42"/>
        <v>8.3333333333333321</v>
      </c>
      <c r="H135" s="615">
        <f t="shared" si="43"/>
        <v>0</v>
      </c>
      <c r="I135" s="615">
        <f t="shared" si="44"/>
        <v>0</v>
      </c>
      <c r="J135" s="12">
        <f t="shared" si="45"/>
        <v>0</v>
      </c>
      <c r="K135" s="12">
        <f t="shared" si="46"/>
        <v>0</v>
      </c>
      <c r="L135" s="12">
        <f t="shared" si="47"/>
        <v>0</v>
      </c>
      <c r="M135" s="12">
        <f t="shared" si="48"/>
        <v>0</v>
      </c>
      <c r="N135" s="26">
        <f t="shared" si="49"/>
        <v>0</v>
      </c>
      <c r="O135" s="26">
        <f t="shared" si="50"/>
        <v>0</v>
      </c>
      <c r="P135" s="26">
        <f t="shared" si="51"/>
        <v>0</v>
      </c>
      <c r="Q135" s="612">
        <f t="shared" si="52"/>
        <v>16.333333333333332</v>
      </c>
      <c r="R135" s="26">
        <f t="shared" si="53"/>
        <v>61.333333333333329</v>
      </c>
      <c r="S135" s="26">
        <f t="shared" si="54"/>
        <v>0</v>
      </c>
      <c r="T135" s="26">
        <f t="shared" si="55"/>
        <v>6.3</v>
      </c>
      <c r="U135" s="26">
        <f t="shared" si="56"/>
        <v>13.25</v>
      </c>
      <c r="V135" s="26">
        <f t="shared" si="57"/>
        <v>8.9708333333333332</v>
      </c>
      <c r="W135" s="20">
        <f t="shared" si="58"/>
        <v>44.854166666666664</v>
      </c>
      <c r="X135" s="20">
        <f t="shared" si="59"/>
        <v>61.333333333333329</v>
      </c>
      <c r="Y135" s="86">
        <f t="shared" si="60"/>
        <v>106.1875</v>
      </c>
      <c r="Z135" s="619"/>
    </row>
    <row r="136" spans="2:26">
      <c r="B136" s="14">
        <f t="shared" si="61"/>
        <v>133</v>
      </c>
      <c r="C136" s="37" t="s">
        <v>625</v>
      </c>
      <c r="D136" s="40">
        <v>350</v>
      </c>
      <c r="E136" s="39">
        <v>4</v>
      </c>
      <c r="F136" s="37"/>
      <c r="G136" s="41">
        <f t="shared" si="42"/>
        <v>29.166666666666664</v>
      </c>
      <c r="H136" s="615">
        <f t="shared" si="43"/>
        <v>0</v>
      </c>
      <c r="I136" s="615">
        <f t="shared" si="44"/>
        <v>0</v>
      </c>
      <c r="J136" s="12">
        <f t="shared" si="45"/>
        <v>0</v>
      </c>
      <c r="K136" s="12">
        <f t="shared" si="46"/>
        <v>0</v>
      </c>
      <c r="L136" s="12">
        <f t="shared" si="47"/>
        <v>0</v>
      </c>
      <c r="M136" s="12">
        <f t="shared" si="48"/>
        <v>0</v>
      </c>
      <c r="N136" s="26">
        <f t="shared" si="49"/>
        <v>0</v>
      </c>
      <c r="O136" s="26">
        <f t="shared" si="50"/>
        <v>0</v>
      </c>
      <c r="P136" s="26">
        <f t="shared" si="51"/>
        <v>0</v>
      </c>
      <c r="Q136" s="612">
        <f t="shared" si="52"/>
        <v>32.666666666666664</v>
      </c>
      <c r="R136" s="26">
        <f t="shared" si="53"/>
        <v>157.16666666666666</v>
      </c>
      <c r="S136" s="26">
        <f t="shared" si="54"/>
        <v>0</v>
      </c>
      <c r="T136" s="26">
        <f t="shared" si="55"/>
        <v>3.6</v>
      </c>
      <c r="U136" s="26">
        <f t="shared" si="56"/>
        <v>12</v>
      </c>
      <c r="V136" s="26">
        <f t="shared" si="57"/>
        <v>12.066666666666666</v>
      </c>
      <c r="W136" s="20">
        <f t="shared" si="58"/>
        <v>60.333333333333329</v>
      </c>
      <c r="X136" s="20">
        <f t="shared" si="59"/>
        <v>157.16666666666666</v>
      </c>
      <c r="Y136" s="86">
        <f t="shared" si="60"/>
        <v>217.5</v>
      </c>
      <c r="Z136" s="619"/>
    </row>
    <row r="137" spans="2:26">
      <c r="B137" s="14">
        <f t="shared" si="61"/>
        <v>134</v>
      </c>
      <c r="C137" s="37" t="s">
        <v>625</v>
      </c>
      <c r="D137" s="40"/>
      <c r="E137" s="39"/>
      <c r="F137" s="37"/>
      <c r="G137" s="41" t="str">
        <f t="shared" si="42"/>
        <v/>
      </c>
      <c r="H137" s="615">
        <f t="shared" si="43"/>
        <v>0</v>
      </c>
      <c r="I137" s="615">
        <f t="shared" si="44"/>
        <v>0</v>
      </c>
      <c r="J137" s="12">
        <f t="shared" si="45"/>
        <v>0</v>
      </c>
      <c r="K137" s="12">
        <f t="shared" si="46"/>
        <v>0</v>
      </c>
      <c r="L137" s="12">
        <f t="shared" si="47"/>
        <v>0</v>
      </c>
      <c r="M137" s="12">
        <f t="shared" si="48"/>
        <v>0</v>
      </c>
      <c r="N137" s="26">
        <f t="shared" si="49"/>
        <v>0</v>
      </c>
      <c r="O137" s="26">
        <f t="shared" si="50"/>
        <v>0</v>
      </c>
      <c r="P137" s="26">
        <f t="shared" si="51"/>
        <v>0</v>
      </c>
      <c r="Q137" s="612">
        <f t="shared" si="52"/>
        <v>0</v>
      </c>
      <c r="R137" s="26">
        <f t="shared" si="53"/>
        <v>0</v>
      </c>
      <c r="S137" s="26">
        <f t="shared" si="54"/>
        <v>0</v>
      </c>
      <c r="T137" s="26">
        <f t="shared" si="55"/>
        <v>0</v>
      </c>
      <c r="U137" s="26">
        <f t="shared" si="56"/>
        <v>0</v>
      </c>
      <c r="V137" s="26">
        <f t="shared" si="57"/>
        <v>0</v>
      </c>
      <c r="W137" s="20">
        <f t="shared" si="58"/>
        <v>0</v>
      </c>
      <c r="X137" s="20">
        <f t="shared" si="59"/>
        <v>0</v>
      </c>
      <c r="Y137" s="86">
        <f t="shared" si="60"/>
        <v>0</v>
      </c>
      <c r="Z137" s="619"/>
    </row>
    <row r="138" spans="2:26">
      <c r="B138" s="14">
        <f t="shared" si="61"/>
        <v>135</v>
      </c>
      <c r="C138" s="37" t="s">
        <v>625</v>
      </c>
      <c r="D138" s="40"/>
      <c r="E138" s="39"/>
      <c r="F138" s="37"/>
      <c r="G138" s="41" t="str">
        <f t="shared" si="42"/>
        <v/>
      </c>
      <c r="H138" s="615">
        <f t="shared" si="43"/>
        <v>0</v>
      </c>
      <c r="I138" s="615">
        <f t="shared" si="44"/>
        <v>0</v>
      </c>
      <c r="J138" s="12">
        <f t="shared" si="45"/>
        <v>0</v>
      </c>
      <c r="K138" s="12">
        <f t="shared" si="46"/>
        <v>0</v>
      </c>
      <c r="L138" s="12">
        <f t="shared" si="47"/>
        <v>0</v>
      </c>
      <c r="M138" s="12">
        <f t="shared" si="48"/>
        <v>0</v>
      </c>
      <c r="N138" s="26">
        <f t="shared" si="49"/>
        <v>0</v>
      </c>
      <c r="O138" s="26">
        <f t="shared" si="50"/>
        <v>0</v>
      </c>
      <c r="P138" s="26">
        <f t="shared" si="51"/>
        <v>0</v>
      </c>
      <c r="Q138" s="612">
        <f t="shared" si="52"/>
        <v>0</v>
      </c>
      <c r="R138" s="26">
        <f t="shared" si="53"/>
        <v>0</v>
      </c>
      <c r="S138" s="26">
        <f t="shared" si="54"/>
        <v>0</v>
      </c>
      <c r="T138" s="26">
        <f t="shared" si="55"/>
        <v>0</v>
      </c>
      <c r="U138" s="26">
        <f t="shared" si="56"/>
        <v>0</v>
      </c>
      <c r="V138" s="26">
        <f t="shared" si="57"/>
        <v>0</v>
      </c>
      <c r="W138" s="20">
        <f t="shared" si="58"/>
        <v>0</v>
      </c>
      <c r="X138" s="20">
        <f t="shared" si="59"/>
        <v>0</v>
      </c>
      <c r="Y138" s="86">
        <f t="shared" si="60"/>
        <v>0</v>
      </c>
      <c r="Z138" s="619"/>
    </row>
    <row r="139" spans="2:26">
      <c r="B139" s="14">
        <f t="shared" si="61"/>
        <v>136</v>
      </c>
      <c r="C139" s="37" t="s">
        <v>625</v>
      </c>
      <c r="D139" s="40"/>
      <c r="E139" s="39"/>
      <c r="F139" s="37"/>
      <c r="G139" s="41" t="str">
        <f t="shared" si="42"/>
        <v/>
      </c>
      <c r="H139" s="615">
        <f t="shared" si="43"/>
        <v>0</v>
      </c>
      <c r="I139" s="615">
        <f t="shared" si="44"/>
        <v>0</v>
      </c>
      <c r="J139" s="12">
        <f t="shared" si="45"/>
        <v>0</v>
      </c>
      <c r="K139" s="12">
        <f t="shared" si="46"/>
        <v>0</v>
      </c>
      <c r="L139" s="12">
        <f t="shared" si="47"/>
        <v>0</v>
      </c>
      <c r="M139" s="12">
        <f t="shared" si="48"/>
        <v>0</v>
      </c>
      <c r="N139" s="26">
        <f t="shared" si="49"/>
        <v>0</v>
      </c>
      <c r="O139" s="26">
        <f t="shared" si="50"/>
        <v>0</v>
      </c>
      <c r="P139" s="26">
        <f t="shared" si="51"/>
        <v>0</v>
      </c>
      <c r="Q139" s="612">
        <f t="shared" si="52"/>
        <v>0</v>
      </c>
      <c r="R139" s="26">
        <f t="shared" si="53"/>
        <v>0</v>
      </c>
      <c r="S139" s="26">
        <f t="shared" si="54"/>
        <v>0</v>
      </c>
      <c r="T139" s="26">
        <f t="shared" si="55"/>
        <v>0</v>
      </c>
      <c r="U139" s="26">
        <f t="shared" si="56"/>
        <v>0</v>
      </c>
      <c r="V139" s="26">
        <f t="shared" si="57"/>
        <v>0</v>
      </c>
      <c r="W139" s="20">
        <f t="shared" si="58"/>
        <v>0</v>
      </c>
      <c r="X139" s="20">
        <f t="shared" si="59"/>
        <v>0</v>
      </c>
      <c r="Y139" s="86">
        <f t="shared" si="60"/>
        <v>0</v>
      </c>
      <c r="Z139" s="619"/>
    </row>
    <row r="140" spans="2:26">
      <c r="B140" s="14">
        <f t="shared" si="61"/>
        <v>137</v>
      </c>
      <c r="C140" s="37" t="s">
        <v>625</v>
      </c>
      <c r="D140" s="40"/>
      <c r="E140" s="39"/>
      <c r="F140" s="37"/>
      <c r="G140" s="41" t="str">
        <f t="shared" si="42"/>
        <v/>
      </c>
      <c r="H140" s="615">
        <f t="shared" si="43"/>
        <v>0</v>
      </c>
      <c r="I140" s="615">
        <f t="shared" si="44"/>
        <v>0</v>
      </c>
      <c r="J140" s="12">
        <f t="shared" si="45"/>
        <v>0</v>
      </c>
      <c r="K140" s="12">
        <f t="shared" si="46"/>
        <v>0</v>
      </c>
      <c r="L140" s="12">
        <f t="shared" si="47"/>
        <v>0</v>
      </c>
      <c r="M140" s="12">
        <f t="shared" si="48"/>
        <v>0</v>
      </c>
      <c r="N140" s="26">
        <f t="shared" si="49"/>
        <v>0</v>
      </c>
      <c r="O140" s="26">
        <f t="shared" si="50"/>
        <v>0</v>
      </c>
      <c r="P140" s="26">
        <f t="shared" si="51"/>
        <v>0</v>
      </c>
      <c r="Q140" s="612">
        <f t="shared" si="52"/>
        <v>0</v>
      </c>
      <c r="R140" s="26">
        <f t="shared" si="53"/>
        <v>0</v>
      </c>
      <c r="S140" s="26">
        <f t="shared" si="54"/>
        <v>0</v>
      </c>
      <c r="T140" s="26">
        <f t="shared" si="55"/>
        <v>0</v>
      </c>
      <c r="U140" s="26">
        <f t="shared" si="56"/>
        <v>0</v>
      </c>
      <c r="V140" s="26">
        <f t="shared" si="57"/>
        <v>0</v>
      </c>
      <c r="W140" s="20">
        <f t="shared" si="58"/>
        <v>0</v>
      </c>
      <c r="X140" s="20">
        <f t="shared" si="59"/>
        <v>0</v>
      </c>
      <c r="Y140" s="86">
        <f t="shared" si="60"/>
        <v>0</v>
      </c>
      <c r="Z140" s="619"/>
    </row>
    <row r="141" spans="2:26">
      <c r="B141" s="14">
        <f t="shared" si="61"/>
        <v>138</v>
      </c>
      <c r="C141" s="37" t="s">
        <v>625</v>
      </c>
      <c r="D141" s="40"/>
      <c r="E141" s="39"/>
      <c r="F141" s="37"/>
      <c r="G141" s="41" t="str">
        <f t="shared" si="42"/>
        <v/>
      </c>
      <c r="H141" s="615">
        <f t="shared" si="43"/>
        <v>0</v>
      </c>
      <c r="I141" s="615">
        <f t="shared" si="44"/>
        <v>0</v>
      </c>
      <c r="J141" s="12">
        <f t="shared" si="45"/>
        <v>0</v>
      </c>
      <c r="K141" s="12">
        <f t="shared" si="46"/>
        <v>0</v>
      </c>
      <c r="L141" s="12">
        <f t="shared" si="47"/>
        <v>0</v>
      </c>
      <c r="M141" s="12">
        <f t="shared" si="48"/>
        <v>0</v>
      </c>
      <c r="N141" s="26">
        <f t="shared" si="49"/>
        <v>0</v>
      </c>
      <c r="O141" s="26">
        <f t="shared" si="50"/>
        <v>0</v>
      </c>
      <c r="P141" s="26">
        <f t="shared" si="51"/>
        <v>0</v>
      </c>
      <c r="Q141" s="612">
        <f t="shared" si="52"/>
        <v>0</v>
      </c>
      <c r="R141" s="26">
        <f t="shared" si="53"/>
        <v>0</v>
      </c>
      <c r="S141" s="26">
        <f t="shared" si="54"/>
        <v>0</v>
      </c>
      <c r="T141" s="26">
        <f t="shared" si="55"/>
        <v>0</v>
      </c>
      <c r="U141" s="26">
        <f t="shared" si="56"/>
        <v>0</v>
      </c>
      <c r="V141" s="26">
        <f t="shared" si="57"/>
        <v>0</v>
      </c>
      <c r="W141" s="20">
        <f t="shared" si="58"/>
        <v>0</v>
      </c>
      <c r="X141" s="20">
        <f t="shared" si="59"/>
        <v>0</v>
      </c>
      <c r="Y141" s="86">
        <f t="shared" si="60"/>
        <v>0</v>
      </c>
      <c r="Z141" s="619"/>
    </row>
    <row r="142" spans="2:26">
      <c r="B142" s="14">
        <f t="shared" si="61"/>
        <v>139</v>
      </c>
      <c r="C142" s="37" t="s">
        <v>625</v>
      </c>
      <c r="D142" s="40"/>
      <c r="E142" s="39"/>
      <c r="F142" s="37"/>
      <c r="G142" s="41" t="str">
        <f t="shared" si="42"/>
        <v/>
      </c>
      <c r="H142" s="615">
        <f t="shared" si="43"/>
        <v>0</v>
      </c>
      <c r="I142" s="615">
        <f t="shared" si="44"/>
        <v>0</v>
      </c>
      <c r="J142" s="12">
        <f t="shared" si="45"/>
        <v>0</v>
      </c>
      <c r="K142" s="12">
        <f t="shared" si="46"/>
        <v>0</v>
      </c>
      <c r="L142" s="12">
        <f t="shared" si="47"/>
        <v>0</v>
      </c>
      <c r="M142" s="12">
        <f t="shared" si="48"/>
        <v>0</v>
      </c>
      <c r="N142" s="26">
        <f t="shared" si="49"/>
        <v>0</v>
      </c>
      <c r="O142" s="26">
        <f t="shared" si="50"/>
        <v>0</v>
      </c>
      <c r="P142" s="26">
        <f t="shared" si="51"/>
        <v>0</v>
      </c>
      <c r="Q142" s="612">
        <f t="shared" si="52"/>
        <v>0</v>
      </c>
      <c r="R142" s="26">
        <f t="shared" si="53"/>
        <v>0</v>
      </c>
      <c r="S142" s="26">
        <f t="shared" si="54"/>
        <v>0</v>
      </c>
      <c r="T142" s="26">
        <f t="shared" si="55"/>
        <v>0</v>
      </c>
      <c r="U142" s="26">
        <f t="shared" si="56"/>
        <v>0</v>
      </c>
      <c r="V142" s="26">
        <f t="shared" si="57"/>
        <v>0</v>
      </c>
      <c r="W142" s="20">
        <f t="shared" si="58"/>
        <v>0</v>
      </c>
      <c r="X142" s="20">
        <f t="shared" si="59"/>
        <v>0</v>
      </c>
      <c r="Y142" s="86">
        <f t="shared" si="60"/>
        <v>0</v>
      </c>
      <c r="Z142" s="619"/>
    </row>
    <row r="143" spans="2:26">
      <c r="B143" s="14">
        <f t="shared" si="61"/>
        <v>140</v>
      </c>
      <c r="C143" s="37" t="s">
        <v>625</v>
      </c>
      <c r="D143" s="40"/>
      <c r="E143" s="39"/>
      <c r="F143" s="37"/>
      <c r="G143" s="41" t="str">
        <f t="shared" si="42"/>
        <v/>
      </c>
      <c r="H143" s="615">
        <f t="shared" si="43"/>
        <v>0</v>
      </c>
      <c r="I143" s="615">
        <f t="shared" si="44"/>
        <v>0</v>
      </c>
      <c r="J143" s="12">
        <f t="shared" si="45"/>
        <v>0</v>
      </c>
      <c r="K143" s="12">
        <f t="shared" si="46"/>
        <v>0</v>
      </c>
      <c r="L143" s="12">
        <f t="shared" si="47"/>
        <v>0</v>
      </c>
      <c r="M143" s="12">
        <f t="shared" si="48"/>
        <v>0</v>
      </c>
      <c r="N143" s="26">
        <f t="shared" si="49"/>
        <v>0</v>
      </c>
      <c r="O143" s="26">
        <f t="shared" si="50"/>
        <v>0</v>
      </c>
      <c r="P143" s="26">
        <f t="shared" si="51"/>
        <v>0</v>
      </c>
      <c r="Q143" s="612">
        <f t="shared" si="52"/>
        <v>0</v>
      </c>
      <c r="R143" s="26">
        <f t="shared" si="53"/>
        <v>0</v>
      </c>
      <c r="S143" s="26">
        <f t="shared" si="54"/>
        <v>0</v>
      </c>
      <c r="T143" s="26">
        <f t="shared" si="55"/>
        <v>0</v>
      </c>
      <c r="U143" s="26">
        <f t="shared" si="56"/>
        <v>0</v>
      </c>
      <c r="V143" s="26">
        <f t="shared" si="57"/>
        <v>0</v>
      </c>
      <c r="W143" s="20">
        <f t="shared" si="58"/>
        <v>0</v>
      </c>
      <c r="X143" s="20">
        <f t="shared" si="59"/>
        <v>0</v>
      </c>
      <c r="Y143" s="86">
        <f t="shared" si="60"/>
        <v>0</v>
      </c>
      <c r="Z143" s="619"/>
    </row>
    <row r="144" spans="2:26">
      <c r="B144" s="14">
        <f t="shared" si="61"/>
        <v>141</v>
      </c>
      <c r="C144" s="37" t="s">
        <v>625</v>
      </c>
      <c r="D144" s="40"/>
      <c r="E144" s="39"/>
      <c r="F144" s="37"/>
      <c r="G144" s="41" t="str">
        <f t="shared" si="42"/>
        <v/>
      </c>
      <c r="H144" s="615">
        <f t="shared" si="43"/>
        <v>0</v>
      </c>
      <c r="I144" s="615">
        <f t="shared" si="44"/>
        <v>0</v>
      </c>
      <c r="J144" s="12">
        <f t="shared" si="45"/>
        <v>0</v>
      </c>
      <c r="K144" s="12">
        <f t="shared" si="46"/>
        <v>0</v>
      </c>
      <c r="L144" s="12">
        <f t="shared" si="47"/>
        <v>0</v>
      </c>
      <c r="M144" s="12">
        <f t="shared" si="48"/>
        <v>0</v>
      </c>
      <c r="N144" s="26">
        <f t="shared" si="49"/>
        <v>0</v>
      </c>
      <c r="O144" s="26">
        <f t="shared" si="50"/>
        <v>0</v>
      </c>
      <c r="P144" s="26">
        <f t="shared" si="51"/>
        <v>0</v>
      </c>
      <c r="Q144" s="612">
        <f t="shared" si="52"/>
        <v>0</v>
      </c>
      <c r="R144" s="26">
        <f t="shared" si="53"/>
        <v>0</v>
      </c>
      <c r="S144" s="26">
        <f t="shared" si="54"/>
        <v>0</v>
      </c>
      <c r="T144" s="26">
        <f t="shared" si="55"/>
        <v>0</v>
      </c>
      <c r="U144" s="26">
        <f t="shared" si="56"/>
        <v>0</v>
      </c>
      <c r="V144" s="26">
        <f t="shared" si="57"/>
        <v>0</v>
      </c>
      <c r="W144" s="20">
        <f t="shared" si="58"/>
        <v>0</v>
      </c>
      <c r="X144" s="20">
        <f t="shared" si="59"/>
        <v>0</v>
      </c>
      <c r="Y144" s="86">
        <f t="shared" si="60"/>
        <v>0</v>
      </c>
      <c r="Z144" s="619"/>
    </row>
    <row r="145" spans="2:26">
      <c r="B145" s="14">
        <f t="shared" si="61"/>
        <v>142</v>
      </c>
      <c r="C145" s="37" t="s">
        <v>625</v>
      </c>
      <c r="D145" s="40"/>
      <c r="E145" s="39"/>
      <c r="F145" s="37"/>
      <c r="G145" s="41" t="str">
        <f t="shared" si="42"/>
        <v/>
      </c>
      <c r="H145" s="615">
        <f t="shared" si="43"/>
        <v>0</v>
      </c>
      <c r="I145" s="615">
        <f t="shared" si="44"/>
        <v>0</v>
      </c>
      <c r="J145" s="12">
        <f t="shared" si="45"/>
        <v>0</v>
      </c>
      <c r="K145" s="12">
        <f t="shared" si="46"/>
        <v>0</v>
      </c>
      <c r="L145" s="12">
        <f t="shared" si="47"/>
        <v>0</v>
      </c>
      <c r="M145" s="12">
        <f t="shared" si="48"/>
        <v>0</v>
      </c>
      <c r="N145" s="26">
        <f t="shared" si="49"/>
        <v>0</v>
      </c>
      <c r="O145" s="26">
        <f t="shared" si="50"/>
        <v>0</v>
      </c>
      <c r="P145" s="26">
        <f t="shared" si="51"/>
        <v>0</v>
      </c>
      <c r="Q145" s="612">
        <f t="shared" si="52"/>
        <v>0</v>
      </c>
      <c r="R145" s="26">
        <f t="shared" si="53"/>
        <v>0</v>
      </c>
      <c r="S145" s="26">
        <f t="shared" si="54"/>
        <v>0</v>
      </c>
      <c r="T145" s="26">
        <f t="shared" si="55"/>
        <v>0</v>
      </c>
      <c r="U145" s="26">
        <f t="shared" si="56"/>
        <v>0</v>
      </c>
      <c r="V145" s="26">
        <f t="shared" si="57"/>
        <v>0</v>
      </c>
      <c r="W145" s="20">
        <f t="shared" si="58"/>
        <v>0</v>
      </c>
      <c r="X145" s="20">
        <f t="shared" si="59"/>
        <v>0</v>
      </c>
      <c r="Y145" s="86">
        <f t="shared" si="60"/>
        <v>0</v>
      </c>
      <c r="Z145" s="619"/>
    </row>
    <row r="146" spans="2:26">
      <c r="B146" s="14">
        <f t="shared" si="61"/>
        <v>143</v>
      </c>
      <c r="C146" s="37" t="s">
        <v>625</v>
      </c>
      <c r="D146" s="40"/>
      <c r="E146" s="39"/>
      <c r="F146" s="37"/>
      <c r="G146" s="41" t="str">
        <f t="shared" si="42"/>
        <v/>
      </c>
      <c r="H146" s="615">
        <f t="shared" si="43"/>
        <v>0</v>
      </c>
      <c r="I146" s="615">
        <f t="shared" si="44"/>
        <v>0</v>
      </c>
      <c r="J146" s="12">
        <f t="shared" si="45"/>
        <v>0</v>
      </c>
      <c r="K146" s="12">
        <f t="shared" si="46"/>
        <v>0</v>
      </c>
      <c r="L146" s="12">
        <f t="shared" si="47"/>
        <v>0</v>
      </c>
      <c r="M146" s="12">
        <f t="shared" si="48"/>
        <v>0</v>
      </c>
      <c r="N146" s="26">
        <f t="shared" si="49"/>
        <v>0</v>
      </c>
      <c r="O146" s="26">
        <f t="shared" si="50"/>
        <v>0</v>
      </c>
      <c r="P146" s="26">
        <f t="shared" si="51"/>
        <v>0</v>
      </c>
      <c r="Q146" s="612">
        <f t="shared" si="52"/>
        <v>0</v>
      </c>
      <c r="R146" s="26">
        <f t="shared" si="53"/>
        <v>0</v>
      </c>
      <c r="S146" s="26">
        <f t="shared" si="54"/>
        <v>0</v>
      </c>
      <c r="T146" s="26">
        <f t="shared" si="55"/>
        <v>0</v>
      </c>
      <c r="U146" s="26">
        <f t="shared" si="56"/>
        <v>0</v>
      </c>
      <c r="V146" s="26">
        <f t="shared" si="57"/>
        <v>0</v>
      </c>
      <c r="W146" s="20">
        <f t="shared" si="58"/>
        <v>0</v>
      </c>
      <c r="X146" s="20">
        <f t="shared" si="59"/>
        <v>0</v>
      </c>
      <c r="Y146" s="86">
        <f t="shared" si="60"/>
        <v>0</v>
      </c>
      <c r="Z146" s="619"/>
    </row>
    <row r="147" spans="2:26">
      <c r="B147" s="14">
        <f t="shared" si="61"/>
        <v>144</v>
      </c>
      <c r="C147" s="37" t="s">
        <v>625</v>
      </c>
      <c r="D147" s="40"/>
      <c r="E147" s="39"/>
      <c r="F147" s="37"/>
      <c r="G147" s="41" t="str">
        <f t="shared" si="42"/>
        <v/>
      </c>
      <c r="H147" s="615">
        <f t="shared" si="43"/>
        <v>0</v>
      </c>
      <c r="I147" s="615">
        <f t="shared" si="44"/>
        <v>0</v>
      </c>
      <c r="J147" s="12">
        <f t="shared" si="45"/>
        <v>0</v>
      </c>
      <c r="K147" s="12">
        <f t="shared" si="46"/>
        <v>0</v>
      </c>
      <c r="L147" s="12">
        <f t="shared" si="47"/>
        <v>0</v>
      </c>
      <c r="M147" s="12">
        <f t="shared" si="48"/>
        <v>0</v>
      </c>
      <c r="N147" s="26">
        <f t="shared" si="49"/>
        <v>0</v>
      </c>
      <c r="O147" s="26">
        <f t="shared" si="50"/>
        <v>0</v>
      </c>
      <c r="P147" s="26">
        <f t="shared" si="51"/>
        <v>0</v>
      </c>
      <c r="Q147" s="612">
        <f t="shared" si="52"/>
        <v>0</v>
      </c>
      <c r="R147" s="26">
        <f t="shared" si="53"/>
        <v>0</v>
      </c>
      <c r="S147" s="26">
        <f t="shared" si="54"/>
        <v>0</v>
      </c>
      <c r="T147" s="26">
        <f t="shared" si="55"/>
        <v>0</v>
      </c>
      <c r="U147" s="26">
        <f t="shared" si="56"/>
        <v>0</v>
      </c>
      <c r="V147" s="26">
        <f t="shared" si="57"/>
        <v>0</v>
      </c>
      <c r="W147" s="20">
        <f t="shared" si="58"/>
        <v>0</v>
      </c>
      <c r="X147" s="20">
        <f t="shared" si="59"/>
        <v>0</v>
      </c>
      <c r="Y147" s="86">
        <f t="shared" si="60"/>
        <v>0</v>
      </c>
      <c r="Z147" s="619"/>
    </row>
    <row r="148" spans="2:26">
      <c r="B148" s="14">
        <f t="shared" si="61"/>
        <v>145</v>
      </c>
      <c r="C148" s="37" t="s">
        <v>625</v>
      </c>
      <c r="D148" s="40"/>
      <c r="E148" s="39"/>
      <c r="F148" s="37"/>
      <c r="G148" s="41" t="str">
        <f t="shared" si="42"/>
        <v/>
      </c>
      <c r="H148" s="615">
        <f t="shared" si="43"/>
        <v>0</v>
      </c>
      <c r="I148" s="615">
        <f t="shared" si="44"/>
        <v>0</v>
      </c>
      <c r="J148" s="12">
        <f t="shared" si="45"/>
        <v>0</v>
      </c>
      <c r="K148" s="12">
        <f t="shared" si="46"/>
        <v>0</v>
      </c>
      <c r="L148" s="12">
        <f t="shared" si="47"/>
        <v>0</v>
      </c>
      <c r="M148" s="12">
        <f t="shared" si="48"/>
        <v>0</v>
      </c>
      <c r="N148" s="26">
        <f t="shared" si="49"/>
        <v>0</v>
      </c>
      <c r="O148" s="26">
        <f t="shared" si="50"/>
        <v>0</v>
      </c>
      <c r="P148" s="26">
        <f t="shared" si="51"/>
        <v>0</v>
      </c>
      <c r="Q148" s="612">
        <f t="shared" si="52"/>
        <v>0</v>
      </c>
      <c r="R148" s="26">
        <f t="shared" si="53"/>
        <v>0</v>
      </c>
      <c r="S148" s="26">
        <f t="shared" si="54"/>
        <v>0</v>
      </c>
      <c r="T148" s="26">
        <f t="shared" si="55"/>
        <v>0</v>
      </c>
      <c r="U148" s="26">
        <f t="shared" si="56"/>
        <v>0</v>
      </c>
      <c r="V148" s="26">
        <f t="shared" si="57"/>
        <v>0</v>
      </c>
      <c r="W148" s="20">
        <f t="shared" si="58"/>
        <v>0</v>
      </c>
      <c r="X148" s="20">
        <f t="shared" si="59"/>
        <v>0</v>
      </c>
      <c r="Y148" s="86">
        <f t="shared" si="60"/>
        <v>0</v>
      </c>
      <c r="Z148" s="619"/>
    </row>
    <row r="149" spans="2:26">
      <c r="B149" s="14">
        <f t="shared" si="61"/>
        <v>146</v>
      </c>
      <c r="C149" s="37" t="s">
        <v>625</v>
      </c>
      <c r="D149" s="40"/>
      <c r="E149" s="39"/>
      <c r="F149" s="37"/>
      <c r="G149" s="41" t="str">
        <f t="shared" si="42"/>
        <v/>
      </c>
      <c r="H149" s="615">
        <f t="shared" si="43"/>
        <v>0</v>
      </c>
      <c r="I149" s="615">
        <f t="shared" si="44"/>
        <v>0</v>
      </c>
      <c r="J149" s="12">
        <f t="shared" si="45"/>
        <v>0</v>
      </c>
      <c r="K149" s="12">
        <f t="shared" si="46"/>
        <v>0</v>
      </c>
      <c r="L149" s="12">
        <f t="shared" si="47"/>
        <v>0</v>
      </c>
      <c r="M149" s="12">
        <f t="shared" si="48"/>
        <v>0</v>
      </c>
      <c r="N149" s="26">
        <f t="shared" si="49"/>
        <v>0</v>
      </c>
      <c r="O149" s="26">
        <f t="shared" si="50"/>
        <v>0</v>
      </c>
      <c r="P149" s="26">
        <f t="shared" si="51"/>
        <v>0</v>
      </c>
      <c r="Q149" s="612">
        <f t="shared" si="52"/>
        <v>0</v>
      </c>
      <c r="R149" s="26">
        <f t="shared" si="53"/>
        <v>0</v>
      </c>
      <c r="S149" s="26">
        <f t="shared" si="54"/>
        <v>0</v>
      </c>
      <c r="T149" s="26">
        <f t="shared" si="55"/>
        <v>0</v>
      </c>
      <c r="U149" s="26">
        <f t="shared" si="56"/>
        <v>0</v>
      </c>
      <c r="V149" s="26">
        <f t="shared" si="57"/>
        <v>0</v>
      </c>
      <c r="W149" s="20">
        <f t="shared" si="58"/>
        <v>0</v>
      </c>
      <c r="X149" s="20">
        <f t="shared" si="59"/>
        <v>0</v>
      </c>
      <c r="Y149" s="86">
        <f t="shared" si="60"/>
        <v>0</v>
      </c>
      <c r="Z149" s="619"/>
    </row>
    <row r="150" spans="2:26">
      <c r="B150" s="14">
        <f t="shared" si="61"/>
        <v>147</v>
      </c>
      <c r="C150" s="37" t="s">
        <v>625</v>
      </c>
      <c r="D150" s="40"/>
      <c r="E150" s="39"/>
      <c r="F150" s="37"/>
      <c r="G150" s="41" t="str">
        <f t="shared" si="42"/>
        <v/>
      </c>
      <c r="H150" s="615">
        <f t="shared" si="43"/>
        <v>0</v>
      </c>
      <c r="I150" s="615">
        <f t="shared" si="44"/>
        <v>0</v>
      </c>
      <c r="J150" s="12">
        <f t="shared" si="45"/>
        <v>0</v>
      </c>
      <c r="K150" s="12">
        <f t="shared" si="46"/>
        <v>0</v>
      </c>
      <c r="L150" s="12">
        <f t="shared" si="47"/>
        <v>0</v>
      </c>
      <c r="M150" s="12">
        <f t="shared" si="48"/>
        <v>0</v>
      </c>
      <c r="N150" s="26">
        <f t="shared" si="49"/>
        <v>0</v>
      </c>
      <c r="O150" s="26">
        <f t="shared" si="50"/>
        <v>0</v>
      </c>
      <c r="P150" s="26">
        <f t="shared" si="51"/>
        <v>0</v>
      </c>
      <c r="Q150" s="612">
        <f t="shared" si="52"/>
        <v>0</v>
      </c>
      <c r="R150" s="26">
        <f t="shared" si="53"/>
        <v>0</v>
      </c>
      <c r="S150" s="26">
        <f t="shared" si="54"/>
        <v>0</v>
      </c>
      <c r="T150" s="26">
        <f t="shared" si="55"/>
        <v>0</v>
      </c>
      <c r="U150" s="26">
        <f t="shared" si="56"/>
        <v>0</v>
      </c>
      <c r="V150" s="26">
        <f t="shared" si="57"/>
        <v>0</v>
      </c>
      <c r="W150" s="20">
        <f t="shared" si="58"/>
        <v>0</v>
      </c>
      <c r="X150" s="20">
        <f t="shared" si="59"/>
        <v>0</v>
      </c>
      <c r="Y150" s="86">
        <f t="shared" si="60"/>
        <v>0</v>
      </c>
      <c r="Z150" s="619"/>
    </row>
    <row r="151" spans="2:26">
      <c r="B151" s="14">
        <f t="shared" si="61"/>
        <v>148</v>
      </c>
      <c r="C151" s="37" t="s">
        <v>625</v>
      </c>
      <c r="D151" s="40"/>
      <c r="E151" s="39"/>
      <c r="F151" s="37"/>
      <c r="G151" s="41" t="str">
        <f t="shared" si="42"/>
        <v/>
      </c>
      <c r="H151" s="615">
        <f t="shared" si="43"/>
        <v>0</v>
      </c>
      <c r="I151" s="615">
        <f t="shared" si="44"/>
        <v>0</v>
      </c>
      <c r="J151" s="12">
        <f t="shared" si="45"/>
        <v>0</v>
      </c>
      <c r="K151" s="12">
        <f t="shared" si="46"/>
        <v>0</v>
      </c>
      <c r="L151" s="12">
        <f t="shared" si="47"/>
        <v>0</v>
      </c>
      <c r="M151" s="12">
        <f t="shared" si="48"/>
        <v>0</v>
      </c>
      <c r="N151" s="26">
        <f t="shared" si="49"/>
        <v>0</v>
      </c>
      <c r="O151" s="26">
        <f t="shared" si="50"/>
        <v>0</v>
      </c>
      <c r="P151" s="26">
        <f t="shared" si="51"/>
        <v>0</v>
      </c>
      <c r="Q151" s="612">
        <f t="shared" si="52"/>
        <v>0</v>
      </c>
      <c r="R151" s="26">
        <f t="shared" si="53"/>
        <v>0</v>
      </c>
      <c r="S151" s="26">
        <f t="shared" si="54"/>
        <v>0</v>
      </c>
      <c r="T151" s="26">
        <f t="shared" si="55"/>
        <v>0</v>
      </c>
      <c r="U151" s="26">
        <f t="shared" si="56"/>
        <v>0</v>
      </c>
      <c r="V151" s="26">
        <f t="shared" si="57"/>
        <v>0</v>
      </c>
      <c r="W151" s="20">
        <f t="shared" si="58"/>
        <v>0</v>
      </c>
      <c r="X151" s="20">
        <f t="shared" si="59"/>
        <v>0</v>
      </c>
      <c r="Y151" s="86">
        <f t="shared" si="60"/>
        <v>0</v>
      </c>
      <c r="Z151" s="619"/>
    </row>
    <row r="152" spans="2:26">
      <c r="B152" s="14">
        <f t="shared" si="61"/>
        <v>149</v>
      </c>
      <c r="C152" s="37" t="s">
        <v>625</v>
      </c>
      <c r="D152" s="40"/>
      <c r="E152" s="39"/>
      <c r="F152" s="37"/>
      <c r="G152" s="41" t="str">
        <f t="shared" si="42"/>
        <v/>
      </c>
      <c r="H152" s="615">
        <f t="shared" si="43"/>
        <v>0</v>
      </c>
      <c r="I152" s="615">
        <f t="shared" si="44"/>
        <v>0</v>
      </c>
      <c r="J152" s="12">
        <f t="shared" si="45"/>
        <v>0</v>
      </c>
      <c r="K152" s="12">
        <f t="shared" si="46"/>
        <v>0</v>
      </c>
      <c r="L152" s="12">
        <f t="shared" si="47"/>
        <v>0</v>
      </c>
      <c r="M152" s="12">
        <f t="shared" si="48"/>
        <v>0</v>
      </c>
      <c r="N152" s="26">
        <f t="shared" si="49"/>
        <v>0</v>
      </c>
      <c r="O152" s="26">
        <f t="shared" si="50"/>
        <v>0</v>
      </c>
      <c r="P152" s="26">
        <f t="shared" si="51"/>
        <v>0</v>
      </c>
      <c r="Q152" s="612">
        <f t="shared" si="52"/>
        <v>0</v>
      </c>
      <c r="R152" s="26">
        <f t="shared" si="53"/>
        <v>0</v>
      </c>
      <c r="S152" s="26">
        <f t="shared" si="54"/>
        <v>0</v>
      </c>
      <c r="T152" s="26">
        <f t="shared" si="55"/>
        <v>0</v>
      </c>
      <c r="U152" s="26">
        <f t="shared" si="56"/>
        <v>0</v>
      </c>
      <c r="V152" s="26">
        <f t="shared" si="57"/>
        <v>0</v>
      </c>
      <c r="W152" s="20">
        <f t="shared" si="58"/>
        <v>0</v>
      </c>
      <c r="X152" s="20">
        <f t="shared" si="59"/>
        <v>0</v>
      </c>
      <c r="Y152" s="86">
        <f t="shared" si="60"/>
        <v>0</v>
      </c>
      <c r="Z152" s="619"/>
    </row>
    <row r="153" spans="2:26">
      <c r="B153" s="14">
        <f t="shared" si="61"/>
        <v>150</v>
      </c>
      <c r="C153" s="37" t="s">
        <v>625</v>
      </c>
      <c r="D153" s="40"/>
      <c r="E153" s="39"/>
      <c r="F153" s="37"/>
      <c r="G153" s="41" t="str">
        <f t="shared" si="42"/>
        <v/>
      </c>
      <c r="H153" s="615">
        <f t="shared" si="43"/>
        <v>0</v>
      </c>
      <c r="I153" s="615">
        <f t="shared" si="44"/>
        <v>0</v>
      </c>
      <c r="J153" s="12">
        <f t="shared" si="45"/>
        <v>0</v>
      </c>
      <c r="K153" s="12">
        <f t="shared" si="46"/>
        <v>0</v>
      </c>
      <c r="L153" s="12">
        <f t="shared" si="47"/>
        <v>0</v>
      </c>
      <c r="M153" s="12">
        <f t="shared" si="48"/>
        <v>0</v>
      </c>
      <c r="N153" s="26">
        <f t="shared" si="49"/>
        <v>0</v>
      </c>
      <c r="O153" s="26">
        <f t="shared" si="50"/>
        <v>0</v>
      </c>
      <c r="P153" s="26">
        <f t="shared" si="51"/>
        <v>0</v>
      </c>
      <c r="Q153" s="612">
        <f t="shared" si="52"/>
        <v>0</v>
      </c>
      <c r="R153" s="26">
        <f t="shared" si="53"/>
        <v>0</v>
      </c>
      <c r="S153" s="26">
        <f t="shared" si="54"/>
        <v>0</v>
      </c>
      <c r="T153" s="26">
        <f t="shared" si="55"/>
        <v>0</v>
      </c>
      <c r="U153" s="26">
        <f t="shared" si="56"/>
        <v>0</v>
      </c>
      <c r="V153" s="26">
        <f t="shared" si="57"/>
        <v>0</v>
      </c>
      <c r="W153" s="20">
        <f t="shared" si="58"/>
        <v>0</v>
      </c>
      <c r="X153" s="20">
        <f t="shared" si="59"/>
        <v>0</v>
      </c>
      <c r="Y153" s="86">
        <f t="shared" si="60"/>
        <v>0</v>
      </c>
      <c r="Z153" s="619"/>
    </row>
    <row r="154" spans="2:26">
      <c r="B154" s="14">
        <f t="shared" si="61"/>
        <v>151</v>
      </c>
      <c r="C154" s="37" t="s">
        <v>625</v>
      </c>
      <c r="D154" s="40"/>
      <c r="E154" s="39"/>
      <c r="F154" s="37"/>
      <c r="G154" s="41" t="str">
        <f t="shared" si="42"/>
        <v/>
      </c>
      <c r="H154" s="615">
        <f t="shared" si="43"/>
        <v>0</v>
      </c>
      <c r="I154" s="615">
        <f t="shared" si="44"/>
        <v>0</v>
      </c>
      <c r="J154" s="12">
        <f t="shared" si="45"/>
        <v>0</v>
      </c>
      <c r="K154" s="12">
        <f t="shared" si="46"/>
        <v>0</v>
      </c>
      <c r="L154" s="12">
        <f t="shared" si="47"/>
        <v>0</v>
      </c>
      <c r="M154" s="12">
        <f t="shared" si="48"/>
        <v>0</v>
      </c>
      <c r="N154" s="26">
        <f t="shared" si="49"/>
        <v>0</v>
      </c>
      <c r="O154" s="26">
        <f t="shared" si="50"/>
        <v>0</v>
      </c>
      <c r="P154" s="26">
        <f t="shared" si="51"/>
        <v>0</v>
      </c>
      <c r="Q154" s="612">
        <f t="shared" si="52"/>
        <v>0</v>
      </c>
      <c r="R154" s="26">
        <f t="shared" si="53"/>
        <v>0</v>
      </c>
      <c r="S154" s="26">
        <f t="shared" si="54"/>
        <v>0</v>
      </c>
      <c r="T154" s="26">
        <f t="shared" si="55"/>
        <v>0</v>
      </c>
      <c r="U154" s="26">
        <f t="shared" si="56"/>
        <v>0</v>
      </c>
      <c r="V154" s="26">
        <f t="shared" si="57"/>
        <v>0</v>
      </c>
      <c r="W154" s="20">
        <f t="shared" si="58"/>
        <v>0</v>
      </c>
      <c r="X154" s="20">
        <f t="shared" si="59"/>
        <v>0</v>
      </c>
      <c r="Y154" s="86">
        <f t="shared" si="60"/>
        <v>0</v>
      </c>
      <c r="Z154" s="619"/>
    </row>
    <row r="155" spans="2:26">
      <c r="B155" s="14">
        <f t="shared" si="61"/>
        <v>152</v>
      </c>
      <c r="C155" s="37" t="s">
        <v>625</v>
      </c>
      <c r="D155" s="40"/>
      <c r="E155" s="39"/>
      <c r="F155" s="37"/>
      <c r="G155" s="41" t="str">
        <f t="shared" si="42"/>
        <v/>
      </c>
      <c r="H155" s="615">
        <f t="shared" si="43"/>
        <v>0</v>
      </c>
      <c r="I155" s="615">
        <f t="shared" si="44"/>
        <v>0</v>
      </c>
      <c r="J155" s="12">
        <f t="shared" si="45"/>
        <v>0</v>
      </c>
      <c r="K155" s="12">
        <f t="shared" si="46"/>
        <v>0</v>
      </c>
      <c r="L155" s="12">
        <f t="shared" si="47"/>
        <v>0</v>
      </c>
      <c r="M155" s="12">
        <f t="shared" si="48"/>
        <v>0</v>
      </c>
      <c r="N155" s="26">
        <f t="shared" si="49"/>
        <v>0</v>
      </c>
      <c r="O155" s="26">
        <f t="shared" si="50"/>
        <v>0</v>
      </c>
      <c r="P155" s="26">
        <f t="shared" si="51"/>
        <v>0</v>
      </c>
      <c r="Q155" s="612">
        <f t="shared" si="52"/>
        <v>0</v>
      </c>
      <c r="R155" s="26">
        <f t="shared" si="53"/>
        <v>0</v>
      </c>
      <c r="S155" s="26">
        <f t="shared" si="54"/>
        <v>0</v>
      </c>
      <c r="T155" s="26">
        <f t="shared" si="55"/>
        <v>0</v>
      </c>
      <c r="U155" s="26">
        <f t="shared" si="56"/>
        <v>0</v>
      </c>
      <c r="V155" s="26">
        <f t="shared" si="57"/>
        <v>0</v>
      </c>
      <c r="W155" s="20">
        <f t="shared" si="58"/>
        <v>0</v>
      </c>
      <c r="X155" s="20">
        <f t="shared" si="59"/>
        <v>0</v>
      </c>
      <c r="Y155" s="86">
        <f t="shared" si="60"/>
        <v>0</v>
      </c>
      <c r="Z155" s="619"/>
    </row>
    <row r="156" spans="2:26">
      <c r="B156" s="14">
        <f t="shared" si="61"/>
        <v>153</v>
      </c>
      <c r="C156" s="37" t="s">
        <v>625</v>
      </c>
      <c r="D156" s="40"/>
      <c r="E156" s="39"/>
      <c r="F156" s="37"/>
      <c r="G156" s="41" t="str">
        <f t="shared" ref="G156:G187" si="62">IF(D156="","",+$G$2*D156)</f>
        <v/>
      </c>
      <c r="H156" s="615">
        <f t="shared" si="43"/>
        <v>0</v>
      </c>
      <c r="I156" s="615">
        <f t="shared" si="44"/>
        <v>0</v>
      </c>
      <c r="J156" s="12">
        <f t="shared" si="45"/>
        <v>0</v>
      </c>
      <c r="K156" s="12">
        <f t="shared" si="46"/>
        <v>0</v>
      </c>
      <c r="L156" s="12">
        <f t="shared" si="47"/>
        <v>0</v>
      </c>
      <c r="M156" s="12">
        <f t="shared" si="48"/>
        <v>0</v>
      </c>
      <c r="N156" s="26">
        <f t="shared" si="49"/>
        <v>0</v>
      </c>
      <c r="O156" s="26">
        <f t="shared" si="50"/>
        <v>0</v>
      </c>
      <c r="P156" s="26">
        <f t="shared" si="51"/>
        <v>0</v>
      </c>
      <c r="Q156" s="612">
        <f t="shared" si="52"/>
        <v>0</v>
      </c>
      <c r="R156" s="26">
        <f t="shared" si="53"/>
        <v>0</v>
      </c>
      <c r="S156" s="26">
        <f t="shared" si="54"/>
        <v>0</v>
      </c>
      <c r="T156" s="26">
        <f t="shared" si="55"/>
        <v>0</v>
      </c>
      <c r="U156" s="26">
        <f t="shared" si="56"/>
        <v>0</v>
      </c>
      <c r="V156" s="26">
        <f t="shared" si="57"/>
        <v>0</v>
      </c>
      <c r="W156" s="20">
        <f t="shared" si="58"/>
        <v>0</v>
      </c>
      <c r="X156" s="20">
        <f t="shared" si="59"/>
        <v>0</v>
      </c>
      <c r="Y156" s="86">
        <f t="shared" si="60"/>
        <v>0</v>
      </c>
      <c r="Z156" s="619"/>
    </row>
    <row r="157" spans="2:26">
      <c r="B157" s="14">
        <f t="shared" si="61"/>
        <v>154</v>
      </c>
      <c r="C157" s="37" t="s">
        <v>625</v>
      </c>
      <c r="D157" s="40"/>
      <c r="E157" s="39"/>
      <c r="F157" s="37"/>
      <c r="G157" s="41" t="str">
        <f t="shared" si="62"/>
        <v/>
      </c>
      <c r="H157" s="615">
        <f t="shared" si="43"/>
        <v>0</v>
      </c>
      <c r="I157" s="615">
        <f t="shared" si="44"/>
        <v>0</v>
      </c>
      <c r="J157" s="12">
        <f t="shared" si="45"/>
        <v>0</v>
      </c>
      <c r="K157" s="12">
        <f t="shared" si="46"/>
        <v>0</v>
      </c>
      <c r="L157" s="12">
        <f t="shared" si="47"/>
        <v>0</v>
      </c>
      <c r="M157" s="12">
        <f t="shared" si="48"/>
        <v>0</v>
      </c>
      <c r="N157" s="26">
        <f t="shared" si="49"/>
        <v>0</v>
      </c>
      <c r="O157" s="26">
        <f t="shared" si="50"/>
        <v>0</v>
      </c>
      <c r="P157" s="26">
        <f t="shared" si="51"/>
        <v>0</v>
      </c>
      <c r="Q157" s="612">
        <f t="shared" si="52"/>
        <v>0</v>
      </c>
      <c r="R157" s="26">
        <f t="shared" si="53"/>
        <v>0</v>
      </c>
      <c r="S157" s="26">
        <f t="shared" si="54"/>
        <v>0</v>
      </c>
      <c r="T157" s="26">
        <f t="shared" si="55"/>
        <v>0</v>
      </c>
      <c r="U157" s="26">
        <f t="shared" si="56"/>
        <v>0</v>
      </c>
      <c r="V157" s="26">
        <f t="shared" si="57"/>
        <v>0</v>
      </c>
      <c r="W157" s="20">
        <f t="shared" si="58"/>
        <v>0</v>
      </c>
      <c r="X157" s="20">
        <f t="shared" si="59"/>
        <v>0</v>
      </c>
      <c r="Y157" s="86">
        <f t="shared" si="60"/>
        <v>0</v>
      </c>
      <c r="Z157" s="619"/>
    </row>
    <row r="158" spans="2:26">
      <c r="B158" s="14">
        <f t="shared" si="61"/>
        <v>155</v>
      </c>
      <c r="C158" s="37" t="s">
        <v>625</v>
      </c>
      <c r="D158" s="40"/>
      <c r="E158" s="39"/>
      <c r="F158" s="37"/>
      <c r="G158" s="41" t="str">
        <f t="shared" si="62"/>
        <v/>
      </c>
      <c r="H158" s="615">
        <f t="shared" si="43"/>
        <v>0</v>
      </c>
      <c r="I158" s="615">
        <f t="shared" si="44"/>
        <v>0</v>
      </c>
      <c r="J158" s="12">
        <f t="shared" si="45"/>
        <v>0</v>
      </c>
      <c r="K158" s="12">
        <f t="shared" si="46"/>
        <v>0</v>
      </c>
      <c r="L158" s="12">
        <f t="shared" si="47"/>
        <v>0</v>
      </c>
      <c r="M158" s="12">
        <f t="shared" si="48"/>
        <v>0</v>
      </c>
      <c r="N158" s="26">
        <f t="shared" si="49"/>
        <v>0</v>
      </c>
      <c r="O158" s="26">
        <f t="shared" si="50"/>
        <v>0</v>
      </c>
      <c r="P158" s="26">
        <f t="shared" si="51"/>
        <v>0</v>
      </c>
      <c r="Q158" s="612">
        <f t="shared" si="52"/>
        <v>0</v>
      </c>
      <c r="R158" s="26">
        <f t="shared" si="53"/>
        <v>0</v>
      </c>
      <c r="S158" s="26">
        <f t="shared" si="54"/>
        <v>0</v>
      </c>
      <c r="T158" s="26">
        <f t="shared" si="55"/>
        <v>0</v>
      </c>
      <c r="U158" s="26">
        <f t="shared" si="56"/>
        <v>0</v>
      </c>
      <c r="V158" s="26">
        <f t="shared" si="57"/>
        <v>0</v>
      </c>
      <c r="W158" s="20">
        <f t="shared" si="58"/>
        <v>0</v>
      </c>
      <c r="X158" s="20">
        <f t="shared" si="59"/>
        <v>0</v>
      </c>
      <c r="Y158" s="86">
        <f t="shared" si="60"/>
        <v>0</v>
      </c>
      <c r="Z158" s="619"/>
    </row>
    <row r="159" spans="2:26">
      <c r="B159" s="14">
        <f t="shared" si="61"/>
        <v>156</v>
      </c>
      <c r="C159" s="37" t="s">
        <v>625</v>
      </c>
      <c r="D159" s="40"/>
      <c r="E159" s="39"/>
      <c r="F159" s="37"/>
      <c r="G159" s="41" t="str">
        <f t="shared" si="62"/>
        <v/>
      </c>
      <c r="H159" s="615">
        <f t="shared" si="43"/>
        <v>0</v>
      </c>
      <c r="I159" s="615">
        <f t="shared" si="44"/>
        <v>0</v>
      </c>
      <c r="J159" s="12">
        <f t="shared" si="45"/>
        <v>0</v>
      </c>
      <c r="K159" s="12">
        <f t="shared" si="46"/>
        <v>0</v>
      </c>
      <c r="L159" s="12">
        <f t="shared" si="47"/>
        <v>0</v>
      </c>
      <c r="M159" s="12">
        <f t="shared" si="48"/>
        <v>0</v>
      </c>
      <c r="N159" s="26">
        <f t="shared" si="49"/>
        <v>0</v>
      </c>
      <c r="O159" s="26">
        <f t="shared" si="50"/>
        <v>0</v>
      </c>
      <c r="P159" s="26">
        <f t="shared" si="51"/>
        <v>0</v>
      </c>
      <c r="Q159" s="612">
        <f t="shared" si="52"/>
        <v>0</v>
      </c>
      <c r="R159" s="26">
        <f t="shared" si="53"/>
        <v>0</v>
      </c>
      <c r="S159" s="26">
        <f t="shared" si="54"/>
        <v>0</v>
      </c>
      <c r="T159" s="26">
        <f t="shared" si="55"/>
        <v>0</v>
      </c>
      <c r="U159" s="26">
        <f t="shared" si="56"/>
        <v>0</v>
      </c>
      <c r="V159" s="26">
        <f t="shared" si="57"/>
        <v>0</v>
      </c>
      <c r="W159" s="20">
        <f t="shared" si="58"/>
        <v>0</v>
      </c>
      <c r="X159" s="20">
        <f t="shared" si="59"/>
        <v>0</v>
      </c>
      <c r="Y159" s="86">
        <f t="shared" si="60"/>
        <v>0</v>
      </c>
      <c r="Z159" s="619"/>
    </row>
    <row r="160" spans="2:26">
      <c r="B160" s="14">
        <f t="shared" si="61"/>
        <v>157</v>
      </c>
      <c r="C160" s="37" t="s">
        <v>625</v>
      </c>
      <c r="D160" s="40"/>
      <c r="E160" s="39"/>
      <c r="F160" s="37"/>
      <c r="G160" s="41" t="str">
        <f t="shared" si="62"/>
        <v/>
      </c>
      <c r="H160" s="615">
        <f t="shared" si="43"/>
        <v>0</v>
      </c>
      <c r="I160" s="615">
        <f t="shared" si="44"/>
        <v>0</v>
      </c>
      <c r="J160" s="12">
        <f t="shared" si="45"/>
        <v>0</v>
      </c>
      <c r="K160" s="12">
        <f t="shared" si="46"/>
        <v>0</v>
      </c>
      <c r="L160" s="12">
        <f t="shared" si="47"/>
        <v>0</v>
      </c>
      <c r="M160" s="12">
        <f t="shared" si="48"/>
        <v>0</v>
      </c>
      <c r="N160" s="26">
        <f t="shared" si="49"/>
        <v>0</v>
      </c>
      <c r="O160" s="26">
        <f t="shared" si="50"/>
        <v>0</v>
      </c>
      <c r="P160" s="26">
        <f t="shared" si="51"/>
        <v>0</v>
      </c>
      <c r="Q160" s="612">
        <f t="shared" si="52"/>
        <v>0</v>
      </c>
      <c r="R160" s="26">
        <f t="shared" si="53"/>
        <v>0</v>
      </c>
      <c r="S160" s="26">
        <f t="shared" si="54"/>
        <v>0</v>
      </c>
      <c r="T160" s="26">
        <f t="shared" si="55"/>
        <v>0</v>
      </c>
      <c r="U160" s="26">
        <f t="shared" si="56"/>
        <v>0</v>
      </c>
      <c r="V160" s="26">
        <f t="shared" si="57"/>
        <v>0</v>
      </c>
      <c r="W160" s="20">
        <f t="shared" si="58"/>
        <v>0</v>
      </c>
      <c r="X160" s="20">
        <f t="shared" si="59"/>
        <v>0</v>
      </c>
      <c r="Y160" s="86">
        <f t="shared" si="60"/>
        <v>0</v>
      </c>
      <c r="Z160" s="619"/>
    </row>
    <row r="161" spans="2:26">
      <c r="B161" s="14">
        <f t="shared" si="61"/>
        <v>158</v>
      </c>
      <c r="C161" s="37" t="s">
        <v>625</v>
      </c>
      <c r="D161" s="40"/>
      <c r="E161" s="39"/>
      <c r="F161" s="37"/>
      <c r="G161" s="41" t="str">
        <f t="shared" si="62"/>
        <v/>
      </c>
      <c r="H161" s="615">
        <f t="shared" si="43"/>
        <v>0</v>
      </c>
      <c r="I161" s="615">
        <f t="shared" si="44"/>
        <v>0</v>
      </c>
      <c r="J161" s="12">
        <f t="shared" si="45"/>
        <v>0</v>
      </c>
      <c r="K161" s="12">
        <f t="shared" si="46"/>
        <v>0</v>
      </c>
      <c r="L161" s="12">
        <f t="shared" si="47"/>
        <v>0</v>
      </c>
      <c r="M161" s="12">
        <f t="shared" si="48"/>
        <v>0</v>
      </c>
      <c r="N161" s="26">
        <f t="shared" si="49"/>
        <v>0</v>
      </c>
      <c r="O161" s="26">
        <f t="shared" si="50"/>
        <v>0</v>
      </c>
      <c r="P161" s="26">
        <f t="shared" si="51"/>
        <v>0</v>
      </c>
      <c r="Q161" s="612">
        <f t="shared" si="52"/>
        <v>0</v>
      </c>
      <c r="R161" s="26">
        <f t="shared" si="53"/>
        <v>0</v>
      </c>
      <c r="S161" s="26">
        <f t="shared" si="54"/>
        <v>0</v>
      </c>
      <c r="T161" s="26">
        <f t="shared" si="55"/>
        <v>0</v>
      </c>
      <c r="U161" s="26">
        <f t="shared" si="56"/>
        <v>0</v>
      </c>
      <c r="V161" s="26">
        <f t="shared" si="57"/>
        <v>0</v>
      </c>
      <c r="W161" s="20">
        <f t="shared" si="58"/>
        <v>0</v>
      </c>
      <c r="X161" s="20">
        <f t="shared" si="59"/>
        <v>0</v>
      </c>
      <c r="Y161" s="86">
        <f t="shared" si="60"/>
        <v>0</v>
      </c>
      <c r="Z161" s="619"/>
    </row>
    <row r="162" spans="2:26">
      <c r="B162" s="14">
        <f t="shared" si="61"/>
        <v>159</v>
      </c>
      <c r="C162" s="37" t="s">
        <v>625</v>
      </c>
      <c r="D162" s="40"/>
      <c r="E162" s="39"/>
      <c r="F162" s="37"/>
      <c r="G162" s="41" t="str">
        <f t="shared" si="62"/>
        <v/>
      </c>
      <c r="H162" s="615">
        <f t="shared" si="43"/>
        <v>0</v>
      </c>
      <c r="I162" s="615">
        <f t="shared" si="44"/>
        <v>0</v>
      </c>
      <c r="J162" s="12">
        <f t="shared" si="45"/>
        <v>0</v>
      </c>
      <c r="K162" s="12">
        <f t="shared" si="46"/>
        <v>0</v>
      </c>
      <c r="L162" s="12">
        <f t="shared" si="47"/>
        <v>0</v>
      </c>
      <c r="M162" s="12">
        <f t="shared" si="48"/>
        <v>0</v>
      </c>
      <c r="N162" s="26">
        <f t="shared" si="49"/>
        <v>0</v>
      </c>
      <c r="O162" s="26">
        <f t="shared" si="50"/>
        <v>0</v>
      </c>
      <c r="P162" s="26">
        <f t="shared" si="51"/>
        <v>0</v>
      </c>
      <c r="Q162" s="612">
        <f t="shared" si="52"/>
        <v>0</v>
      </c>
      <c r="R162" s="26">
        <f t="shared" si="53"/>
        <v>0</v>
      </c>
      <c r="S162" s="26">
        <f t="shared" si="54"/>
        <v>0</v>
      </c>
      <c r="T162" s="26">
        <f t="shared" si="55"/>
        <v>0</v>
      </c>
      <c r="U162" s="26">
        <f t="shared" si="56"/>
        <v>0</v>
      </c>
      <c r="V162" s="26">
        <f t="shared" si="57"/>
        <v>0</v>
      </c>
      <c r="W162" s="20">
        <f t="shared" si="58"/>
        <v>0</v>
      </c>
      <c r="X162" s="20">
        <f t="shared" si="59"/>
        <v>0</v>
      </c>
      <c r="Y162" s="86">
        <f t="shared" si="60"/>
        <v>0</v>
      </c>
      <c r="Z162" s="619"/>
    </row>
    <row r="163" spans="2:26">
      <c r="B163" s="14">
        <f t="shared" si="61"/>
        <v>160</v>
      </c>
      <c r="C163" s="37" t="s">
        <v>625</v>
      </c>
      <c r="D163" s="40"/>
      <c r="E163" s="39"/>
      <c r="F163" s="37"/>
      <c r="G163" s="41" t="str">
        <f t="shared" si="62"/>
        <v/>
      </c>
      <c r="H163" s="615">
        <f t="shared" si="43"/>
        <v>0</v>
      </c>
      <c r="I163" s="615">
        <f t="shared" si="44"/>
        <v>0</v>
      </c>
      <c r="J163" s="12">
        <f t="shared" si="45"/>
        <v>0</v>
      </c>
      <c r="K163" s="12">
        <f t="shared" si="46"/>
        <v>0</v>
      </c>
      <c r="L163" s="12">
        <f t="shared" si="47"/>
        <v>0</v>
      </c>
      <c r="M163" s="12">
        <f t="shared" si="48"/>
        <v>0</v>
      </c>
      <c r="N163" s="26">
        <f t="shared" si="49"/>
        <v>0</v>
      </c>
      <c r="O163" s="26">
        <f t="shared" si="50"/>
        <v>0</v>
      </c>
      <c r="P163" s="26">
        <f t="shared" si="51"/>
        <v>0</v>
      </c>
      <c r="Q163" s="612">
        <f t="shared" si="52"/>
        <v>0</v>
      </c>
      <c r="R163" s="26">
        <f t="shared" si="53"/>
        <v>0</v>
      </c>
      <c r="S163" s="26">
        <f t="shared" si="54"/>
        <v>0</v>
      </c>
      <c r="T163" s="26">
        <f t="shared" si="55"/>
        <v>0</v>
      </c>
      <c r="U163" s="26">
        <f t="shared" si="56"/>
        <v>0</v>
      </c>
      <c r="V163" s="26">
        <f t="shared" si="57"/>
        <v>0</v>
      </c>
      <c r="W163" s="20">
        <f t="shared" si="58"/>
        <v>0</v>
      </c>
      <c r="X163" s="20">
        <f t="shared" si="59"/>
        <v>0</v>
      </c>
      <c r="Y163" s="86">
        <f t="shared" si="60"/>
        <v>0</v>
      </c>
      <c r="Z163" s="619"/>
    </row>
    <row r="164" spans="2:26">
      <c r="B164" s="14">
        <f t="shared" si="61"/>
        <v>161</v>
      </c>
      <c r="C164" s="37" t="s">
        <v>625</v>
      </c>
      <c r="D164" s="40"/>
      <c r="E164" s="39"/>
      <c r="F164" s="37"/>
      <c r="G164" s="41" t="str">
        <f t="shared" si="62"/>
        <v/>
      </c>
      <c r="H164" s="615">
        <f t="shared" si="43"/>
        <v>0</v>
      </c>
      <c r="I164" s="615">
        <f t="shared" si="44"/>
        <v>0</v>
      </c>
      <c r="J164" s="12">
        <f t="shared" si="45"/>
        <v>0</v>
      </c>
      <c r="K164" s="12">
        <f t="shared" si="46"/>
        <v>0</v>
      </c>
      <c r="L164" s="12">
        <f t="shared" si="47"/>
        <v>0</v>
      </c>
      <c r="M164" s="12">
        <f t="shared" si="48"/>
        <v>0</v>
      </c>
      <c r="N164" s="26">
        <f t="shared" si="49"/>
        <v>0</v>
      </c>
      <c r="O164" s="26">
        <f t="shared" si="50"/>
        <v>0</v>
      </c>
      <c r="P164" s="26">
        <f t="shared" si="51"/>
        <v>0</v>
      </c>
      <c r="Q164" s="612">
        <f t="shared" si="52"/>
        <v>0</v>
      </c>
      <c r="R164" s="26">
        <f t="shared" si="53"/>
        <v>0</v>
      </c>
      <c r="S164" s="26">
        <f t="shared" si="54"/>
        <v>0</v>
      </c>
      <c r="T164" s="26">
        <f t="shared" si="55"/>
        <v>0</v>
      </c>
      <c r="U164" s="26">
        <f t="shared" si="56"/>
        <v>0</v>
      </c>
      <c r="V164" s="26">
        <f t="shared" si="57"/>
        <v>0</v>
      </c>
      <c r="W164" s="20">
        <f t="shared" si="58"/>
        <v>0</v>
      </c>
      <c r="X164" s="20">
        <f t="shared" si="59"/>
        <v>0</v>
      </c>
      <c r="Y164" s="86">
        <f t="shared" si="60"/>
        <v>0</v>
      </c>
      <c r="Z164" s="619"/>
    </row>
    <row r="165" spans="2:26">
      <c r="B165" s="14">
        <f t="shared" si="61"/>
        <v>162</v>
      </c>
      <c r="C165" s="37" t="s">
        <v>625</v>
      </c>
      <c r="D165" s="40"/>
      <c r="E165" s="39"/>
      <c r="F165" s="37"/>
      <c r="G165" s="41" t="str">
        <f t="shared" si="62"/>
        <v/>
      </c>
      <c r="H165" s="615">
        <f t="shared" si="43"/>
        <v>0</v>
      </c>
      <c r="I165" s="615">
        <f t="shared" si="44"/>
        <v>0</v>
      </c>
      <c r="J165" s="12">
        <f t="shared" si="45"/>
        <v>0</v>
      </c>
      <c r="K165" s="12">
        <f t="shared" si="46"/>
        <v>0</v>
      </c>
      <c r="L165" s="12">
        <f t="shared" si="47"/>
        <v>0</v>
      </c>
      <c r="M165" s="12">
        <f t="shared" si="48"/>
        <v>0</v>
      </c>
      <c r="N165" s="26">
        <f t="shared" si="49"/>
        <v>0</v>
      </c>
      <c r="O165" s="26">
        <f t="shared" si="50"/>
        <v>0</v>
      </c>
      <c r="P165" s="26">
        <f t="shared" si="51"/>
        <v>0</v>
      </c>
      <c r="Q165" s="612">
        <f t="shared" si="52"/>
        <v>0</v>
      </c>
      <c r="R165" s="26">
        <f t="shared" si="53"/>
        <v>0</v>
      </c>
      <c r="S165" s="26">
        <f t="shared" si="54"/>
        <v>0</v>
      </c>
      <c r="T165" s="26">
        <f t="shared" si="55"/>
        <v>0</v>
      </c>
      <c r="U165" s="26">
        <f t="shared" si="56"/>
        <v>0</v>
      </c>
      <c r="V165" s="26">
        <f t="shared" si="57"/>
        <v>0</v>
      </c>
      <c r="W165" s="20">
        <f t="shared" si="58"/>
        <v>0</v>
      </c>
      <c r="X165" s="20">
        <f t="shared" si="59"/>
        <v>0</v>
      </c>
      <c r="Y165" s="86">
        <f t="shared" si="60"/>
        <v>0</v>
      </c>
      <c r="Z165" s="619"/>
    </row>
    <row r="166" spans="2:26">
      <c r="B166" s="14">
        <f t="shared" si="61"/>
        <v>163</v>
      </c>
      <c r="C166" s="37" t="s">
        <v>625</v>
      </c>
      <c r="D166" s="40"/>
      <c r="E166" s="39"/>
      <c r="F166" s="37"/>
      <c r="G166" s="41" t="str">
        <f t="shared" si="62"/>
        <v/>
      </c>
      <c r="H166" s="615">
        <f t="shared" si="43"/>
        <v>0</v>
      </c>
      <c r="I166" s="615">
        <f t="shared" si="44"/>
        <v>0</v>
      </c>
      <c r="J166" s="12">
        <f t="shared" si="45"/>
        <v>0</v>
      </c>
      <c r="K166" s="12">
        <f t="shared" si="46"/>
        <v>0</v>
      </c>
      <c r="L166" s="12">
        <f t="shared" si="47"/>
        <v>0</v>
      </c>
      <c r="M166" s="12">
        <f t="shared" si="48"/>
        <v>0</v>
      </c>
      <c r="N166" s="26">
        <f t="shared" si="49"/>
        <v>0</v>
      </c>
      <c r="O166" s="26">
        <f t="shared" si="50"/>
        <v>0</v>
      </c>
      <c r="P166" s="26">
        <f t="shared" si="51"/>
        <v>0</v>
      </c>
      <c r="Q166" s="612">
        <f t="shared" si="52"/>
        <v>0</v>
      </c>
      <c r="R166" s="26">
        <f t="shared" si="53"/>
        <v>0</v>
      </c>
      <c r="S166" s="26">
        <f t="shared" si="54"/>
        <v>0</v>
      </c>
      <c r="T166" s="26">
        <f t="shared" si="55"/>
        <v>0</v>
      </c>
      <c r="U166" s="26">
        <f t="shared" si="56"/>
        <v>0</v>
      </c>
      <c r="V166" s="26">
        <f t="shared" si="57"/>
        <v>0</v>
      </c>
      <c r="W166" s="20">
        <f t="shared" si="58"/>
        <v>0</v>
      </c>
      <c r="X166" s="20">
        <f t="shared" si="59"/>
        <v>0</v>
      </c>
      <c r="Y166" s="86">
        <f t="shared" si="60"/>
        <v>0</v>
      </c>
      <c r="Z166" s="619"/>
    </row>
    <row r="167" spans="2:26">
      <c r="B167" s="14">
        <f t="shared" si="61"/>
        <v>164</v>
      </c>
      <c r="C167" s="37" t="s">
        <v>625</v>
      </c>
      <c r="D167" s="40"/>
      <c r="E167" s="39"/>
      <c r="F167" s="37"/>
      <c r="G167" s="41" t="str">
        <f t="shared" si="62"/>
        <v/>
      </c>
      <c r="H167" s="615">
        <f t="shared" si="43"/>
        <v>0</v>
      </c>
      <c r="I167" s="615">
        <f t="shared" si="44"/>
        <v>0</v>
      </c>
      <c r="J167" s="12">
        <f t="shared" si="45"/>
        <v>0</v>
      </c>
      <c r="K167" s="12">
        <f t="shared" si="46"/>
        <v>0</v>
      </c>
      <c r="L167" s="12">
        <f t="shared" si="47"/>
        <v>0</v>
      </c>
      <c r="M167" s="12">
        <f t="shared" si="48"/>
        <v>0</v>
      </c>
      <c r="N167" s="26">
        <f t="shared" si="49"/>
        <v>0</v>
      </c>
      <c r="O167" s="26">
        <f t="shared" si="50"/>
        <v>0</v>
      </c>
      <c r="P167" s="26">
        <f t="shared" si="51"/>
        <v>0</v>
      </c>
      <c r="Q167" s="612">
        <f t="shared" si="52"/>
        <v>0</v>
      </c>
      <c r="R167" s="26">
        <f t="shared" si="53"/>
        <v>0</v>
      </c>
      <c r="S167" s="26">
        <f t="shared" si="54"/>
        <v>0</v>
      </c>
      <c r="T167" s="26">
        <f t="shared" si="55"/>
        <v>0</v>
      </c>
      <c r="U167" s="26">
        <f t="shared" si="56"/>
        <v>0</v>
      </c>
      <c r="V167" s="26">
        <f t="shared" si="57"/>
        <v>0</v>
      </c>
      <c r="W167" s="20">
        <f t="shared" si="58"/>
        <v>0</v>
      </c>
      <c r="X167" s="20">
        <f t="shared" si="59"/>
        <v>0</v>
      </c>
      <c r="Y167" s="86">
        <f t="shared" si="60"/>
        <v>0</v>
      </c>
      <c r="Z167" s="619"/>
    </row>
    <row r="168" spans="2:26">
      <c r="B168" s="14">
        <f t="shared" si="61"/>
        <v>165</v>
      </c>
      <c r="C168" s="37" t="s">
        <v>625</v>
      </c>
      <c r="D168" s="40"/>
      <c r="E168" s="39"/>
      <c r="F168" s="37"/>
      <c r="G168" s="41" t="str">
        <f t="shared" si="62"/>
        <v/>
      </c>
      <c r="H168" s="615">
        <f t="shared" si="43"/>
        <v>0</v>
      </c>
      <c r="I168" s="615">
        <f t="shared" si="44"/>
        <v>0</v>
      </c>
      <c r="J168" s="12">
        <f t="shared" si="45"/>
        <v>0</v>
      </c>
      <c r="K168" s="12">
        <f t="shared" si="46"/>
        <v>0</v>
      </c>
      <c r="L168" s="12">
        <f t="shared" si="47"/>
        <v>0</v>
      </c>
      <c r="M168" s="12">
        <f t="shared" si="48"/>
        <v>0</v>
      </c>
      <c r="N168" s="26">
        <f t="shared" si="49"/>
        <v>0</v>
      </c>
      <c r="O168" s="26">
        <f t="shared" si="50"/>
        <v>0</v>
      </c>
      <c r="P168" s="26">
        <f t="shared" si="51"/>
        <v>0</v>
      </c>
      <c r="Q168" s="612">
        <f t="shared" si="52"/>
        <v>0</v>
      </c>
      <c r="R168" s="26">
        <f t="shared" si="53"/>
        <v>0</v>
      </c>
      <c r="S168" s="26">
        <f t="shared" si="54"/>
        <v>0</v>
      </c>
      <c r="T168" s="26">
        <f t="shared" si="55"/>
        <v>0</v>
      </c>
      <c r="U168" s="26">
        <f t="shared" si="56"/>
        <v>0</v>
      </c>
      <c r="V168" s="26">
        <f t="shared" si="57"/>
        <v>0</v>
      </c>
      <c r="W168" s="20">
        <f t="shared" si="58"/>
        <v>0</v>
      </c>
      <c r="X168" s="20">
        <f t="shared" si="59"/>
        <v>0</v>
      </c>
      <c r="Y168" s="86">
        <f t="shared" si="60"/>
        <v>0</v>
      </c>
      <c r="Z168" s="619"/>
    </row>
    <row r="169" spans="2:26">
      <c r="B169" s="14">
        <f t="shared" si="61"/>
        <v>166</v>
      </c>
      <c r="C169" s="37" t="s">
        <v>625</v>
      </c>
      <c r="D169" s="40"/>
      <c r="E169" s="39"/>
      <c r="F169" s="37"/>
      <c r="G169" s="41" t="str">
        <f t="shared" si="62"/>
        <v/>
      </c>
      <c r="H169" s="615">
        <f t="shared" si="43"/>
        <v>0</v>
      </c>
      <c r="I169" s="615">
        <f t="shared" si="44"/>
        <v>0</v>
      </c>
      <c r="J169" s="12">
        <f t="shared" si="45"/>
        <v>0</v>
      </c>
      <c r="K169" s="12">
        <f t="shared" si="46"/>
        <v>0</v>
      </c>
      <c r="L169" s="12">
        <f t="shared" si="47"/>
        <v>0</v>
      </c>
      <c r="M169" s="12">
        <f t="shared" si="48"/>
        <v>0</v>
      </c>
      <c r="N169" s="26">
        <f t="shared" si="49"/>
        <v>0</v>
      </c>
      <c r="O169" s="26">
        <f t="shared" si="50"/>
        <v>0</v>
      </c>
      <c r="P169" s="26">
        <f t="shared" si="51"/>
        <v>0</v>
      </c>
      <c r="Q169" s="612">
        <f t="shared" si="52"/>
        <v>0</v>
      </c>
      <c r="R169" s="26">
        <f t="shared" si="53"/>
        <v>0</v>
      </c>
      <c r="S169" s="26">
        <f t="shared" si="54"/>
        <v>0</v>
      </c>
      <c r="T169" s="26">
        <f t="shared" si="55"/>
        <v>0</v>
      </c>
      <c r="U169" s="26">
        <f t="shared" si="56"/>
        <v>0</v>
      </c>
      <c r="V169" s="26">
        <f t="shared" si="57"/>
        <v>0</v>
      </c>
      <c r="W169" s="20">
        <f t="shared" si="58"/>
        <v>0</v>
      </c>
      <c r="X169" s="20">
        <f t="shared" si="59"/>
        <v>0</v>
      </c>
      <c r="Y169" s="86">
        <f t="shared" si="60"/>
        <v>0</v>
      </c>
      <c r="Z169" s="619"/>
    </row>
    <row r="170" spans="2:26">
      <c r="B170" s="14">
        <f t="shared" si="61"/>
        <v>167</v>
      </c>
      <c r="C170" s="37" t="s">
        <v>625</v>
      </c>
      <c r="D170" s="40"/>
      <c r="E170" s="39"/>
      <c r="F170" s="37"/>
      <c r="G170" s="41" t="str">
        <f t="shared" si="62"/>
        <v/>
      </c>
      <c r="H170" s="615">
        <f t="shared" si="43"/>
        <v>0</v>
      </c>
      <c r="I170" s="615">
        <f t="shared" si="44"/>
        <v>0</v>
      </c>
      <c r="J170" s="12">
        <f t="shared" si="45"/>
        <v>0</v>
      </c>
      <c r="K170" s="12">
        <f t="shared" si="46"/>
        <v>0</v>
      </c>
      <c r="L170" s="12">
        <f t="shared" si="47"/>
        <v>0</v>
      </c>
      <c r="M170" s="12">
        <f t="shared" si="48"/>
        <v>0</v>
      </c>
      <c r="N170" s="26">
        <f t="shared" si="49"/>
        <v>0</v>
      </c>
      <c r="O170" s="26">
        <f t="shared" si="50"/>
        <v>0</v>
      </c>
      <c r="P170" s="26">
        <f t="shared" si="51"/>
        <v>0</v>
      </c>
      <c r="Q170" s="612">
        <f t="shared" si="52"/>
        <v>0</v>
      </c>
      <c r="R170" s="26">
        <f t="shared" si="53"/>
        <v>0</v>
      </c>
      <c r="S170" s="26">
        <f t="shared" si="54"/>
        <v>0</v>
      </c>
      <c r="T170" s="26">
        <f t="shared" si="55"/>
        <v>0</v>
      </c>
      <c r="U170" s="26">
        <f t="shared" si="56"/>
        <v>0</v>
      </c>
      <c r="V170" s="26">
        <f t="shared" si="57"/>
        <v>0</v>
      </c>
      <c r="W170" s="20">
        <f t="shared" si="58"/>
        <v>0</v>
      </c>
      <c r="X170" s="20">
        <f t="shared" si="59"/>
        <v>0</v>
      </c>
      <c r="Y170" s="86">
        <f t="shared" si="60"/>
        <v>0</v>
      </c>
      <c r="Z170" s="619"/>
    </row>
    <row r="171" spans="2:26">
      <c r="B171" s="14">
        <f t="shared" si="61"/>
        <v>168</v>
      </c>
      <c r="C171" s="37" t="s">
        <v>625</v>
      </c>
      <c r="D171" s="40"/>
      <c r="E171" s="39"/>
      <c r="F171" s="37"/>
      <c r="G171" s="41" t="str">
        <f t="shared" si="62"/>
        <v/>
      </c>
      <c r="H171" s="615">
        <f t="shared" si="43"/>
        <v>0</v>
      </c>
      <c r="I171" s="615">
        <f t="shared" si="44"/>
        <v>0</v>
      </c>
      <c r="J171" s="12">
        <f t="shared" si="45"/>
        <v>0</v>
      </c>
      <c r="K171" s="12">
        <f t="shared" si="46"/>
        <v>0</v>
      </c>
      <c r="L171" s="12">
        <f t="shared" si="47"/>
        <v>0</v>
      </c>
      <c r="M171" s="12">
        <f t="shared" si="48"/>
        <v>0</v>
      </c>
      <c r="N171" s="26">
        <f t="shared" si="49"/>
        <v>0</v>
      </c>
      <c r="O171" s="26">
        <f t="shared" si="50"/>
        <v>0</v>
      </c>
      <c r="P171" s="26">
        <f t="shared" si="51"/>
        <v>0</v>
      </c>
      <c r="Q171" s="612">
        <f t="shared" si="52"/>
        <v>0</v>
      </c>
      <c r="R171" s="26">
        <f t="shared" si="53"/>
        <v>0</v>
      </c>
      <c r="S171" s="26">
        <f t="shared" si="54"/>
        <v>0</v>
      </c>
      <c r="T171" s="26">
        <f t="shared" si="55"/>
        <v>0</v>
      </c>
      <c r="U171" s="26">
        <f t="shared" si="56"/>
        <v>0</v>
      </c>
      <c r="V171" s="26">
        <f t="shared" si="57"/>
        <v>0</v>
      </c>
      <c r="W171" s="20">
        <f t="shared" si="58"/>
        <v>0</v>
      </c>
      <c r="X171" s="20">
        <f t="shared" si="59"/>
        <v>0</v>
      </c>
      <c r="Y171" s="86">
        <f t="shared" si="60"/>
        <v>0</v>
      </c>
      <c r="Z171" s="619"/>
    </row>
    <row r="172" spans="2:26">
      <c r="B172" s="14">
        <f t="shared" si="61"/>
        <v>169</v>
      </c>
      <c r="C172" s="37" t="s">
        <v>625</v>
      </c>
      <c r="D172" s="40"/>
      <c r="E172" s="39"/>
      <c r="F172" s="37"/>
      <c r="G172" s="41" t="str">
        <f t="shared" si="62"/>
        <v/>
      </c>
      <c r="H172" s="615">
        <f t="shared" si="43"/>
        <v>0</v>
      </c>
      <c r="I172" s="615">
        <f t="shared" si="44"/>
        <v>0</v>
      </c>
      <c r="J172" s="12">
        <f t="shared" si="45"/>
        <v>0</v>
      </c>
      <c r="K172" s="12">
        <f t="shared" si="46"/>
        <v>0</v>
      </c>
      <c r="L172" s="12">
        <f t="shared" si="47"/>
        <v>0</v>
      </c>
      <c r="M172" s="12">
        <f t="shared" si="48"/>
        <v>0</v>
      </c>
      <c r="N172" s="26">
        <f t="shared" si="49"/>
        <v>0</v>
      </c>
      <c r="O172" s="26">
        <f t="shared" si="50"/>
        <v>0</v>
      </c>
      <c r="P172" s="26">
        <f t="shared" si="51"/>
        <v>0</v>
      </c>
      <c r="Q172" s="612">
        <f t="shared" si="52"/>
        <v>0</v>
      </c>
      <c r="R172" s="26">
        <f t="shared" si="53"/>
        <v>0</v>
      </c>
      <c r="S172" s="26">
        <f t="shared" si="54"/>
        <v>0</v>
      </c>
      <c r="T172" s="26">
        <f t="shared" si="55"/>
        <v>0</v>
      </c>
      <c r="U172" s="26">
        <f t="shared" si="56"/>
        <v>0</v>
      </c>
      <c r="V172" s="26">
        <f t="shared" si="57"/>
        <v>0</v>
      </c>
      <c r="W172" s="20">
        <f t="shared" si="58"/>
        <v>0</v>
      </c>
      <c r="X172" s="20">
        <f t="shared" si="59"/>
        <v>0</v>
      </c>
      <c r="Y172" s="86">
        <f t="shared" si="60"/>
        <v>0</v>
      </c>
      <c r="Z172" s="619"/>
    </row>
    <row r="173" spans="2:26">
      <c r="B173" s="14">
        <f t="shared" si="61"/>
        <v>170</v>
      </c>
      <c r="C173" s="37" t="s">
        <v>625</v>
      </c>
      <c r="D173" s="40"/>
      <c r="E173" s="39"/>
      <c r="F173" s="37"/>
      <c r="G173" s="41" t="str">
        <f t="shared" si="62"/>
        <v/>
      </c>
      <c r="H173" s="615">
        <f t="shared" si="43"/>
        <v>0</v>
      </c>
      <c r="I173" s="615">
        <f t="shared" si="44"/>
        <v>0</v>
      </c>
      <c r="J173" s="12">
        <f t="shared" si="45"/>
        <v>0</v>
      </c>
      <c r="K173" s="12">
        <f t="shared" si="46"/>
        <v>0</v>
      </c>
      <c r="L173" s="12">
        <f t="shared" si="47"/>
        <v>0</v>
      </c>
      <c r="M173" s="12">
        <f t="shared" si="48"/>
        <v>0</v>
      </c>
      <c r="N173" s="26">
        <f t="shared" si="49"/>
        <v>0</v>
      </c>
      <c r="O173" s="26">
        <f t="shared" si="50"/>
        <v>0</v>
      </c>
      <c r="P173" s="26">
        <f t="shared" si="51"/>
        <v>0</v>
      </c>
      <c r="Q173" s="612">
        <f t="shared" si="52"/>
        <v>0</v>
      </c>
      <c r="R173" s="26">
        <f t="shared" si="53"/>
        <v>0</v>
      </c>
      <c r="S173" s="26">
        <f t="shared" si="54"/>
        <v>0</v>
      </c>
      <c r="T173" s="26">
        <f t="shared" si="55"/>
        <v>0</v>
      </c>
      <c r="U173" s="26">
        <f t="shared" si="56"/>
        <v>0</v>
      </c>
      <c r="V173" s="26">
        <f t="shared" si="57"/>
        <v>0</v>
      </c>
      <c r="W173" s="20">
        <f t="shared" si="58"/>
        <v>0</v>
      </c>
      <c r="X173" s="20">
        <f t="shared" si="59"/>
        <v>0</v>
      </c>
      <c r="Y173" s="86">
        <f t="shared" si="60"/>
        <v>0</v>
      </c>
      <c r="Z173" s="619"/>
    </row>
    <row r="174" spans="2:26">
      <c r="B174" s="14">
        <f t="shared" si="61"/>
        <v>171</v>
      </c>
      <c r="C174" s="37" t="s">
        <v>625</v>
      </c>
      <c r="D174" s="40"/>
      <c r="E174" s="39"/>
      <c r="F174" s="37"/>
      <c r="G174" s="41" t="str">
        <f t="shared" si="62"/>
        <v/>
      </c>
      <c r="H174" s="615">
        <f t="shared" si="43"/>
        <v>0</v>
      </c>
      <c r="I174" s="615">
        <f t="shared" si="44"/>
        <v>0</v>
      </c>
      <c r="J174" s="12">
        <f t="shared" si="45"/>
        <v>0</v>
      </c>
      <c r="K174" s="12">
        <f t="shared" si="46"/>
        <v>0</v>
      </c>
      <c r="L174" s="12">
        <f t="shared" si="47"/>
        <v>0</v>
      </c>
      <c r="M174" s="12">
        <f t="shared" si="48"/>
        <v>0</v>
      </c>
      <c r="N174" s="26">
        <f t="shared" si="49"/>
        <v>0</v>
      </c>
      <c r="O174" s="26">
        <f t="shared" si="50"/>
        <v>0</v>
      </c>
      <c r="P174" s="26">
        <f t="shared" si="51"/>
        <v>0</v>
      </c>
      <c r="Q174" s="612">
        <f t="shared" si="52"/>
        <v>0</v>
      </c>
      <c r="R174" s="26">
        <f t="shared" si="53"/>
        <v>0</v>
      </c>
      <c r="S174" s="26">
        <f t="shared" si="54"/>
        <v>0</v>
      </c>
      <c r="T174" s="26">
        <f t="shared" si="55"/>
        <v>0</v>
      </c>
      <c r="U174" s="26">
        <f t="shared" si="56"/>
        <v>0</v>
      </c>
      <c r="V174" s="26">
        <f t="shared" si="57"/>
        <v>0</v>
      </c>
      <c r="W174" s="20">
        <f t="shared" si="58"/>
        <v>0</v>
      </c>
      <c r="X174" s="20">
        <f t="shared" si="59"/>
        <v>0</v>
      </c>
      <c r="Y174" s="86">
        <f t="shared" si="60"/>
        <v>0</v>
      </c>
      <c r="Z174" s="619"/>
    </row>
    <row r="175" spans="2:26">
      <c r="B175" s="14">
        <f t="shared" si="61"/>
        <v>172</v>
      </c>
      <c r="C175" s="37" t="s">
        <v>625</v>
      </c>
      <c r="D175" s="40"/>
      <c r="E175" s="39"/>
      <c r="F175" s="37"/>
      <c r="G175" s="41" t="str">
        <f t="shared" si="62"/>
        <v/>
      </c>
      <c r="H175" s="615">
        <f t="shared" si="43"/>
        <v>0</v>
      </c>
      <c r="I175" s="615">
        <f t="shared" si="44"/>
        <v>0</v>
      </c>
      <c r="J175" s="12">
        <f t="shared" si="45"/>
        <v>0</v>
      </c>
      <c r="K175" s="12">
        <f t="shared" si="46"/>
        <v>0</v>
      </c>
      <c r="L175" s="12">
        <f t="shared" si="47"/>
        <v>0</v>
      </c>
      <c r="M175" s="12">
        <f t="shared" si="48"/>
        <v>0</v>
      </c>
      <c r="N175" s="26">
        <f t="shared" si="49"/>
        <v>0</v>
      </c>
      <c r="O175" s="26">
        <f t="shared" si="50"/>
        <v>0</v>
      </c>
      <c r="P175" s="26">
        <f t="shared" si="51"/>
        <v>0</v>
      </c>
      <c r="Q175" s="612">
        <f t="shared" si="52"/>
        <v>0</v>
      </c>
      <c r="R175" s="26">
        <f t="shared" si="53"/>
        <v>0</v>
      </c>
      <c r="S175" s="26">
        <f t="shared" si="54"/>
        <v>0</v>
      </c>
      <c r="T175" s="26">
        <f t="shared" si="55"/>
        <v>0</v>
      </c>
      <c r="U175" s="26">
        <f t="shared" si="56"/>
        <v>0</v>
      </c>
      <c r="V175" s="26">
        <f t="shared" si="57"/>
        <v>0</v>
      </c>
      <c r="W175" s="20">
        <f t="shared" si="58"/>
        <v>0</v>
      </c>
      <c r="X175" s="20">
        <f t="shared" si="59"/>
        <v>0</v>
      </c>
      <c r="Y175" s="86">
        <f t="shared" si="60"/>
        <v>0</v>
      </c>
      <c r="Z175" s="619"/>
    </row>
    <row r="176" spans="2:26">
      <c r="B176" s="14">
        <f t="shared" si="61"/>
        <v>173</v>
      </c>
      <c r="C176" s="37" t="s">
        <v>625</v>
      </c>
      <c r="D176" s="40"/>
      <c r="E176" s="39"/>
      <c r="F176" s="37"/>
      <c r="G176" s="41" t="str">
        <f t="shared" si="62"/>
        <v/>
      </c>
      <c r="H176" s="615">
        <f t="shared" si="43"/>
        <v>0</v>
      </c>
      <c r="I176" s="615">
        <f t="shared" si="44"/>
        <v>0</v>
      </c>
      <c r="J176" s="12">
        <f t="shared" si="45"/>
        <v>0</v>
      </c>
      <c r="K176" s="12">
        <f t="shared" si="46"/>
        <v>0</v>
      </c>
      <c r="L176" s="12">
        <f t="shared" si="47"/>
        <v>0</v>
      </c>
      <c r="M176" s="12">
        <f t="shared" si="48"/>
        <v>0</v>
      </c>
      <c r="N176" s="26">
        <f t="shared" si="49"/>
        <v>0</v>
      </c>
      <c r="O176" s="26">
        <f t="shared" si="50"/>
        <v>0</v>
      </c>
      <c r="P176" s="26">
        <f t="shared" si="51"/>
        <v>0</v>
      </c>
      <c r="Q176" s="612">
        <f t="shared" si="52"/>
        <v>0</v>
      </c>
      <c r="R176" s="26">
        <f t="shared" si="53"/>
        <v>0</v>
      </c>
      <c r="S176" s="26">
        <f t="shared" si="54"/>
        <v>0</v>
      </c>
      <c r="T176" s="26">
        <f t="shared" si="55"/>
        <v>0</v>
      </c>
      <c r="U176" s="26">
        <f t="shared" si="56"/>
        <v>0</v>
      </c>
      <c r="V176" s="26">
        <f t="shared" si="57"/>
        <v>0</v>
      </c>
      <c r="W176" s="20">
        <f t="shared" si="58"/>
        <v>0</v>
      </c>
      <c r="X176" s="20">
        <f t="shared" si="59"/>
        <v>0</v>
      </c>
      <c r="Y176" s="86">
        <f t="shared" si="60"/>
        <v>0</v>
      </c>
      <c r="Z176" s="619"/>
    </row>
    <row r="177" spans="2:26">
      <c r="B177" s="14">
        <f t="shared" si="61"/>
        <v>174</v>
      </c>
      <c r="C177" s="37" t="s">
        <v>625</v>
      </c>
      <c r="D177" s="40"/>
      <c r="E177" s="39"/>
      <c r="F177" s="37"/>
      <c r="G177" s="41" t="str">
        <f t="shared" si="62"/>
        <v/>
      </c>
      <c r="H177" s="615">
        <f t="shared" si="43"/>
        <v>0</v>
      </c>
      <c r="I177" s="615">
        <f t="shared" si="44"/>
        <v>0</v>
      </c>
      <c r="J177" s="12">
        <f t="shared" si="45"/>
        <v>0</v>
      </c>
      <c r="K177" s="12">
        <f t="shared" si="46"/>
        <v>0</v>
      </c>
      <c r="L177" s="12">
        <f t="shared" si="47"/>
        <v>0</v>
      </c>
      <c r="M177" s="12">
        <f t="shared" si="48"/>
        <v>0</v>
      </c>
      <c r="N177" s="26">
        <f t="shared" si="49"/>
        <v>0</v>
      </c>
      <c r="O177" s="26">
        <f t="shared" si="50"/>
        <v>0</v>
      </c>
      <c r="P177" s="26">
        <f t="shared" si="51"/>
        <v>0</v>
      </c>
      <c r="Q177" s="612">
        <f t="shared" si="52"/>
        <v>0</v>
      </c>
      <c r="R177" s="26">
        <f t="shared" si="53"/>
        <v>0</v>
      </c>
      <c r="S177" s="26">
        <f t="shared" si="54"/>
        <v>0</v>
      </c>
      <c r="T177" s="26">
        <f t="shared" si="55"/>
        <v>0</v>
      </c>
      <c r="U177" s="26">
        <f t="shared" si="56"/>
        <v>0</v>
      </c>
      <c r="V177" s="26">
        <f t="shared" si="57"/>
        <v>0</v>
      </c>
      <c r="W177" s="20">
        <f t="shared" si="58"/>
        <v>0</v>
      </c>
      <c r="X177" s="20">
        <f t="shared" si="59"/>
        <v>0</v>
      </c>
      <c r="Y177" s="86">
        <f t="shared" si="60"/>
        <v>0</v>
      </c>
      <c r="Z177" s="619"/>
    </row>
    <row r="178" spans="2:26">
      <c r="B178" s="14">
        <f t="shared" si="61"/>
        <v>175</v>
      </c>
      <c r="C178" s="37" t="s">
        <v>625</v>
      </c>
      <c r="D178" s="40"/>
      <c r="E178" s="39"/>
      <c r="F178" s="37"/>
      <c r="G178" s="41" t="str">
        <f t="shared" si="62"/>
        <v/>
      </c>
      <c r="H178" s="615">
        <f t="shared" si="43"/>
        <v>0</v>
      </c>
      <c r="I178" s="615">
        <f t="shared" si="44"/>
        <v>0</v>
      </c>
      <c r="J178" s="12">
        <f t="shared" si="45"/>
        <v>0</v>
      </c>
      <c r="K178" s="12">
        <f t="shared" si="46"/>
        <v>0</v>
      </c>
      <c r="L178" s="12">
        <f t="shared" si="47"/>
        <v>0</v>
      </c>
      <c r="M178" s="12">
        <f t="shared" si="48"/>
        <v>0</v>
      </c>
      <c r="N178" s="26">
        <f t="shared" si="49"/>
        <v>0</v>
      </c>
      <c r="O178" s="26">
        <f t="shared" si="50"/>
        <v>0</v>
      </c>
      <c r="P178" s="26">
        <f t="shared" si="51"/>
        <v>0</v>
      </c>
      <c r="Q178" s="612">
        <f t="shared" si="52"/>
        <v>0</v>
      </c>
      <c r="R178" s="26">
        <f t="shared" si="53"/>
        <v>0</v>
      </c>
      <c r="S178" s="26">
        <f t="shared" si="54"/>
        <v>0</v>
      </c>
      <c r="T178" s="26">
        <f t="shared" si="55"/>
        <v>0</v>
      </c>
      <c r="U178" s="26">
        <f t="shared" si="56"/>
        <v>0</v>
      </c>
      <c r="V178" s="26">
        <f t="shared" si="57"/>
        <v>0</v>
      </c>
      <c r="W178" s="20">
        <f t="shared" si="58"/>
        <v>0</v>
      </c>
      <c r="X178" s="20">
        <f t="shared" si="59"/>
        <v>0</v>
      </c>
      <c r="Y178" s="86">
        <f t="shared" si="60"/>
        <v>0</v>
      </c>
      <c r="Z178" s="619"/>
    </row>
    <row r="179" spans="2:26">
      <c r="B179" s="14">
        <f t="shared" si="61"/>
        <v>176</v>
      </c>
      <c r="C179" s="37" t="s">
        <v>625</v>
      </c>
      <c r="D179" s="40"/>
      <c r="E179" s="39"/>
      <c r="F179" s="37"/>
      <c r="G179" s="41" t="str">
        <f t="shared" si="62"/>
        <v/>
      </c>
      <c r="H179" s="615">
        <f t="shared" si="43"/>
        <v>0</v>
      </c>
      <c r="I179" s="615">
        <f t="shared" si="44"/>
        <v>0</v>
      </c>
      <c r="J179" s="12">
        <f t="shared" si="45"/>
        <v>0</v>
      </c>
      <c r="K179" s="12">
        <f t="shared" si="46"/>
        <v>0</v>
      </c>
      <c r="L179" s="12">
        <f t="shared" si="47"/>
        <v>0</v>
      </c>
      <c r="M179" s="12">
        <f t="shared" si="48"/>
        <v>0</v>
      </c>
      <c r="N179" s="26">
        <f t="shared" si="49"/>
        <v>0</v>
      </c>
      <c r="O179" s="26">
        <f t="shared" si="50"/>
        <v>0</v>
      </c>
      <c r="P179" s="26">
        <f t="shared" si="51"/>
        <v>0</v>
      </c>
      <c r="Q179" s="612">
        <f t="shared" si="52"/>
        <v>0</v>
      </c>
      <c r="R179" s="26">
        <f t="shared" si="53"/>
        <v>0</v>
      </c>
      <c r="S179" s="26">
        <f t="shared" si="54"/>
        <v>0</v>
      </c>
      <c r="T179" s="26">
        <f t="shared" si="55"/>
        <v>0</v>
      </c>
      <c r="U179" s="26">
        <f t="shared" si="56"/>
        <v>0</v>
      </c>
      <c r="V179" s="26">
        <f t="shared" si="57"/>
        <v>0</v>
      </c>
      <c r="W179" s="20">
        <f t="shared" si="58"/>
        <v>0</v>
      </c>
      <c r="X179" s="20">
        <f t="shared" si="59"/>
        <v>0</v>
      </c>
      <c r="Y179" s="86">
        <f t="shared" si="60"/>
        <v>0</v>
      </c>
      <c r="Z179" s="619"/>
    </row>
    <row r="180" spans="2:26">
      <c r="B180" s="14">
        <f t="shared" si="61"/>
        <v>177</v>
      </c>
      <c r="C180" s="37" t="s">
        <v>625</v>
      </c>
      <c r="D180" s="40"/>
      <c r="E180" s="39"/>
      <c r="F180" s="37"/>
      <c r="G180" s="41" t="str">
        <f t="shared" si="62"/>
        <v/>
      </c>
      <c r="H180" s="615">
        <f t="shared" si="43"/>
        <v>0</v>
      </c>
      <c r="I180" s="615">
        <f t="shared" si="44"/>
        <v>0</v>
      </c>
      <c r="J180" s="12">
        <f t="shared" si="45"/>
        <v>0</v>
      </c>
      <c r="K180" s="12">
        <f t="shared" si="46"/>
        <v>0</v>
      </c>
      <c r="L180" s="12">
        <f t="shared" si="47"/>
        <v>0</v>
      </c>
      <c r="M180" s="12">
        <f t="shared" si="48"/>
        <v>0</v>
      </c>
      <c r="N180" s="26">
        <f t="shared" si="49"/>
        <v>0</v>
      </c>
      <c r="O180" s="26">
        <f t="shared" si="50"/>
        <v>0</v>
      </c>
      <c r="P180" s="26">
        <f t="shared" si="51"/>
        <v>0</v>
      </c>
      <c r="Q180" s="612">
        <f t="shared" si="52"/>
        <v>0</v>
      </c>
      <c r="R180" s="26">
        <f t="shared" si="53"/>
        <v>0</v>
      </c>
      <c r="S180" s="26">
        <f t="shared" si="54"/>
        <v>0</v>
      </c>
      <c r="T180" s="26">
        <f t="shared" si="55"/>
        <v>0</v>
      </c>
      <c r="U180" s="26">
        <f t="shared" si="56"/>
        <v>0</v>
      </c>
      <c r="V180" s="26">
        <f t="shared" si="57"/>
        <v>0</v>
      </c>
      <c r="W180" s="20">
        <f t="shared" si="58"/>
        <v>0</v>
      </c>
      <c r="X180" s="20">
        <f t="shared" si="59"/>
        <v>0</v>
      </c>
      <c r="Y180" s="86">
        <f t="shared" si="60"/>
        <v>0</v>
      </c>
      <c r="Z180" s="619"/>
    </row>
    <row r="181" spans="2:26">
      <c r="B181" s="14">
        <f t="shared" si="61"/>
        <v>178</v>
      </c>
      <c r="C181" s="37" t="s">
        <v>625</v>
      </c>
      <c r="D181" s="40"/>
      <c r="E181" s="39"/>
      <c r="F181" s="37"/>
      <c r="G181" s="41" t="str">
        <f t="shared" si="62"/>
        <v/>
      </c>
      <c r="H181" s="615">
        <f t="shared" si="43"/>
        <v>0</v>
      </c>
      <c r="I181" s="615">
        <f t="shared" si="44"/>
        <v>0</v>
      </c>
      <c r="J181" s="12">
        <f t="shared" si="45"/>
        <v>0</v>
      </c>
      <c r="K181" s="12">
        <f t="shared" si="46"/>
        <v>0</v>
      </c>
      <c r="L181" s="12">
        <f t="shared" si="47"/>
        <v>0</v>
      </c>
      <c r="M181" s="12">
        <f t="shared" si="48"/>
        <v>0</v>
      </c>
      <c r="N181" s="26">
        <f t="shared" si="49"/>
        <v>0</v>
      </c>
      <c r="O181" s="26">
        <f t="shared" si="50"/>
        <v>0</v>
      </c>
      <c r="P181" s="26">
        <f t="shared" si="51"/>
        <v>0</v>
      </c>
      <c r="Q181" s="612">
        <f t="shared" si="52"/>
        <v>0</v>
      </c>
      <c r="R181" s="26">
        <f t="shared" si="53"/>
        <v>0</v>
      </c>
      <c r="S181" s="26">
        <f t="shared" si="54"/>
        <v>0</v>
      </c>
      <c r="T181" s="26">
        <f t="shared" si="55"/>
        <v>0</v>
      </c>
      <c r="U181" s="26">
        <f t="shared" si="56"/>
        <v>0</v>
      </c>
      <c r="V181" s="26">
        <f t="shared" si="57"/>
        <v>0</v>
      </c>
      <c r="W181" s="20">
        <f t="shared" si="58"/>
        <v>0</v>
      </c>
      <c r="X181" s="20">
        <f t="shared" si="59"/>
        <v>0</v>
      </c>
      <c r="Y181" s="86">
        <f t="shared" si="60"/>
        <v>0</v>
      </c>
      <c r="Z181" s="619"/>
    </row>
    <row r="182" spans="2:26">
      <c r="B182" s="14">
        <f t="shared" si="61"/>
        <v>179</v>
      </c>
      <c r="C182" s="37" t="s">
        <v>625</v>
      </c>
      <c r="D182" s="40"/>
      <c r="E182" s="39"/>
      <c r="F182" s="37"/>
      <c r="G182" s="41" t="str">
        <f t="shared" si="62"/>
        <v/>
      </c>
      <c r="H182" s="615">
        <f t="shared" si="43"/>
        <v>0</v>
      </c>
      <c r="I182" s="615">
        <f t="shared" si="44"/>
        <v>0</v>
      </c>
      <c r="J182" s="12">
        <f t="shared" si="45"/>
        <v>0</v>
      </c>
      <c r="K182" s="12">
        <f t="shared" si="46"/>
        <v>0</v>
      </c>
      <c r="L182" s="12">
        <f t="shared" si="47"/>
        <v>0</v>
      </c>
      <c r="M182" s="12">
        <f t="shared" si="48"/>
        <v>0</v>
      </c>
      <c r="N182" s="26">
        <f t="shared" si="49"/>
        <v>0</v>
      </c>
      <c r="O182" s="26">
        <f t="shared" si="50"/>
        <v>0</v>
      </c>
      <c r="P182" s="26">
        <f t="shared" si="51"/>
        <v>0</v>
      </c>
      <c r="Q182" s="612">
        <f t="shared" si="52"/>
        <v>0</v>
      </c>
      <c r="R182" s="26">
        <f t="shared" si="53"/>
        <v>0</v>
      </c>
      <c r="S182" s="26">
        <f t="shared" si="54"/>
        <v>0</v>
      </c>
      <c r="T182" s="26">
        <f t="shared" si="55"/>
        <v>0</v>
      </c>
      <c r="U182" s="26">
        <f t="shared" si="56"/>
        <v>0</v>
      </c>
      <c r="V182" s="26">
        <f t="shared" si="57"/>
        <v>0</v>
      </c>
      <c r="W182" s="20">
        <f t="shared" si="58"/>
        <v>0</v>
      </c>
      <c r="X182" s="20">
        <f t="shared" si="59"/>
        <v>0</v>
      </c>
      <c r="Y182" s="86">
        <f t="shared" si="60"/>
        <v>0</v>
      </c>
      <c r="Z182" s="619"/>
    </row>
    <row r="183" spans="2:26">
      <c r="B183" s="14">
        <f t="shared" si="61"/>
        <v>180</v>
      </c>
      <c r="C183" s="37" t="s">
        <v>625</v>
      </c>
      <c r="D183" s="40"/>
      <c r="E183" s="39"/>
      <c r="F183" s="37"/>
      <c r="G183" s="41" t="str">
        <f t="shared" si="62"/>
        <v/>
      </c>
      <c r="H183" s="615">
        <f t="shared" si="43"/>
        <v>0</v>
      </c>
      <c r="I183" s="615">
        <f t="shared" si="44"/>
        <v>0</v>
      </c>
      <c r="J183" s="12">
        <f t="shared" si="45"/>
        <v>0</v>
      </c>
      <c r="K183" s="12">
        <f t="shared" si="46"/>
        <v>0</v>
      </c>
      <c r="L183" s="12">
        <f t="shared" si="47"/>
        <v>0</v>
      </c>
      <c r="M183" s="12">
        <f t="shared" si="48"/>
        <v>0</v>
      </c>
      <c r="N183" s="26">
        <f t="shared" si="49"/>
        <v>0</v>
      </c>
      <c r="O183" s="26">
        <f t="shared" si="50"/>
        <v>0</v>
      </c>
      <c r="P183" s="26">
        <f t="shared" si="51"/>
        <v>0</v>
      </c>
      <c r="Q183" s="612">
        <f t="shared" si="52"/>
        <v>0</v>
      </c>
      <c r="R183" s="26">
        <f t="shared" si="53"/>
        <v>0</v>
      </c>
      <c r="S183" s="26">
        <f t="shared" si="54"/>
        <v>0</v>
      </c>
      <c r="T183" s="26">
        <f t="shared" si="55"/>
        <v>0</v>
      </c>
      <c r="U183" s="26">
        <f t="shared" si="56"/>
        <v>0</v>
      </c>
      <c r="V183" s="26">
        <f t="shared" si="57"/>
        <v>0</v>
      </c>
      <c r="W183" s="20">
        <f t="shared" si="58"/>
        <v>0</v>
      </c>
      <c r="X183" s="20">
        <f t="shared" si="59"/>
        <v>0</v>
      </c>
      <c r="Y183" s="86">
        <f t="shared" si="60"/>
        <v>0</v>
      </c>
      <c r="Z183" s="619"/>
    </row>
    <row r="184" spans="2:26">
      <c r="B184" s="14">
        <f t="shared" si="61"/>
        <v>181</v>
      </c>
      <c r="C184" s="37" t="s">
        <v>625</v>
      </c>
      <c r="D184" s="40"/>
      <c r="E184" s="39"/>
      <c r="F184" s="37"/>
      <c r="G184" s="41" t="str">
        <f t="shared" si="62"/>
        <v/>
      </c>
      <c r="H184" s="615">
        <f t="shared" si="43"/>
        <v>0</v>
      </c>
      <c r="I184" s="615">
        <f t="shared" si="44"/>
        <v>0</v>
      </c>
      <c r="J184" s="12">
        <f t="shared" si="45"/>
        <v>0</v>
      </c>
      <c r="K184" s="12">
        <f t="shared" si="46"/>
        <v>0</v>
      </c>
      <c r="L184" s="12">
        <f t="shared" si="47"/>
        <v>0</v>
      </c>
      <c r="M184" s="12">
        <f t="shared" si="48"/>
        <v>0</v>
      </c>
      <c r="N184" s="26">
        <f t="shared" si="49"/>
        <v>0</v>
      </c>
      <c r="O184" s="26">
        <f t="shared" si="50"/>
        <v>0</v>
      </c>
      <c r="P184" s="26">
        <f t="shared" si="51"/>
        <v>0</v>
      </c>
      <c r="Q184" s="612">
        <f t="shared" si="52"/>
        <v>0</v>
      </c>
      <c r="R184" s="26">
        <f t="shared" si="53"/>
        <v>0</v>
      </c>
      <c r="S184" s="26">
        <f t="shared" si="54"/>
        <v>0</v>
      </c>
      <c r="T184" s="26">
        <f t="shared" si="55"/>
        <v>0</v>
      </c>
      <c r="U184" s="26">
        <f t="shared" si="56"/>
        <v>0</v>
      </c>
      <c r="V184" s="26">
        <f t="shared" si="57"/>
        <v>0</v>
      </c>
      <c r="W184" s="20">
        <f t="shared" si="58"/>
        <v>0</v>
      </c>
      <c r="X184" s="20">
        <f t="shared" si="59"/>
        <v>0</v>
      </c>
      <c r="Y184" s="86">
        <f t="shared" si="60"/>
        <v>0</v>
      </c>
      <c r="Z184" s="619"/>
    </row>
    <row r="185" spans="2:26">
      <c r="B185" s="14">
        <f t="shared" si="61"/>
        <v>182</v>
      </c>
      <c r="C185" s="37" t="s">
        <v>625</v>
      </c>
      <c r="D185" s="40"/>
      <c r="E185" s="39"/>
      <c r="F185" s="37"/>
      <c r="G185" s="41" t="str">
        <f t="shared" si="62"/>
        <v/>
      </c>
      <c r="H185" s="615">
        <f t="shared" si="43"/>
        <v>0</v>
      </c>
      <c r="I185" s="615">
        <f t="shared" si="44"/>
        <v>0</v>
      </c>
      <c r="J185" s="12">
        <f t="shared" si="45"/>
        <v>0</v>
      </c>
      <c r="K185" s="12">
        <f t="shared" si="46"/>
        <v>0</v>
      </c>
      <c r="L185" s="12">
        <f t="shared" si="47"/>
        <v>0</v>
      </c>
      <c r="M185" s="12">
        <f t="shared" si="48"/>
        <v>0</v>
      </c>
      <c r="N185" s="26">
        <f t="shared" si="49"/>
        <v>0</v>
      </c>
      <c r="O185" s="26">
        <f t="shared" si="50"/>
        <v>0</v>
      </c>
      <c r="P185" s="26">
        <f t="shared" si="51"/>
        <v>0</v>
      </c>
      <c r="Q185" s="612">
        <f t="shared" si="52"/>
        <v>0</v>
      </c>
      <c r="R185" s="26">
        <f t="shared" si="53"/>
        <v>0</v>
      </c>
      <c r="S185" s="26">
        <f t="shared" si="54"/>
        <v>0</v>
      </c>
      <c r="T185" s="26">
        <f t="shared" si="55"/>
        <v>0</v>
      </c>
      <c r="U185" s="26">
        <f t="shared" si="56"/>
        <v>0</v>
      </c>
      <c r="V185" s="26">
        <f t="shared" si="57"/>
        <v>0</v>
      </c>
      <c r="W185" s="20">
        <f t="shared" si="58"/>
        <v>0</v>
      </c>
      <c r="X185" s="20">
        <f t="shared" si="59"/>
        <v>0</v>
      </c>
      <c r="Y185" s="86">
        <f t="shared" si="60"/>
        <v>0</v>
      </c>
      <c r="Z185" s="619"/>
    </row>
    <row r="186" spans="2:26">
      <c r="B186" s="14">
        <f t="shared" si="61"/>
        <v>183</v>
      </c>
      <c r="C186" s="37" t="s">
        <v>625</v>
      </c>
      <c r="D186" s="40"/>
      <c r="E186" s="39"/>
      <c r="F186" s="37"/>
      <c r="G186" s="41" t="str">
        <f t="shared" si="62"/>
        <v/>
      </c>
      <c r="H186" s="615">
        <f t="shared" si="43"/>
        <v>0</v>
      </c>
      <c r="I186" s="615">
        <f t="shared" si="44"/>
        <v>0</v>
      </c>
      <c r="J186" s="12">
        <f t="shared" si="45"/>
        <v>0</v>
      </c>
      <c r="K186" s="12">
        <f t="shared" si="46"/>
        <v>0</v>
      </c>
      <c r="L186" s="12">
        <f t="shared" si="47"/>
        <v>0</v>
      </c>
      <c r="M186" s="12">
        <f t="shared" si="48"/>
        <v>0</v>
      </c>
      <c r="N186" s="26">
        <f t="shared" si="49"/>
        <v>0</v>
      </c>
      <c r="O186" s="26">
        <f t="shared" si="50"/>
        <v>0</v>
      </c>
      <c r="P186" s="26">
        <f t="shared" si="51"/>
        <v>0</v>
      </c>
      <c r="Q186" s="612">
        <f t="shared" si="52"/>
        <v>0</v>
      </c>
      <c r="R186" s="26">
        <f t="shared" si="53"/>
        <v>0</v>
      </c>
      <c r="S186" s="26">
        <f t="shared" si="54"/>
        <v>0</v>
      </c>
      <c r="T186" s="26">
        <f t="shared" si="55"/>
        <v>0</v>
      </c>
      <c r="U186" s="26">
        <f t="shared" si="56"/>
        <v>0</v>
      </c>
      <c r="V186" s="26">
        <f t="shared" si="57"/>
        <v>0</v>
      </c>
      <c r="W186" s="20">
        <f t="shared" si="58"/>
        <v>0</v>
      </c>
      <c r="X186" s="20">
        <f t="shared" si="59"/>
        <v>0</v>
      </c>
      <c r="Y186" s="86">
        <f t="shared" si="60"/>
        <v>0</v>
      </c>
      <c r="Z186" s="619"/>
    </row>
    <row r="187" spans="2:26">
      <c r="B187" s="14">
        <f t="shared" si="61"/>
        <v>184</v>
      </c>
      <c r="C187" s="37" t="s">
        <v>625</v>
      </c>
      <c r="D187" s="40"/>
      <c r="E187" s="39"/>
      <c r="F187" s="37"/>
      <c r="G187" s="41" t="str">
        <f t="shared" si="62"/>
        <v/>
      </c>
      <c r="H187" s="615">
        <f t="shared" si="43"/>
        <v>0</v>
      </c>
      <c r="I187" s="615">
        <f t="shared" si="44"/>
        <v>0</v>
      </c>
      <c r="J187" s="12">
        <f t="shared" si="45"/>
        <v>0</v>
      </c>
      <c r="K187" s="12">
        <f t="shared" si="46"/>
        <v>0</v>
      </c>
      <c r="L187" s="12">
        <f t="shared" si="47"/>
        <v>0</v>
      </c>
      <c r="M187" s="12">
        <f t="shared" si="48"/>
        <v>0</v>
      </c>
      <c r="N187" s="26">
        <f t="shared" si="49"/>
        <v>0</v>
      </c>
      <c r="O187" s="26">
        <f t="shared" si="50"/>
        <v>0</v>
      </c>
      <c r="P187" s="26">
        <f t="shared" si="51"/>
        <v>0</v>
      </c>
      <c r="Q187" s="612">
        <f t="shared" si="52"/>
        <v>0</v>
      </c>
      <c r="R187" s="26">
        <f t="shared" si="53"/>
        <v>0</v>
      </c>
      <c r="S187" s="26">
        <f t="shared" si="54"/>
        <v>0</v>
      </c>
      <c r="T187" s="26">
        <f t="shared" si="55"/>
        <v>0</v>
      </c>
      <c r="U187" s="26">
        <f t="shared" si="56"/>
        <v>0</v>
      </c>
      <c r="V187" s="26">
        <f t="shared" si="57"/>
        <v>0</v>
      </c>
      <c r="W187" s="20">
        <f t="shared" si="58"/>
        <v>0</v>
      </c>
      <c r="X187" s="20">
        <f t="shared" si="59"/>
        <v>0</v>
      </c>
      <c r="Y187" s="86">
        <f t="shared" si="60"/>
        <v>0</v>
      </c>
      <c r="Z187" s="619"/>
    </row>
    <row r="188" spans="2:26">
      <c r="B188" s="14">
        <f t="shared" si="61"/>
        <v>185</v>
      </c>
      <c r="C188" s="37" t="s">
        <v>625</v>
      </c>
      <c r="D188" s="40"/>
      <c r="E188" s="39"/>
      <c r="F188" s="37"/>
      <c r="G188" s="41" t="str">
        <f t="shared" ref="G188:G219" si="63">IF(D188="","",+$G$2*D188)</f>
        <v/>
      </c>
      <c r="H188" s="615">
        <f t="shared" si="43"/>
        <v>0</v>
      </c>
      <c r="I188" s="615">
        <f t="shared" si="44"/>
        <v>0</v>
      </c>
      <c r="J188" s="12">
        <f t="shared" si="45"/>
        <v>0</v>
      </c>
      <c r="K188" s="12">
        <f t="shared" si="46"/>
        <v>0</v>
      </c>
      <c r="L188" s="12">
        <f t="shared" si="47"/>
        <v>0</v>
      </c>
      <c r="M188" s="12">
        <f t="shared" si="48"/>
        <v>0</v>
      </c>
      <c r="N188" s="26">
        <f t="shared" si="49"/>
        <v>0</v>
      </c>
      <c r="O188" s="26">
        <f t="shared" si="50"/>
        <v>0</v>
      </c>
      <c r="P188" s="26">
        <f t="shared" si="51"/>
        <v>0</v>
      </c>
      <c r="Q188" s="612">
        <f t="shared" si="52"/>
        <v>0</v>
      </c>
      <c r="R188" s="26">
        <f t="shared" si="53"/>
        <v>0</v>
      </c>
      <c r="S188" s="26">
        <f t="shared" si="54"/>
        <v>0</v>
      </c>
      <c r="T188" s="26">
        <f t="shared" si="55"/>
        <v>0</v>
      </c>
      <c r="U188" s="26">
        <f t="shared" si="56"/>
        <v>0</v>
      </c>
      <c r="V188" s="26">
        <f t="shared" si="57"/>
        <v>0</v>
      </c>
      <c r="W188" s="20">
        <f t="shared" si="58"/>
        <v>0</v>
      </c>
      <c r="X188" s="20">
        <f t="shared" si="59"/>
        <v>0</v>
      </c>
      <c r="Y188" s="86">
        <f t="shared" si="60"/>
        <v>0</v>
      </c>
      <c r="Z188" s="619"/>
    </row>
    <row r="189" spans="2:26">
      <c r="B189" s="14">
        <f t="shared" si="61"/>
        <v>186</v>
      </c>
      <c r="C189" s="37" t="s">
        <v>625</v>
      </c>
      <c r="D189" s="40"/>
      <c r="E189" s="39"/>
      <c r="F189" s="37"/>
      <c r="G189" s="41" t="str">
        <f t="shared" si="63"/>
        <v/>
      </c>
      <c r="H189" s="615">
        <f t="shared" si="43"/>
        <v>0</v>
      </c>
      <c r="I189" s="615">
        <f t="shared" si="44"/>
        <v>0</v>
      </c>
      <c r="J189" s="12">
        <f t="shared" si="45"/>
        <v>0</v>
      </c>
      <c r="K189" s="12">
        <f t="shared" si="46"/>
        <v>0</v>
      </c>
      <c r="L189" s="12">
        <f t="shared" si="47"/>
        <v>0</v>
      </c>
      <c r="M189" s="12">
        <f t="shared" si="48"/>
        <v>0</v>
      </c>
      <c r="N189" s="26">
        <f t="shared" si="49"/>
        <v>0</v>
      </c>
      <c r="O189" s="26">
        <f t="shared" si="50"/>
        <v>0</v>
      </c>
      <c r="P189" s="26">
        <f t="shared" si="51"/>
        <v>0</v>
      </c>
      <c r="Q189" s="612">
        <f t="shared" si="52"/>
        <v>0</v>
      </c>
      <c r="R189" s="26">
        <f t="shared" si="53"/>
        <v>0</v>
      </c>
      <c r="S189" s="26">
        <f t="shared" si="54"/>
        <v>0</v>
      </c>
      <c r="T189" s="26">
        <f t="shared" si="55"/>
        <v>0</v>
      </c>
      <c r="U189" s="26">
        <f t="shared" si="56"/>
        <v>0</v>
      </c>
      <c r="V189" s="26">
        <f t="shared" si="57"/>
        <v>0</v>
      </c>
      <c r="W189" s="20">
        <f t="shared" si="58"/>
        <v>0</v>
      </c>
      <c r="X189" s="20">
        <f t="shared" si="59"/>
        <v>0</v>
      </c>
      <c r="Y189" s="86">
        <f t="shared" si="60"/>
        <v>0</v>
      </c>
      <c r="Z189" s="619"/>
    </row>
    <row r="190" spans="2:26">
      <c r="B190" s="14">
        <f t="shared" si="61"/>
        <v>187</v>
      </c>
      <c r="C190" s="37" t="s">
        <v>625</v>
      </c>
      <c r="D190" s="40"/>
      <c r="E190" s="39"/>
      <c r="F190" s="37"/>
      <c r="G190" s="41" t="str">
        <f t="shared" si="63"/>
        <v/>
      </c>
      <c r="H190" s="615">
        <f t="shared" si="43"/>
        <v>0</v>
      </c>
      <c r="I190" s="615">
        <f t="shared" si="44"/>
        <v>0</v>
      </c>
      <c r="J190" s="12">
        <f t="shared" si="45"/>
        <v>0</v>
      </c>
      <c r="K190" s="12">
        <f t="shared" si="46"/>
        <v>0</v>
      </c>
      <c r="L190" s="12">
        <f t="shared" si="47"/>
        <v>0</v>
      </c>
      <c r="M190" s="12">
        <f t="shared" si="48"/>
        <v>0</v>
      </c>
      <c r="N190" s="26">
        <f t="shared" si="49"/>
        <v>0</v>
      </c>
      <c r="O190" s="26">
        <f t="shared" si="50"/>
        <v>0</v>
      </c>
      <c r="P190" s="26">
        <f t="shared" si="51"/>
        <v>0</v>
      </c>
      <c r="Q190" s="612">
        <f t="shared" si="52"/>
        <v>0</v>
      </c>
      <c r="R190" s="26">
        <f t="shared" si="53"/>
        <v>0</v>
      </c>
      <c r="S190" s="26">
        <f t="shared" si="54"/>
        <v>0</v>
      </c>
      <c r="T190" s="26">
        <f t="shared" si="55"/>
        <v>0</v>
      </c>
      <c r="U190" s="26">
        <f t="shared" si="56"/>
        <v>0</v>
      </c>
      <c r="V190" s="26">
        <f t="shared" si="57"/>
        <v>0</v>
      </c>
      <c r="W190" s="20">
        <f t="shared" si="58"/>
        <v>0</v>
      </c>
      <c r="X190" s="20">
        <f t="shared" si="59"/>
        <v>0</v>
      </c>
      <c r="Y190" s="86">
        <f t="shared" si="60"/>
        <v>0</v>
      </c>
      <c r="Z190" s="619"/>
    </row>
    <row r="191" spans="2:26">
      <c r="B191" s="14">
        <f t="shared" si="61"/>
        <v>188</v>
      </c>
      <c r="C191" s="37" t="s">
        <v>625</v>
      </c>
      <c r="D191" s="40"/>
      <c r="E191" s="39"/>
      <c r="F191" s="37"/>
      <c r="G191" s="41" t="str">
        <f t="shared" si="63"/>
        <v/>
      </c>
      <c r="H191" s="615">
        <f t="shared" si="43"/>
        <v>0</v>
      </c>
      <c r="I191" s="615">
        <f t="shared" si="44"/>
        <v>0</v>
      </c>
      <c r="J191" s="12">
        <f t="shared" si="45"/>
        <v>0</v>
      </c>
      <c r="K191" s="12">
        <f t="shared" si="46"/>
        <v>0</v>
      </c>
      <c r="L191" s="12">
        <f t="shared" si="47"/>
        <v>0</v>
      </c>
      <c r="M191" s="12">
        <f t="shared" si="48"/>
        <v>0</v>
      </c>
      <c r="N191" s="26">
        <f t="shared" si="49"/>
        <v>0</v>
      </c>
      <c r="O191" s="26">
        <f t="shared" si="50"/>
        <v>0</v>
      </c>
      <c r="P191" s="26">
        <f t="shared" si="51"/>
        <v>0</v>
      </c>
      <c r="Q191" s="612">
        <f t="shared" si="52"/>
        <v>0</v>
      </c>
      <c r="R191" s="26">
        <f t="shared" si="53"/>
        <v>0</v>
      </c>
      <c r="S191" s="26">
        <f t="shared" si="54"/>
        <v>0</v>
      </c>
      <c r="T191" s="26">
        <f t="shared" si="55"/>
        <v>0</v>
      </c>
      <c r="U191" s="26">
        <f t="shared" si="56"/>
        <v>0</v>
      </c>
      <c r="V191" s="26">
        <f t="shared" si="57"/>
        <v>0</v>
      </c>
      <c r="W191" s="20">
        <f t="shared" si="58"/>
        <v>0</v>
      </c>
      <c r="X191" s="20">
        <f t="shared" si="59"/>
        <v>0</v>
      </c>
      <c r="Y191" s="86">
        <f t="shared" si="60"/>
        <v>0</v>
      </c>
      <c r="Z191" s="619"/>
    </row>
    <row r="192" spans="2:26">
      <c r="B192" s="14">
        <f t="shared" si="61"/>
        <v>189</v>
      </c>
      <c r="C192" s="37" t="s">
        <v>625</v>
      </c>
      <c r="D192" s="40"/>
      <c r="E192" s="39"/>
      <c r="F192" s="37"/>
      <c r="G192" s="41" t="str">
        <f t="shared" si="63"/>
        <v/>
      </c>
      <c r="H192" s="615">
        <f t="shared" si="43"/>
        <v>0</v>
      </c>
      <c r="I192" s="615">
        <f t="shared" si="44"/>
        <v>0</v>
      </c>
      <c r="J192" s="12">
        <f t="shared" si="45"/>
        <v>0</v>
      </c>
      <c r="K192" s="12">
        <f t="shared" si="46"/>
        <v>0</v>
      </c>
      <c r="L192" s="12">
        <f t="shared" si="47"/>
        <v>0</v>
      </c>
      <c r="M192" s="12">
        <f t="shared" si="48"/>
        <v>0</v>
      </c>
      <c r="N192" s="26">
        <f t="shared" si="49"/>
        <v>0</v>
      </c>
      <c r="O192" s="26">
        <f t="shared" si="50"/>
        <v>0</v>
      </c>
      <c r="P192" s="26">
        <f t="shared" si="51"/>
        <v>0</v>
      </c>
      <c r="Q192" s="612">
        <f t="shared" si="52"/>
        <v>0</v>
      </c>
      <c r="R192" s="26">
        <f t="shared" si="53"/>
        <v>0</v>
      </c>
      <c r="S192" s="26">
        <f t="shared" si="54"/>
        <v>0</v>
      </c>
      <c r="T192" s="26">
        <f t="shared" si="55"/>
        <v>0</v>
      </c>
      <c r="U192" s="26">
        <f t="shared" si="56"/>
        <v>0</v>
      </c>
      <c r="V192" s="26">
        <f t="shared" si="57"/>
        <v>0</v>
      </c>
      <c r="W192" s="20">
        <f t="shared" si="58"/>
        <v>0</v>
      </c>
      <c r="X192" s="20">
        <f t="shared" si="59"/>
        <v>0</v>
      </c>
      <c r="Y192" s="86">
        <f t="shared" si="60"/>
        <v>0</v>
      </c>
      <c r="Z192" s="619"/>
    </row>
    <row r="193" spans="2:26">
      <c r="B193" s="14">
        <f t="shared" si="61"/>
        <v>190</v>
      </c>
      <c r="C193" s="37" t="s">
        <v>625</v>
      </c>
      <c r="D193" s="40"/>
      <c r="E193" s="39"/>
      <c r="F193" s="37"/>
      <c r="G193" s="41" t="str">
        <f t="shared" si="63"/>
        <v/>
      </c>
      <c r="H193" s="615">
        <f t="shared" si="43"/>
        <v>0</v>
      </c>
      <c r="I193" s="615">
        <f t="shared" si="44"/>
        <v>0</v>
      </c>
      <c r="J193" s="12">
        <f t="shared" si="45"/>
        <v>0</v>
      </c>
      <c r="K193" s="12">
        <f t="shared" si="46"/>
        <v>0</v>
      </c>
      <c r="L193" s="12">
        <f t="shared" si="47"/>
        <v>0</v>
      </c>
      <c r="M193" s="12">
        <f t="shared" si="48"/>
        <v>0</v>
      </c>
      <c r="N193" s="26">
        <f t="shared" si="49"/>
        <v>0</v>
      </c>
      <c r="O193" s="26">
        <f t="shared" si="50"/>
        <v>0</v>
      </c>
      <c r="P193" s="26">
        <f t="shared" si="51"/>
        <v>0</v>
      </c>
      <c r="Q193" s="612">
        <f t="shared" si="52"/>
        <v>0</v>
      </c>
      <c r="R193" s="26">
        <f t="shared" si="53"/>
        <v>0</v>
      </c>
      <c r="S193" s="26">
        <f t="shared" si="54"/>
        <v>0</v>
      </c>
      <c r="T193" s="26">
        <f t="shared" si="55"/>
        <v>0</v>
      </c>
      <c r="U193" s="26">
        <f t="shared" si="56"/>
        <v>0</v>
      </c>
      <c r="V193" s="26">
        <f t="shared" si="57"/>
        <v>0</v>
      </c>
      <c r="W193" s="20">
        <f t="shared" si="58"/>
        <v>0</v>
      </c>
      <c r="X193" s="20">
        <f t="shared" si="59"/>
        <v>0</v>
      </c>
      <c r="Y193" s="86">
        <f t="shared" si="60"/>
        <v>0</v>
      </c>
      <c r="Z193" s="619"/>
    </row>
    <row r="194" spans="2:26">
      <c r="B194" s="14">
        <f t="shared" si="61"/>
        <v>191</v>
      </c>
      <c r="C194" s="37" t="s">
        <v>625</v>
      </c>
      <c r="D194" s="40"/>
      <c r="E194" s="39"/>
      <c r="F194" s="37"/>
      <c r="G194" s="41" t="str">
        <f t="shared" si="63"/>
        <v/>
      </c>
      <c r="H194" s="615">
        <f t="shared" si="43"/>
        <v>0</v>
      </c>
      <c r="I194" s="615">
        <f t="shared" si="44"/>
        <v>0</v>
      </c>
      <c r="J194" s="12">
        <f t="shared" si="45"/>
        <v>0</v>
      </c>
      <c r="K194" s="12">
        <f t="shared" si="46"/>
        <v>0</v>
      </c>
      <c r="L194" s="12">
        <f t="shared" si="47"/>
        <v>0</v>
      </c>
      <c r="M194" s="12">
        <f t="shared" si="48"/>
        <v>0</v>
      </c>
      <c r="N194" s="26">
        <f t="shared" si="49"/>
        <v>0</v>
      </c>
      <c r="O194" s="26">
        <f t="shared" si="50"/>
        <v>0</v>
      </c>
      <c r="P194" s="26">
        <f t="shared" si="51"/>
        <v>0</v>
      </c>
      <c r="Q194" s="612">
        <f t="shared" si="52"/>
        <v>0</v>
      </c>
      <c r="R194" s="26">
        <f t="shared" si="53"/>
        <v>0</v>
      </c>
      <c r="S194" s="26">
        <f t="shared" si="54"/>
        <v>0</v>
      </c>
      <c r="T194" s="26">
        <f t="shared" si="55"/>
        <v>0</v>
      </c>
      <c r="U194" s="26">
        <f t="shared" si="56"/>
        <v>0</v>
      </c>
      <c r="V194" s="26">
        <f t="shared" si="57"/>
        <v>0</v>
      </c>
      <c r="W194" s="20">
        <f t="shared" si="58"/>
        <v>0</v>
      </c>
      <c r="X194" s="20">
        <f t="shared" si="59"/>
        <v>0</v>
      </c>
      <c r="Y194" s="86">
        <f t="shared" si="60"/>
        <v>0</v>
      </c>
      <c r="Z194" s="619"/>
    </row>
    <row r="195" spans="2:26">
      <c r="B195" s="14">
        <f t="shared" si="61"/>
        <v>192</v>
      </c>
      <c r="C195" s="37" t="s">
        <v>625</v>
      </c>
      <c r="D195" s="40"/>
      <c r="E195" s="39"/>
      <c r="F195" s="37"/>
      <c r="G195" s="41" t="str">
        <f t="shared" si="63"/>
        <v/>
      </c>
      <c r="H195" s="615">
        <f t="shared" si="43"/>
        <v>0</v>
      </c>
      <c r="I195" s="615">
        <f t="shared" si="44"/>
        <v>0</v>
      </c>
      <c r="J195" s="12">
        <f t="shared" si="45"/>
        <v>0</v>
      </c>
      <c r="K195" s="12">
        <f t="shared" si="46"/>
        <v>0</v>
      </c>
      <c r="L195" s="12">
        <f t="shared" si="47"/>
        <v>0</v>
      </c>
      <c r="M195" s="12">
        <f t="shared" si="48"/>
        <v>0</v>
      </c>
      <c r="N195" s="26">
        <f t="shared" si="49"/>
        <v>0</v>
      </c>
      <c r="O195" s="26">
        <f t="shared" si="50"/>
        <v>0</v>
      </c>
      <c r="P195" s="26">
        <f t="shared" si="51"/>
        <v>0</v>
      </c>
      <c r="Q195" s="612">
        <f t="shared" si="52"/>
        <v>0</v>
      </c>
      <c r="R195" s="26">
        <f t="shared" si="53"/>
        <v>0</v>
      </c>
      <c r="S195" s="26">
        <f t="shared" si="54"/>
        <v>0</v>
      </c>
      <c r="T195" s="26">
        <f t="shared" si="55"/>
        <v>0</v>
      </c>
      <c r="U195" s="26">
        <f t="shared" si="56"/>
        <v>0</v>
      </c>
      <c r="V195" s="26">
        <f t="shared" si="57"/>
        <v>0</v>
      </c>
      <c r="W195" s="20">
        <f t="shared" si="58"/>
        <v>0</v>
      </c>
      <c r="X195" s="20">
        <f t="shared" si="59"/>
        <v>0</v>
      </c>
      <c r="Y195" s="86">
        <f t="shared" si="60"/>
        <v>0</v>
      </c>
      <c r="Z195" s="619"/>
    </row>
    <row r="196" spans="2:26">
      <c r="B196" s="14">
        <f t="shared" si="61"/>
        <v>193</v>
      </c>
      <c r="C196" s="37" t="s">
        <v>625</v>
      </c>
      <c r="D196" s="40"/>
      <c r="E196" s="39"/>
      <c r="F196" s="37"/>
      <c r="G196" s="41" t="str">
        <f t="shared" si="63"/>
        <v/>
      </c>
      <c r="H196" s="615">
        <f t="shared" ref="H196:H226" si="64">IF(D196="",0,IF(ISERROR(FIND("*",E196)),0,(LEFT($E196,FIND("*",$E196)-1)+4)))</f>
        <v>0</v>
      </c>
      <c r="I196" s="615">
        <f t="shared" ref="I196:I226" si="65">IF(D196="",0,IF(ISERROR(FIND("*",E196)),0,(RIGHT($E196,LEN($E196)-FIND("*",$E196)))+4))</f>
        <v>0</v>
      </c>
      <c r="J196" s="12">
        <f t="shared" ref="J196:J226" si="66">IF(D196="",0,(H196+I196)*2*12/144)</f>
        <v>0</v>
      </c>
      <c r="K196" s="12">
        <f t="shared" ref="K196:K226" si="67">IF(E196="",0,J196*G196)</f>
        <v>0</v>
      </c>
      <c r="L196" s="12">
        <f t="shared" ref="L196:L226" si="68">IF(D196="",0,K196*(1+$L$2))</f>
        <v>0</v>
      </c>
      <c r="M196" s="12">
        <f t="shared" ref="M196:M226" si="69">IF(E196="",0,L196/40)</f>
        <v>0</v>
      </c>
      <c r="N196" s="26">
        <f t="shared" ref="N196:N226" si="70">IF(E196="",0,M196*$AC$4)</f>
        <v>0</v>
      </c>
      <c r="O196" s="26">
        <f t="shared" ref="O196:O226" si="71">M196*($AC$9/$AC$6+$AC$9/$AC$5+$AC$9/$AC$7)</f>
        <v>0</v>
      </c>
      <c r="P196" s="26">
        <f t="shared" ref="P196:P226" si="72">M196*($AC$9/$AC$8)</f>
        <v>0</v>
      </c>
      <c r="Q196" s="612">
        <f t="shared" ref="Q196:Q226" si="73">IF(D196="",0,IF(ISERROR(FIND("*",E196)),INDEX($AG$4:$AG$14,MATCH(E196,$AF$4:$AF$14,0),1)*G196,0))</f>
        <v>0</v>
      </c>
      <c r="R196" s="26">
        <f t="shared" ref="R196:R226" si="74">IF(Q196=0,0,(G196*$AC$11+$AC$10)*$AC$9)</f>
        <v>0</v>
      </c>
      <c r="S196" s="26">
        <f t="shared" ref="S196:S226" si="75">IF($D196&gt;0,IF($F196="x",IF($H196&gt;0,$AK$4,IF($E196&gt;0,INDEX($AJ$4:$AJ$17,MATCH($E196,$AF$4:$AF$17,0),1),0)),0),0)</f>
        <v>0</v>
      </c>
      <c r="T196" s="26">
        <f t="shared" ref="T196:T226" si="76">IF($D196&gt;0,IF($H196&gt;0,0,IF($E196&gt;0,INDEX($AH$4:$AH$17,MATCH($E196,$AF$4:$AF$17,0),1)*2,0)),0)</f>
        <v>0</v>
      </c>
      <c r="U196" s="26">
        <f t="shared" ref="U196:U226" si="77">IF($D196&gt;0,IF($H196&gt;0,0,IF($E196&gt;0,INDEX($AI$4:$AI$17,MATCH($E196,$AF$4:$AF$17,0),1),0)),0)</f>
        <v>0</v>
      </c>
      <c r="V196" s="26">
        <f t="shared" ref="V196:V226" si="78">(N196+Q196+S196+T196+U196)*($V$2)</f>
        <v>0</v>
      </c>
      <c r="W196" s="20">
        <f t="shared" ref="W196:W226" si="79">N196+Q196+S196+T196+U196+V196</f>
        <v>0</v>
      </c>
      <c r="X196" s="20">
        <f t="shared" ref="X196:X226" si="80">R196+O196+P196</f>
        <v>0</v>
      </c>
      <c r="Y196" s="86">
        <f t="shared" ref="Y196:Y226" si="81">IFERROR(W196+X196,"")</f>
        <v>0</v>
      </c>
      <c r="Z196" s="619"/>
    </row>
    <row r="197" spans="2:26">
      <c r="B197" s="14">
        <f t="shared" ref="B197:B226" si="82">1+B196</f>
        <v>194</v>
      </c>
      <c r="C197" s="37" t="s">
        <v>625</v>
      </c>
      <c r="D197" s="40"/>
      <c r="E197" s="39"/>
      <c r="F197" s="37"/>
      <c r="G197" s="41" t="str">
        <f t="shared" si="63"/>
        <v/>
      </c>
      <c r="H197" s="615">
        <f t="shared" si="64"/>
        <v>0</v>
      </c>
      <c r="I197" s="615">
        <f t="shared" si="65"/>
        <v>0</v>
      </c>
      <c r="J197" s="12">
        <f t="shared" si="66"/>
        <v>0</v>
      </c>
      <c r="K197" s="12">
        <f t="shared" si="67"/>
        <v>0</v>
      </c>
      <c r="L197" s="12">
        <f t="shared" si="68"/>
        <v>0</v>
      </c>
      <c r="M197" s="12">
        <f t="shared" si="69"/>
        <v>0</v>
      </c>
      <c r="N197" s="26">
        <f t="shared" si="70"/>
        <v>0</v>
      </c>
      <c r="O197" s="26">
        <f t="shared" si="71"/>
        <v>0</v>
      </c>
      <c r="P197" s="26">
        <f t="shared" si="72"/>
        <v>0</v>
      </c>
      <c r="Q197" s="612">
        <f t="shared" si="73"/>
        <v>0</v>
      </c>
      <c r="R197" s="26">
        <f t="shared" si="74"/>
        <v>0</v>
      </c>
      <c r="S197" s="26">
        <f t="shared" si="75"/>
        <v>0</v>
      </c>
      <c r="T197" s="26">
        <f t="shared" si="76"/>
        <v>0</v>
      </c>
      <c r="U197" s="26">
        <f t="shared" si="77"/>
        <v>0</v>
      </c>
      <c r="V197" s="26">
        <f t="shared" si="78"/>
        <v>0</v>
      </c>
      <c r="W197" s="20">
        <f t="shared" si="79"/>
        <v>0</v>
      </c>
      <c r="X197" s="20">
        <f t="shared" si="80"/>
        <v>0</v>
      </c>
      <c r="Y197" s="86">
        <f t="shared" si="81"/>
        <v>0</v>
      </c>
      <c r="Z197" s="619"/>
    </row>
    <row r="198" spans="2:26">
      <c r="B198" s="14">
        <f t="shared" si="82"/>
        <v>195</v>
      </c>
      <c r="C198" s="37" t="s">
        <v>625</v>
      </c>
      <c r="D198" s="40"/>
      <c r="E198" s="39"/>
      <c r="F198" s="37"/>
      <c r="G198" s="41" t="str">
        <f t="shared" si="63"/>
        <v/>
      </c>
      <c r="H198" s="615">
        <f t="shared" si="64"/>
        <v>0</v>
      </c>
      <c r="I198" s="615">
        <f t="shared" si="65"/>
        <v>0</v>
      </c>
      <c r="J198" s="12">
        <f t="shared" si="66"/>
        <v>0</v>
      </c>
      <c r="K198" s="12">
        <f t="shared" si="67"/>
        <v>0</v>
      </c>
      <c r="L198" s="12">
        <f t="shared" si="68"/>
        <v>0</v>
      </c>
      <c r="M198" s="12">
        <f t="shared" si="69"/>
        <v>0</v>
      </c>
      <c r="N198" s="26">
        <f t="shared" si="70"/>
        <v>0</v>
      </c>
      <c r="O198" s="26">
        <f t="shared" si="71"/>
        <v>0</v>
      </c>
      <c r="P198" s="26">
        <f t="shared" si="72"/>
        <v>0</v>
      </c>
      <c r="Q198" s="612">
        <f t="shared" si="73"/>
        <v>0</v>
      </c>
      <c r="R198" s="26">
        <f t="shared" si="74"/>
        <v>0</v>
      </c>
      <c r="S198" s="26">
        <f t="shared" si="75"/>
        <v>0</v>
      </c>
      <c r="T198" s="26">
        <f t="shared" si="76"/>
        <v>0</v>
      </c>
      <c r="U198" s="26">
        <f t="shared" si="77"/>
        <v>0</v>
      </c>
      <c r="V198" s="26">
        <f t="shared" si="78"/>
        <v>0</v>
      </c>
      <c r="W198" s="20">
        <f t="shared" si="79"/>
        <v>0</v>
      </c>
      <c r="X198" s="20">
        <f t="shared" si="80"/>
        <v>0</v>
      </c>
      <c r="Y198" s="86">
        <f t="shared" si="81"/>
        <v>0</v>
      </c>
      <c r="Z198" s="619"/>
    </row>
    <row r="199" spans="2:26">
      <c r="B199" s="14">
        <f t="shared" si="82"/>
        <v>196</v>
      </c>
      <c r="C199" s="37" t="s">
        <v>625</v>
      </c>
      <c r="D199" s="40"/>
      <c r="E199" s="39"/>
      <c r="F199" s="37"/>
      <c r="G199" s="41" t="str">
        <f t="shared" si="63"/>
        <v/>
      </c>
      <c r="H199" s="615">
        <f t="shared" si="64"/>
        <v>0</v>
      </c>
      <c r="I199" s="615">
        <f t="shared" si="65"/>
        <v>0</v>
      </c>
      <c r="J199" s="12">
        <f t="shared" si="66"/>
        <v>0</v>
      </c>
      <c r="K199" s="12">
        <f t="shared" si="67"/>
        <v>0</v>
      </c>
      <c r="L199" s="12">
        <f t="shared" si="68"/>
        <v>0</v>
      </c>
      <c r="M199" s="12">
        <f t="shared" si="69"/>
        <v>0</v>
      </c>
      <c r="N199" s="26">
        <f t="shared" si="70"/>
        <v>0</v>
      </c>
      <c r="O199" s="26">
        <f t="shared" si="71"/>
        <v>0</v>
      </c>
      <c r="P199" s="26">
        <f t="shared" si="72"/>
        <v>0</v>
      </c>
      <c r="Q199" s="612">
        <f t="shared" si="73"/>
        <v>0</v>
      </c>
      <c r="R199" s="26">
        <f t="shared" si="74"/>
        <v>0</v>
      </c>
      <c r="S199" s="26">
        <f t="shared" si="75"/>
        <v>0</v>
      </c>
      <c r="T199" s="26">
        <f t="shared" si="76"/>
        <v>0</v>
      </c>
      <c r="U199" s="26">
        <f t="shared" si="77"/>
        <v>0</v>
      </c>
      <c r="V199" s="26">
        <f t="shared" si="78"/>
        <v>0</v>
      </c>
      <c r="W199" s="20">
        <f t="shared" si="79"/>
        <v>0</v>
      </c>
      <c r="X199" s="20">
        <f t="shared" si="80"/>
        <v>0</v>
      </c>
      <c r="Y199" s="86">
        <f t="shared" si="81"/>
        <v>0</v>
      </c>
      <c r="Z199" s="619"/>
    </row>
    <row r="200" spans="2:26">
      <c r="B200" s="14">
        <f t="shared" si="82"/>
        <v>197</v>
      </c>
      <c r="C200" s="37" t="s">
        <v>625</v>
      </c>
      <c r="D200" s="40"/>
      <c r="E200" s="39"/>
      <c r="F200" s="37"/>
      <c r="G200" s="41" t="str">
        <f t="shared" si="63"/>
        <v/>
      </c>
      <c r="H200" s="615">
        <f t="shared" si="64"/>
        <v>0</v>
      </c>
      <c r="I200" s="615">
        <f t="shared" si="65"/>
        <v>0</v>
      </c>
      <c r="J200" s="12">
        <f t="shared" si="66"/>
        <v>0</v>
      </c>
      <c r="K200" s="12">
        <f t="shared" si="67"/>
        <v>0</v>
      </c>
      <c r="L200" s="12">
        <f t="shared" si="68"/>
        <v>0</v>
      </c>
      <c r="M200" s="12">
        <f t="shared" si="69"/>
        <v>0</v>
      </c>
      <c r="N200" s="26">
        <f t="shared" si="70"/>
        <v>0</v>
      </c>
      <c r="O200" s="26">
        <f t="shared" si="71"/>
        <v>0</v>
      </c>
      <c r="P200" s="26">
        <f t="shared" si="72"/>
        <v>0</v>
      </c>
      <c r="Q200" s="612">
        <f t="shared" si="73"/>
        <v>0</v>
      </c>
      <c r="R200" s="26">
        <f t="shared" si="74"/>
        <v>0</v>
      </c>
      <c r="S200" s="26">
        <f t="shared" si="75"/>
        <v>0</v>
      </c>
      <c r="T200" s="26">
        <f t="shared" si="76"/>
        <v>0</v>
      </c>
      <c r="U200" s="26">
        <f t="shared" si="77"/>
        <v>0</v>
      </c>
      <c r="V200" s="26">
        <f t="shared" si="78"/>
        <v>0</v>
      </c>
      <c r="W200" s="20">
        <f t="shared" si="79"/>
        <v>0</v>
      </c>
      <c r="X200" s="20">
        <f t="shared" si="80"/>
        <v>0</v>
      </c>
      <c r="Y200" s="86">
        <f t="shared" si="81"/>
        <v>0</v>
      </c>
      <c r="Z200" s="619"/>
    </row>
    <row r="201" spans="2:26">
      <c r="B201" s="14">
        <f t="shared" si="82"/>
        <v>198</v>
      </c>
      <c r="C201" s="37" t="s">
        <v>625</v>
      </c>
      <c r="D201" s="40"/>
      <c r="E201" s="39"/>
      <c r="F201" s="37"/>
      <c r="G201" s="41" t="str">
        <f t="shared" si="63"/>
        <v/>
      </c>
      <c r="H201" s="615">
        <f t="shared" si="64"/>
        <v>0</v>
      </c>
      <c r="I201" s="615">
        <f t="shared" si="65"/>
        <v>0</v>
      </c>
      <c r="J201" s="12">
        <f t="shared" si="66"/>
        <v>0</v>
      </c>
      <c r="K201" s="12">
        <f t="shared" si="67"/>
        <v>0</v>
      </c>
      <c r="L201" s="12">
        <f t="shared" si="68"/>
        <v>0</v>
      </c>
      <c r="M201" s="12">
        <f t="shared" si="69"/>
        <v>0</v>
      </c>
      <c r="N201" s="26">
        <f t="shared" si="70"/>
        <v>0</v>
      </c>
      <c r="O201" s="26">
        <f t="shared" si="71"/>
        <v>0</v>
      </c>
      <c r="P201" s="26">
        <f t="shared" si="72"/>
        <v>0</v>
      </c>
      <c r="Q201" s="612">
        <f t="shared" si="73"/>
        <v>0</v>
      </c>
      <c r="R201" s="26">
        <f t="shared" si="74"/>
        <v>0</v>
      </c>
      <c r="S201" s="26">
        <f t="shared" si="75"/>
        <v>0</v>
      </c>
      <c r="T201" s="26">
        <f t="shared" si="76"/>
        <v>0</v>
      </c>
      <c r="U201" s="26">
        <f t="shared" si="77"/>
        <v>0</v>
      </c>
      <c r="V201" s="26">
        <f t="shared" si="78"/>
        <v>0</v>
      </c>
      <c r="W201" s="20">
        <f t="shared" si="79"/>
        <v>0</v>
      </c>
      <c r="X201" s="20">
        <f t="shared" si="80"/>
        <v>0</v>
      </c>
      <c r="Y201" s="86">
        <f t="shared" si="81"/>
        <v>0</v>
      </c>
      <c r="Z201" s="619"/>
    </row>
    <row r="202" spans="2:26">
      <c r="B202" s="14">
        <f t="shared" si="82"/>
        <v>199</v>
      </c>
      <c r="C202" s="37" t="s">
        <v>625</v>
      </c>
      <c r="D202" s="40"/>
      <c r="E202" s="39"/>
      <c r="F202" s="37"/>
      <c r="G202" s="41" t="str">
        <f t="shared" si="63"/>
        <v/>
      </c>
      <c r="H202" s="615">
        <f t="shared" si="64"/>
        <v>0</v>
      </c>
      <c r="I202" s="615">
        <f t="shared" si="65"/>
        <v>0</v>
      </c>
      <c r="J202" s="12">
        <f t="shared" si="66"/>
        <v>0</v>
      </c>
      <c r="K202" s="12">
        <f t="shared" si="67"/>
        <v>0</v>
      </c>
      <c r="L202" s="12">
        <f t="shared" si="68"/>
        <v>0</v>
      </c>
      <c r="M202" s="12">
        <f t="shared" si="69"/>
        <v>0</v>
      </c>
      <c r="N202" s="26">
        <f t="shared" si="70"/>
        <v>0</v>
      </c>
      <c r="O202" s="26">
        <f t="shared" si="71"/>
        <v>0</v>
      </c>
      <c r="P202" s="26">
        <f t="shared" si="72"/>
        <v>0</v>
      </c>
      <c r="Q202" s="612">
        <f t="shared" si="73"/>
        <v>0</v>
      </c>
      <c r="R202" s="26">
        <f t="shared" si="74"/>
        <v>0</v>
      </c>
      <c r="S202" s="26">
        <f t="shared" si="75"/>
        <v>0</v>
      </c>
      <c r="T202" s="26">
        <f t="shared" si="76"/>
        <v>0</v>
      </c>
      <c r="U202" s="26">
        <f t="shared" si="77"/>
        <v>0</v>
      </c>
      <c r="V202" s="26">
        <f t="shared" si="78"/>
        <v>0</v>
      </c>
      <c r="W202" s="20">
        <f t="shared" si="79"/>
        <v>0</v>
      </c>
      <c r="X202" s="20">
        <f t="shared" si="80"/>
        <v>0</v>
      </c>
      <c r="Y202" s="86">
        <f t="shared" si="81"/>
        <v>0</v>
      </c>
      <c r="Z202" s="619"/>
    </row>
    <row r="203" spans="2:26">
      <c r="B203" s="14">
        <f t="shared" si="82"/>
        <v>200</v>
      </c>
      <c r="C203" s="37" t="s">
        <v>625</v>
      </c>
      <c r="D203" s="40"/>
      <c r="E203" s="39"/>
      <c r="F203" s="37"/>
      <c r="G203" s="41" t="str">
        <f t="shared" si="63"/>
        <v/>
      </c>
      <c r="H203" s="615">
        <f t="shared" si="64"/>
        <v>0</v>
      </c>
      <c r="I203" s="615">
        <f t="shared" si="65"/>
        <v>0</v>
      </c>
      <c r="J203" s="12">
        <f t="shared" si="66"/>
        <v>0</v>
      </c>
      <c r="K203" s="12">
        <f t="shared" si="67"/>
        <v>0</v>
      </c>
      <c r="L203" s="12">
        <f t="shared" si="68"/>
        <v>0</v>
      </c>
      <c r="M203" s="12">
        <f t="shared" si="69"/>
        <v>0</v>
      </c>
      <c r="N203" s="26">
        <f t="shared" si="70"/>
        <v>0</v>
      </c>
      <c r="O203" s="26">
        <f t="shared" si="71"/>
        <v>0</v>
      </c>
      <c r="P203" s="26">
        <f t="shared" si="72"/>
        <v>0</v>
      </c>
      <c r="Q203" s="612">
        <f t="shared" si="73"/>
        <v>0</v>
      </c>
      <c r="R203" s="26">
        <f t="shared" si="74"/>
        <v>0</v>
      </c>
      <c r="S203" s="26">
        <f t="shared" si="75"/>
        <v>0</v>
      </c>
      <c r="T203" s="26">
        <f t="shared" si="76"/>
        <v>0</v>
      </c>
      <c r="U203" s="26">
        <f t="shared" si="77"/>
        <v>0</v>
      </c>
      <c r="V203" s="26">
        <f t="shared" si="78"/>
        <v>0</v>
      </c>
      <c r="W203" s="20">
        <f t="shared" si="79"/>
        <v>0</v>
      </c>
      <c r="X203" s="20">
        <f t="shared" si="80"/>
        <v>0</v>
      </c>
      <c r="Y203" s="86">
        <f t="shared" si="81"/>
        <v>0</v>
      </c>
      <c r="Z203" s="619"/>
    </row>
    <row r="204" spans="2:26">
      <c r="B204" s="14">
        <f t="shared" si="82"/>
        <v>201</v>
      </c>
      <c r="C204" s="37" t="s">
        <v>625</v>
      </c>
      <c r="D204" s="40"/>
      <c r="E204" s="39"/>
      <c r="F204" s="37"/>
      <c r="G204" s="41" t="str">
        <f t="shared" si="63"/>
        <v/>
      </c>
      <c r="H204" s="615">
        <f t="shared" si="64"/>
        <v>0</v>
      </c>
      <c r="I204" s="615">
        <f t="shared" si="65"/>
        <v>0</v>
      </c>
      <c r="J204" s="12">
        <f t="shared" si="66"/>
        <v>0</v>
      </c>
      <c r="K204" s="12">
        <f t="shared" si="67"/>
        <v>0</v>
      </c>
      <c r="L204" s="12">
        <f t="shared" si="68"/>
        <v>0</v>
      </c>
      <c r="M204" s="12">
        <f t="shared" si="69"/>
        <v>0</v>
      </c>
      <c r="N204" s="26">
        <f t="shared" si="70"/>
        <v>0</v>
      </c>
      <c r="O204" s="26">
        <f t="shared" si="71"/>
        <v>0</v>
      </c>
      <c r="P204" s="26">
        <f t="shared" si="72"/>
        <v>0</v>
      </c>
      <c r="Q204" s="612">
        <f t="shared" si="73"/>
        <v>0</v>
      </c>
      <c r="R204" s="26">
        <f t="shared" si="74"/>
        <v>0</v>
      </c>
      <c r="S204" s="26">
        <f t="shared" si="75"/>
        <v>0</v>
      </c>
      <c r="T204" s="26">
        <f t="shared" si="76"/>
        <v>0</v>
      </c>
      <c r="U204" s="26">
        <f t="shared" si="77"/>
        <v>0</v>
      </c>
      <c r="V204" s="26">
        <f t="shared" si="78"/>
        <v>0</v>
      </c>
      <c r="W204" s="20">
        <f t="shared" si="79"/>
        <v>0</v>
      </c>
      <c r="X204" s="20">
        <f t="shared" si="80"/>
        <v>0</v>
      </c>
      <c r="Y204" s="86">
        <f t="shared" si="81"/>
        <v>0</v>
      </c>
      <c r="Z204" s="619"/>
    </row>
    <row r="205" spans="2:26">
      <c r="B205" s="14">
        <f t="shared" si="82"/>
        <v>202</v>
      </c>
      <c r="C205" s="37" t="s">
        <v>625</v>
      </c>
      <c r="D205" s="40"/>
      <c r="E205" s="39"/>
      <c r="F205" s="37"/>
      <c r="G205" s="41" t="str">
        <f t="shared" si="63"/>
        <v/>
      </c>
      <c r="H205" s="615">
        <f t="shared" si="64"/>
        <v>0</v>
      </c>
      <c r="I205" s="615">
        <f t="shared" si="65"/>
        <v>0</v>
      </c>
      <c r="J205" s="12">
        <f t="shared" si="66"/>
        <v>0</v>
      </c>
      <c r="K205" s="12">
        <f t="shared" si="67"/>
        <v>0</v>
      </c>
      <c r="L205" s="12">
        <f t="shared" si="68"/>
        <v>0</v>
      </c>
      <c r="M205" s="12">
        <f t="shared" si="69"/>
        <v>0</v>
      </c>
      <c r="N205" s="26">
        <f t="shared" si="70"/>
        <v>0</v>
      </c>
      <c r="O205" s="26">
        <f t="shared" si="71"/>
        <v>0</v>
      </c>
      <c r="P205" s="26">
        <f t="shared" si="72"/>
        <v>0</v>
      </c>
      <c r="Q205" s="612">
        <f t="shared" si="73"/>
        <v>0</v>
      </c>
      <c r="R205" s="26">
        <f t="shared" si="74"/>
        <v>0</v>
      </c>
      <c r="S205" s="26">
        <f t="shared" si="75"/>
        <v>0</v>
      </c>
      <c r="T205" s="26">
        <f t="shared" si="76"/>
        <v>0</v>
      </c>
      <c r="U205" s="26">
        <f t="shared" si="77"/>
        <v>0</v>
      </c>
      <c r="V205" s="26">
        <f t="shared" si="78"/>
        <v>0</v>
      </c>
      <c r="W205" s="20">
        <f t="shared" si="79"/>
        <v>0</v>
      </c>
      <c r="X205" s="20">
        <f t="shared" si="80"/>
        <v>0</v>
      </c>
      <c r="Y205" s="86">
        <f t="shared" si="81"/>
        <v>0</v>
      </c>
      <c r="Z205" s="619"/>
    </row>
    <row r="206" spans="2:26">
      <c r="B206" s="14">
        <f t="shared" si="82"/>
        <v>203</v>
      </c>
      <c r="C206" s="37" t="s">
        <v>625</v>
      </c>
      <c r="D206" s="40"/>
      <c r="E206" s="39"/>
      <c r="F206" s="37"/>
      <c r="G206" s="41" t="str">
        <f t="shared" si="63"/>
        <v/>
      </c>
      <c r="H206" s="615">
        <f t="shared" si="64"/>
        <v>0</v>
      </c>
      <c r="I206" s="615">
        <f t="shared" si="65"/>
        <v>0</v>
      </c>
      <c r="J206" s="12">
        <f t="shared" si="66"/>
        <v>0</v>
      </c>
      <c r="K206" s="12">
        <f t="shared" si="67"/>
        <v>0</v>
      </c>
      <c r="L206" s="12">
        <f t="shared" si="68"/>
        <v>0</v>
      </c>
      <c r="M206" s="12">
        <f t="shared" si="69"/>
        <v>0</v>
      </c>
      <c r="N206" s="26">
        <f t="shared" si="70"/>
        <v>0</v>
      </c>
      <c r="O206" s="26">
        <f t="shared" si="71"/>
        <v>0</v>
      </c>
      <c r="P206" s="26">
        <f t="shared" si="72"/>
        <v>0</v>
      </c>
      <c r="Q206" s="612">
        <f t="shared" si="73"/>
        <v>0</v>
      </c>
      <c r="R206" s="26">
        <f t="shared" si="74"/>
        <v>0</v>
      </c>
      <c r="S206" s="26">
        <f t="shared" si="75"/>
        <v>0</v>
      </c>
      <c r="T206" s="26">
        <f t="shared" si="76"/>
        <v>0</v>
      </c>
      <c r="U206" s="26">
        <f t="shared" si="77"/>
        <v>0</v>
      </c>
      <c r="V206" s="26">
        <f t="shared" si="78"/>
        <v>0</v>
      </c>
      <c r="W206" s="20">
        <f t="shared" si="79"/>
        <v>0</v>
      </c>
      <c r="X206" s="20">
        <f t="shared" si="80"/>
        <v>0</v>
      </c>
      <c r="Y206" s="86">
        <f t="shared" si="81"/>
        <v>0</v>
      </c>
      <c r="Z206" s="619"/>
    </row>
    <row r="207" spans="2:26">
      <c r="B207" s="14">
        <f t="shared" si="82"/>
        <v>204</v>
      </c>
      <c r="C207" s="37" t="s">
        <v>625</v>
      </c>
      <c r="D207" s="40"/>
      <c r="E207" s="39"/>
      <c r="F207" s="37"/>
      <c r="G207" s="41" t="str">
        <f t="shared" si="63"/>
        <v/>
      </c>
      <c r="H207" s="615">
        <f t="shared" si="64"/>
        <v>0</v>
      </c>
      <c r="I207" s="615">
        <f t="shared" si="65"/>
        <v>0</v>
      </c>
      <c r="J207" s="12">
        <f t="shared" si="66"/>
        <v>0</v>
      </c>
      <c r="K207" s="12">
        <f t="shared" si="67"/>
        <v>0</v>
      </c>
      <c r="L207" s="12">
        <f t="shared" si="68"/>
        <v>0</v>
      </c>
      <c r="M207" s="12">
        <f t="shared" si="69"/>
        <v>0</v>
      </c>
      <c r="N207" s="26">
        <f t="shared" si="70"/>
        <v>0</v>
      </c>
      <c r="O207" s="26">
        <f t="shared" si="71"/>
        <v>0</v>
      </c>
      <c r="P207" s="26">
        <f t="shared" si="72"/>
        <v>0</v>
      </c>
      <c r="Q207" s="612">
        <f t="shared" si="73"/>
        <v>0</v>
      </c>
      <c r="R207" s="26">
        <f t="shared" si="74"/>
        <v>0</v>
      </c>
      <c r="S207" s="26">
        <f t="shared" si="75"/>
        <v>0</v>
      </c>
      <c r="T207" s="26">
        <f t="shared" si="76"/>
        <v>0</v>
      </c>
      <c r="U207" s="26">
        <f t="shared" si="77"/>
        <v>0</v>
      </c>
      <c r="V207" s="26">
        <f t="shared" si="78"/>
        <v>0</v>
      </c>
      <c r="W207" s="20">
        <f t="shared" si="79"/>
        <v>0</v>
      </c>
      <c r="X207" s="20">
        <f t="shared" si="80"/>
        <v>0</v>
      </c>
      <c r="Y207" s="86">
        <f t="shared" si="81"/>
        <v>0</v>
      </c>
      <c r="Z207" s="619"/>
    </row>
    <row r="208" spans="2:26">
      <c r="B208" s="14">
        <f t="shared" si="82"/>
        <v>205</v>
      </c>
      <c r="C208" s="37" t="s">
        <v>625</v>
      </c>
      <c r="D208" s="40"/>
      <c r="E208" s="39"/>
      <c r="F208" s="37"/>
      <c r="G208" s="41" t="str">
        <f t="shared" si="63"/>
        <v/>
      </c>
      <c r="H208" s="615">
        <f t="shared" si="64"/>
        <v>0</v>
      </c>
      <c r="I208" s="615">
        <f t="shared" si="65"/>
        <v>0</v>
      </c>
      <c r="J208" s="12">
        <f t="shared" si="66"/>
        <v>0</v>
      </c>
      <c r="K208" s="12">
        <f t="shared" si="67"/>
        <v>0</v>
      </c>
      <c r="L208" s="12">
        <f t="shared" si="68"/>
        <v>0</v>
      </c>
      <c r="M208" s="12">
        <f t="shared" si="69"/>
        <v>0</v>
      </c>
      <c r="N208" s="26">
        <f t="shared" si="70"/>
        <v>0</v>
      </c>
      <c r="O208" s="26">
        <f t="shared" si="71"/>
        <v>0</v>
      </c>
      <c r="P208" s="26">
        <f t="shared" si="72"/>
        <v>0</v>
      </c>
      <c r="Q208" s="612">
        <f t="shared" si="73"/>
        <v>0</v>
      </c>
      <c r="R208" s="26">
        <f t="shared" si="74"/>
        <v>0</v>
      </c>
      <c r="S208" s="26">
        <f t="shared" si="75"/>
        <v>0</v>
      </c>
      <c r="T208" s="26">
        <f t="shared" si="76"/>
        <v>0</v>
      </c>
      <c r="U208" s="26">
        <f t="shared" si="77"/>
        <v>0</v>
      </c>
      <c r="V208" s="26">
        <f t="shared" si="78"/>
        <v>0</v>
      </c>
      <c r="W208" s="20">
        <f t="shared" si="79"/>
        <v>0</v>
      </c>
      <c r="X208" s="20">
        <f t="shared" si="80"/>
        <v>0</v>
      </c>
      <c r="Y208" s="86">
        <f t="shared" si="81"/>
        <v>0</v>
      </c>
      <c r="Z208" s="619"/>
    </row>
    <row r="209" spans="2:26">
      <c r="B209" s="14">
        <f t="shared" si="82"/>
        <v>206</v>
      </c>
      <c r="C209" s="37" t="s">
        <v>625</v>
      </c>
      <c r="D209" s="40"/>
      <c r="E209" s="39"/>
      <c r="F209" s="37"/>
      <c r="G209" s="41" t="str">
        <f t="shared" si="63"/>
        <v/>
      </c>
      <c r="H209" s="615">
        <f t="shared" si="64"/>
        <v>0</v>
      </c>
      <c r="I209" s="615">
        <f t="shared" si="65"/>
        <v>0</v>
      </c>
      <c r="J209" s="12">
        <f t="shared" si="66"/>
        <v>0</v>
      </c>
      <c r="K209" s="12">
        <f t="shared" si="67"/>
        <v>0</v>
      </c>
      <c r="L209" s="12">
        <f t="shared" si="68"/>
        <v>0</v>
      </c>
      <c r="M209" s="12">
        <f t="shared" si="69"/>
        <v>0</v>
      </c>
      <c r="N209" s="26">
        <f t="shared" si="70"/>
        <v>0</v>
      </c>
      <c r="O209" s="26">
        <f t="shared" si="71"/>
        <v>0</v>
      </c>
      <c r="P209" s="26">
        <f t="shared" si="72"/>
        <v>0</v>
      </c>
      <c r="Q209" s="612">
        <f t="shared" si="73"/>
        <v>0</v>
      </c>
      <c r="R209" s="26">
        <f t="shared" si="74"/>
        <v>0</v>
      </c>
      <c r="S209" s="26">
        <f t="shared" si="75"/>
        <v>0</v>
      </c>
      <c r="T209" s="26">
        <f t="shared" si="76"/>
        <v>0</v>
      </c>
      <c r="U209" s="26">
        <f t="shared" si="77"/>
        <v>0</v>
      </c>
      <c r="V209" s="26">
        <f t="shared" si="78"/>
        <v>0</v>
      </c>
      <c r="W209" s="20">
        <f t="shared" si="79"/>
        <v>0</v>
      </c>
      <c r="X209" s="20">
        <f t="shared" si="80"/>
        <v>0</v>
      </c>
      <c r="Y209" s="86">
        <f t="shared" si="81"/>
        <v>0</v>
      </c>
      <c r="Z209" s="619"/>
    </row>
    <row r="210" spans="2:26">
      <c r="B210" s="14">
        <f t="shared" si="82"/>
        <v>207</v>
      </c>
      <c r="C210" s="37" t="s">
        <v>625</v>
      </c>
      <c r="D210" s="40"/>
      <c r="E210" s="39"/>
      <c r="F210" s="37"/>
      <c r="G210" s="41" t="str">
        <f t="shared" si="63"/>
        <v/>
      </c>
      <c r="H210" s="615">
        <f t="shared" si="64"/>
        <v>0</v>
      </c>
      <c r="I210" s="615">
        <f t="shared" si="65"/>
        <v>0</v>
      </c>
      <c r="J210" s="12">
        <f t="shared" si="66"/>
        <v>0</v>
      </c>
      <c r="K210" s="12">
        <f t="shared" si="67"/>
        <v>0</v>
      </c>
      <c r="L210" s="12">
        <f t="shared" si="68"/>
        <v>0</v>
      </c>
      <c r="M210" s="12">
        <f t="shared" si="69"/>
        <v>0</v>
      </c>
      <c r="N210" s="26">
        <f t="shared" si="70"/>
        <v>0</v>
      </c>
      <c r="O210" s="26">
        <f t="shared" si="71"/>
        <v>0</v>
      </c>
      <c r="P210" s="26">
        <f t="shared" si="72"/>
        <v>0</v>
      </c>
      <c r="Q210" s="612">
        <f t="shared" si="73"/>
        <v>0</v>
      </c>
      <c r="R210" s="26">
        <f t="shared" si="74"/>
        <v>0</v>
      </c>
      <c r="S210" s="26">
        <f t="shared" si="75"/>
        <v>0</v>
      </c>
      <c r="T210" s="26">
        <f t="shared" si="76"/>
        <v>0</v>
      </c>
      <c r="U210" s="26">
        <f t="shared" si="77"/>
        <v>0</v>
      </c>
      <c r="V210" s="26">
        <f t="shared" si="78"/>
        <v>0</v>
      </c>
      <c r="W210" s="20">
        <f t="shared" si="79"/>
        <v>0</v>
      </c>
      <c r="X210" s="20">
        <f t="shared" si="80"/>
        <v>0</v>
      </c>
      <c r="Y210" s="86">
        <f t="shared" si="81"/>
        <v>0</v>
      </c>
      <c r="Z210" s="619"/>
    </row>
    <row r="211" spans="2:26">
      <c r="B211" s="14">
        <f t="shared" si="82"/>
        <v>208</v>
      </c>
      <c r="C211" s="37" t="s">
        <v>625</v>
      </c>
      <c r="D211" s="40"/>
      <c r="E211" s="39"/>
      <c r="F211" s="37"/>
      <c r="G211" s="41" t="str">
        <f t="shared" si="63"/>
        <v/>
      </c>
      <c r="H211" s="615">
        <f t="shared" si="64"/>
        <v>0</v>
      </c>
      <c r="I211" s="615">
        <f t="shared" si="65"/>
        <v>0</v>
      </c>
      <c r="J211" s="12">
        <f t="shared" si="66"/>
        <v>0</v>
      </c>
      <c r="K211" s="12">
        <f t="shared" si="67"/>
        <v>0</v>
      </c>
      <c r="L211" s="12">
        <f t="shared" si="68"/>
        <v>0</v>
      </c>
      <c r="M211" s="12">
        <f t="shared" si="69"/>
        <v>0</v>
      </c>
      <c r="N211" s="26">
        <f t="shared" si="70"/>
        <v>0</v>
      </c>
      <c r="O211" s="26">
        <f t="shared" si="71"/>
        <v>0</v>
      </c>
      <c r="P211" s="26">
        <f t="shared" si="72"/>
        <v>0</v>
      </c>
      <c r="Q211" s="612">
        <f t="shared" si="73"/>
        <v>0</v>
      </c>
      <c r="R211" s="26">
        <f t="shared" si="74"/>
        <v>0</v>
      </c>
      <c r="S211" s="26">
        <f t="shared" si="75"/>
        <v>0</v>
      </c>
      <c r="T211" s="26">
        <f t="shared" si="76"/>
        <v>0</v>
      </c>
      <c r="U211" s="26">
        <f t="shared" si="77"/>
        <v>0</v>
      </c>
      <c r="V211" s="26">
        <f t="shared" si="78"/>
        <v>0</v>
      </c>
      <c r="W211" s="20">
        <f t="shared" si="79"/>
        <v>0</v>
      </c>
      <c r="X211" s="20">
        <f t="shared" si="80"/>
        <v>0</v>
      </c>
      <c r="Y211" s="86">
        <f t="shared" si="81"/>
        <v>0</v>
      </c>
      <c r="Z211" s="619"/>
    </row>
    <row r="212" spans="2:26">
      <c r="B212" s="14">
        <f t="shared" si="82"/>
        <v>209</v>
      </c>
      <c r="C212" s="37" t="s">
        <v>625</v>
      </c>
      <c r="D212" s="40"/>
      <c r="E212" s="39"/>
      <c r="F212" s="37"/>
      <c r="G212" s="41" t="str">
        <f t="shared" si="63"/>
        <v/>
      </c>
      <c r="H212" s="615">
        <f t="shared" si="64"/>
        <v>0</v>
      </c>
      <c r="I212" s="615">
        <f t="shared" si="65"/>
        <v>0</v>
      </c>
      <c r="J212" s="12">
        <f t="shared" si="66"/>
        <v>0</v>
      </c>
      <c r="K212" s="12">
        <f t="shared" si="67"/>
        <v>0</v>
      </c>
      <c r="L212" s="12">
        <f t="shared" si="68"/>
        <v>0</v>
      </c>
      <c r="M212" s="12">
        <f t="shared" si="69"/>
        <v>0</v>
      </c>
      <c r="N212" s="26">
        <f t="shared" si="70"/>
        <v>0</v>
      </c>
      <c r="O212" s="26">
        <f t="shared" si="71"/>
        <v>0</v>
      </c>
      <c r="P212" s="26">
        <f t="shared" si="72"/>
        <v>0</v>
      </c>
      <c r="Q212" s="612">
        <f t="shared" si="73"/>
        <v>0</v>
      </c>
      <c r="R212" s="26">
        <f t="shared" si="74"/>
        <v>0</v>
      </c>
      <c r="S212" s="26">
        <f t="shared" si="75"/>
        <v>0</v>
      </c>
      <c r="T212" s="26">
        <f t="shared" si="76"/>
        <v>0</v>
      </c>
      <c r="U212" s="26">
        <f t="shared" si="77"/>
        <v>0</v>
      </c>
      <c r="V212" s="26">
        <f t="shared" si="78"/>
        <v>0</v>
      </c>
      <c r="W212" s="20">
        <f t="shared" si="79"/>
        <v>0</v>
      </c>
      <c r="X212" s="20">
        <f t="shared" si="80"/>
        <v>0</v>
      </c>
      <c r="Y212" s="86">
        <f t="shared" si="81"/>
        <v>0</v>
      </c>
      <c r="Z212" s="619"/>
    </row>
    <row r="213" spans="2:26">
      <c r="B213" s="14">
        <f t="shared" si="82"/>
        <v>210</v>
      </c>
      <c r="C213" s="37" t="s">
        <v>625</v>
      </c>
      <c r="D213" s="40"/>
      <c r="E213" s="39"/>
      <c r="F213" s="37"/>
      <c r="G213" s="41" t="str">
        <f t="shared" si="63"/>
        <v/>
      </c>
      <c r="H213" s="615">
        <f t="shared" si="64"/>
        <v>0</v>
      </c>
      <c r="I213" s="615">
        <f t="shared" si="65"/>
        <v>0</v>
      </c>
      <c r="J213" s="12">
        <f t="shared" si="66"/>
        <v>0</v>
      </c>
      <c r="K213" s="12">
        <f t="shared" si="67"/>
        <v>0</v>
      </c>
      <c r="L213" s="12">
        <f t="shared" si="68"/>
        <v>0</v>
      </c>
      <c r="M213" s="12">
        <f t="shared" si="69"/>
        <v>0</v>
      </c>
      <c r="N213" s="26">
        <f t="shared" si="70"/>
        <v>0</v>
      </c>
      <c r="O213" s="26">
        <f t="shared" si="71"/>
        <v>0</v>
      </c>
      <c r="P213" s="26">
        <f t="shared" si="72"/>
        <v>0</v>
      </c>
      <c r="Q213" s="612">
        <f t="shared" si="73"/>
        <v>0</v>
      </c>
      <c r="R213" s="26">
        <f t="shared" si="74"/>
        <v>0</v>
      </c>
      <c r="S213" s="26">
        <f t="shared" si="75"/>
        <v>0</v>
      </c>
      <c r="T213" s="26">
        <f t="shared" si="76"/>
        <v>0</v>
      </c>
      <c r="U213" s="26">
        <f t="shared" si="77"/>
        <v>0</v>
      </c>
      <c r="V213" s="26">
        <f t="shared" si="78"/>
        <v>0</v>
      </c>
      <c r="W213" s="20">
        <f t="shared" si="79"/>
        <v>0</v>
      </c>
      <c r="X213" s="20">
        <f t="shared" si="80"/>
        <v>0</v>
      </c>
      <c r="Y213" s="86">
        <f t="shared" si="81"/>
        <v>0</v>
      </c>
      <c r="Z213" s="619"/>
    </row>
    <row r="214" spans="2:26">
      <c r="B214" s="14">
        <f t="shared" si="82"/>
        <v>211</v>
      </c>
      <c r="C214" s="37" t="s">
        <v>625</v>
      </c>
      <c r="D214" s="40"/>
      <c r="E214" s="39"/>
      <c r="F214" s="37"/>
      <c r="G214" s="41" t="str">
        <f t="shared" si="63"/>
        <v/>
      </c>
      <c r="H214" s="615">
        <f t="shared" si="64"/>
        <v>0</v>
      </c>
      <c r="I214" s="615">
        <f t="shared" si="65"/>
        <v>0</v>
      </c>
      <c r="J214" s="12">
        <f t="shared" si="66"/>
        <v>0</v>
      </c>
      <c r="K214" s="12">
        <f t="shared" si="67"/>
        <v>0</v>
      </c>
      <c r="L214" s="12">
        <f t="shared" si="68"/>
        <v>0</v>
      </c>
      <c r="M214" s="12">
        <f t="shared" si="69"/>
        <v>0</v>
      </c>
      <c r="N214" s="26">
        <f t="shared" si="70"/>
        <v>0</v>
      </c>
      <c r="O214" s="26">
        <f t="shared" si="71"/>
        <v>0</v>
      </c>
      <c r="P214" s="26">
        <f t="shared" si="72"/>
        <v>0</v>
      </c>
      <c r="Q214" s="612">
        <f t="shared" si="73"/>
        <v>0</v>
      </c>
      <c r="R214" s="26">
        <f t="shared" si="74"/>
        <v>0</v>
      </c>
      <c r="S214" s="26">
        <f t="shared" si="75"/>
        <v>0</v>
      </c>
      <c r="T214" s="26">
        <f t="shared" si="76"/>
        <v>0</v>
      </c>
      <c r="U214" s="26">
        <f t="shared" si="77"/>
        <v>0</v>
      </c>
      <c r="V214" s="26">
        <f t="shared" si="78"/>
        <v>0</v>
      </c>
      <c r="W214" s="20">
        <f t="shared" si="79"/>
        <v>0</v>
      </c>
      <c r="X214" s="20">
        <f t="shared" si="80"/>
        <v>0</v>
      </c>
      <c r="Y214" s="86">
        <f t="shared" si="81"/>
        <v>0</v>
      </c>
      <c r="Z214" s="619"/>
    </row>
    <row r="215" spans="2:26">
      <c r="B215" s="14">
        <f t="shared" si="82"/>
        <v>212</v>
      </c>
      <c r="C215" s="37" t="s">
        <v>625</v>
      </c>
      <c r="D215" s="40"/>
      <c r="E215" s="39"/>
      <c r="F215" s="37"/>
      <c r="G215" s="41" t="str">
        <f t="shared" si="63"/>
        <v/>
      </c>
      <c r="H215" s="615">
        <f t="shared" si="64"/>
        <v>0</v>
      </c>
      <c r="I215" s="615">
        <f t="shared" si="65"/>
        <v>0</v>
      </c>
      <c r="J215" s="12">
        <f t="shared" si="66"/>
        <v>0</v>
      </c>
      <c r="K215" s="12">
        <f t="shared" si="67"/>
        <v>0</v>
      </c>
      <c r="L215" s="12">
        <f t="shared" si="68"/>
        <v>0</v>
      </c>
      <c r="M215" s="12">
        <f t="shared" si="69"/>
        <v>0</v>
      </c>
      <c r="N215" s="26">
        <f t="shared" si="70"/>
        <v>0</v>
      </c>
      <c r="O215" s="26">
        <f t="shared" si="71"/>
        <v>0</v>
      </c>
      <c r="P215" s="26">
        <f t="shared" si="72"/>
        <v>0</v>
      </c>
      <c r="Q215" s="612">
        <f t="shared" si="73"/>
        <v>0</v>
      </c>
      <c r="R215" s="26">
        <f t="shared" si="74"/>
        <v>0</v>
      </c>
      <c r="S215" s="26">
        <f t="shared" si="75"/>
        <v>0</v>
      </c>
      <c r="T215" s="26">
        <f t="shared" si="76"/>
        <v>0</v>
      </c>
      <c r="U215" s="26">
        <f t="shared" si="77"/>
        <v>0</v>
      </c>
      <c r="V215" s="26">
        <f t="shared" si="78"/>
        <v>0</v>
      </c>
      <c r="W215" s="20">
        <f t="shared" si="79"/>
        <v>0</v>
      </c>
      <c r="X215" s="20">
        <f t="shared" si="80"/>
        <v>0</v>
      </c>
      <c r="Y215" s="86">
        <f t="shared" si="81"/>
        <v>0</v>
      </c>
      <c r="Z215" s="619"/>
    </row>
    <row r="216" spans="2:26">
      <c r="B216" s="14">
        <f t="shared" si="82"/>
        <v>213</v>
      </c>
      <c r="C216" s="37" t="s">
        <v>625</v>
      </c>
      <c r="D216" s="40"/>
      <c r="E216" s="39"/>
      <c r="F216" s="37"/>
      <c r="G216" s="41" t="str">
        <f t="shared" si="63"/>
        <v/>
      </c>
      <c r="H216" s="615">
        <f t="shared" si="64"/>
        <v>0</v>
      </c>
      <c r="I216" s="615">
        <f t="shared" si="65"/>
        <v>0</v>
      </c>
      <c r="J216" s="12">
        <f t="shared" si="66"/>
        <v>0</v>
      </c>
      <c r="K216" s="12">
        <f t="shared" si="67"/>
        <v>0</v>
      </c>
      <c r="L216" s="12">
        <f t="shared" si="68"/>
        <v>0</v>
      </c>
      <c r="M216" s="12">
        <f t="shared" si="69"/>
        <v>0</v>
      </c>
      <c r="N216" s="26">
        <f t="shared" si="70"/>
        <v>0</v>
      </c>
      <c r="O216" s="26">
        <f t="shared" si="71"/>
        <v>0</v>
      </c>
      <c r="P216" s="26">
        <f t="shared" si="72"/>
        <v>0</v>
      </c>
      <c r="Q216" s="612">
        <f t="shared" si="73"/>
        <v>0</v>
      </c>
      <c r="R216" s="26">
        <f t="shared" si="74"/>
        <v>0</v>
      </c>
      <c r="S216" s="26">
        <f t="shared" si="75"/>
        <v>0</v>
      </c>
      <c r="T216" s="26">
        <f t="shared" si="76"/>
        <v>0</v>
      </c>
      <c r="U216" s="26">
        <f t="shared" si="77"/>
        <v>0</v>
      </c>
      <c r="V216" s="26">
        <f t="shared" si="78"/>
        <v>0</v>
      </c>
      <c r="W216" s="20">
        <f t="shared" si="79"/>
        <v>0</v>
      </c>
      <c r="X216" s="20">
        <f t="shared" si="80"/>
        <v>0</v>
      </c>
      <c r="Y216" s="86">
        <f t="shared" si="81"/>
        <v>0</v>
      </c>
      <c r="Z216" s="619"/>
    </row>
    <row r="217" spans="2:26">
      <c r="B217" s="14">
        <f t="shared" si="82"/>
        <v>214</v>
      </c>
      <c r="C217" s="37" t="s">
        <v>625</v>
      </c>
      <c r="D217" s="40"/>
      <c r="E217" s="39"/>
      <c r="F217" s="37"/>
      <c r="G217" s="41" t="str">
        <f t="shared" si="63"/>
        <v/>
      </c>
      <c r="H217" s="615">
        <f t="shared" si="64"/>
        <v>0</v>
      </c>
      <c r="I217" s="615">
        <f t="shared" si="65"/>
        <v>0</v>
      </c>
      <c r="J217" s="12">
        <f t="shared" si="66"/>
        <v>0</v>
      </c>
      <c r="K217" s="12">
        <f t="shared" si="67"/>
        <v>0</v>
      </c>
      <c r="L217" s="12">
        <f t="shared" si="68"/>
        <v>0</v>
      </c>
      <c r="M217" s="12">
        <f t="shared" si="69"/>
        <v>0</v>
      </c>
      <c r="N217" s="26">
        <f t="shared" si="70"/>
        <v>0</v>
      </c>
      <c r="O217" s="26">
        <f t="shared" si="71"/>
        <v>0</v>
      </c>
      <c r="P217" s="26">
        <f t="shared" si="72"/>
        <v>0</v>
      </c>
      <c r="Q217" s="612">
        <f t="shared" si="73"/>
        <v>0</v>
      </c>
      <c r="R217" s="26">
        <f t="shared" si="74"/>
        <v>0</v>
      </c>
      <c r="S217" s="26">
        <f t="shared" si="75"/>
        <v>0</v>
      </c>
      <c r="T217" s="26">
        <f t="shared" si="76"/>
        <v>0</v>
      </c>
      <c r="U217" s="26">
        <f t="shared" si="77"/>
        <v>0</v>
      </c>
      <c r="V217" s="26">
        <f t="shared" si="78"/>
        <v>0</v>
      </c>
      <c r="W217" s="20">
        <f t="shared" si="79"/>
        <v>0</v>
      </c>
      <c r="X217" s="20">
        <f t="shared" si="80"/>
        <v>0</v>
      </c>
      <c r="Y217" s="86">
        <f t="shared" si="81"/>
        <v>0</v>
      </c>
      <c r="Z217" s="619"/>
    </row>
    <row r="218" spans="2:26">
      <c r="B218" s="14">
        <f t="shared" si="82"/>
        <v>215</v>
      </c>
      <c r="C218" s="37" t="s">
        <v>625</v>
      </c>
      <c r="D218" s="40"/>
      <c r="E218" s="39"/>
      <c r="F218" s="37"/>
      <c r="G218" s="41" t="str">
        <f t="shared" si="63"/>
        <v/>
      </c>
      <c r="H218" s="615">
        <f t="shared" si="64"/>
        <v>0</v>
      </c>
      <c r="I218" s="615">
        <f t="shared" si="65"/>
        <v>0</v>
      </c>
      <c r="J218" s="12">
        <f t="shared" si="66"/>
        <v>0</v>
      </c>
      <c r="K218" s="12">
        <f t="shared" si="67"/>
        <v>0</v>
      </c>
      <c r="L218" s="12">
        <f t="shared" si="68"/>
        <v>0</v>
      </c>
      <c r="M218" s="12">
        <f t="shared" si="69"/>
        <v>0</v>
      </c>
      <c r="N218" s="26">
        <f t="shared" si="70"/>
        <v>0</v>
      </c>
      <c r="O218" s="26">
        <f t="shared" si="71"/>
        <v>0</v>
      </c>
      <c r="P218" s="26">
        <f t="shared" si="72"/>
        <v>0</v>
      </c>
      <c r="Q218" s="612">
        <f t="shared" si="73"/>
        <v>0</v>
      </c>
      <c r="R218" s="26">
        <f t="shared" si="74"/>
        <v>0</v>
      </c>
      <c r="S218" s="26">
        <f t="shared" si="75"/>
        <v>0</v>
      </c>
      <c r="T218" s="26">
        <f t="shared" si="76"/>
        <v>0</v>
      </c>
      <c r="U218" s="26">
        <f t="shared" si="77"/>
        <v>0</v>
      </c>
      <c r="V218" s="26">
        <f t="shared" si="78"/>
        <v>0</v>
      </c>
      <c r="W218" s="20">
        <f t="shared" si="79"/>
        <v>0</v>
      </c>
      <c r="X218" s="20">
        <f t="shared" si="80"/>
        <v>0</v>
      </c>
      <c r="Y218" s="86">
        <f t="shared" si="81"/>
        <v>0</v>
      </c>
      <c r="Z218" s="619"/>
    </row>
    <row r="219" spans="2:26">
      <c r="B219" s="14">
        <f t="shared" si="82"/>
        <v>216</v>
      </c>
      <c r="C219" s="37" t="s">
        <v>625</v>
      </c>
      <c r="D219" s="40"/>
      <c r="E219" s="39"/>
      <c r="F219" s="37"/>
      <c r="G219" s="41" t="str">
        <f t="shared" si="63"/>
        <v/>
      </c>
      <c r="H219" s="615">
        <f t="shared" si="64"/>
        <v>0</v>
      </c>
      <c r="I219" s="615">
        <f t="shared" si="65"/>
        <v>0</v>
      </c>
      <c r="J219" s="12">
        <f t="shared" si="66"/>
        <v>0</v>
      </c>
      <c r="K219" s="12">
        <f t="shared" si="67"/>
        <v>0</v>
      </c>
      <c r="L219" s="12">
        <f t="shared" si="68"/>
        <v>0</v>
      </c>
      <c r="M219" s="12">
        <f t="shared" si="69"/>
        <v>0</v>
      </c>
      <c r="N219" s="26">
        <f t="shared" si="70"/>
        <v>0</v>
      </c>
      <c r="O219" s="26">
        <f t="shared" si="71"/>
        <v>0</v>
      </c>
      <c r="P219" s="26">
        <f t="shared" si="72"/>
        <v>0</v>
      </c>
      <c r="Q219" s="612">
        <f t="shared" si="73"/>
        <v>0</v>
      </c>
      <c r="R219" s="26">
        <f t="shared" si="74"/>
        <v>0</v>
      </c>
      <c r="S219" s="26">
        <f t="shared" si="75"/>
        <v>0</v>
      </c>
      <c r="T219" s="26">
        <f t="shared" si="76"/>
        <v>0</v>
      </c>
      <c r="U219" s="26">
        <f t="shared" si="77"/>
        <v>0</v>
      </c>
      <c r="V219" s="26">
        <f t="shared" si="78"/>
        <v>0</v>
      </c>
      <c r="W219" s="20">
        <f t="shared" si="79"/>
        <v>0</v>
      </c>
      <c r="X219" s="20">
        <f t="shared" si="80"/>
        <v>0</v>
      </c>
      <c r="Y219" s="86">
        <f t="shared" si="81"/>
        <v>0</v>
      </c>
      <c r="Z219" s="619"/>
    </row>
    <row r="220" spans="2:26">
      <c r="B220" s="14">
        <f t="shared" si="82"/>
        <v>217</v>
      </c>
      <c r="C220" s="37" t="s">
        <v>625</v>
      </c>
      <c r="D220" s="40"/>
      <c r="E220" s="39"/>
      <c r="F220" s="37"/>
      <c r="G220" s="41" t="str">
        <f t="shared" ref="G220:G226" si="83">IF(D220="","",+$G$2*D220)</f>
        <v/>
      </c>
      <c r="H220" s="615">
        <f t="shared" si="64"/>
        <v>0</v>
      </c>
      <c r="I220" s="615">
        <f t="shared" si="65"/>
        <v>0</v>
      </c>
      <c r="J220" s="12">
        <f t="shared" si="66"/>
        <v>0</v>
      </c>
      <c r="K220" s="12">
        <f t="shared" si="67"/>
        <v>0</v>
      </c>
      <c r="L220" s="12">
        <f t="shared" si="68"/>
        <v>0</v>
      </c>
      <c r="M220" s="12">
        <f t="shared" si="69"/>
        <v>0</v>
      </c>
      <c r="N220" s="26">
        <f t="shared" si="70"/>
        <v>0</v>
      </c>
      <c r="O220" s="26">
        <f t="shared" si="71"/>
        <v>0</v>
      </c>
      <c r="P220" s="26">
        <f t="shared" si="72"/>
        <v>0</v>
      </c>
      <c r="Q220" s="612">
        <f t="shared" si="73"/>
        <v>0</v>
      </c>
      <c r="R220" s="26">
        <f t="shared" si="74"/>
        <v>0</v>
      </c>
      <c r="S220" s="26">
        <f t="shared" si="75"/>
        <v>0</v>
      </c>
      <c r="T220" s="26">
        <f t="shared" si="76"/>
        <v>0</v>
      </c>
      <c r="U220" s="26">
        <f t="shared" si="77"/>
        <v>0</v>
      </c>
      <c r="V220" s="26">
        <f t="shared" si="78"/>
        <v>0</v>
      </c>
      <c r="W220" s="20">
        <f t="shared" si="79"/>
        <v>0</v>
      </c>
      <c r="X220" s="20">
        <f t="shared" si="80"/>
        <v>0</v>
      </c>
      <c r="Y220" s="86">
        <f t="shared" si="81"/>
        <v>0</v>
      </c>
      <c r="Z220" s="619"/>
    </row>
    <row r="221" spans="2:26">
      <c r="B221" s="14">
        <f t="shared" si="82"/>
        <v>218</v>
      </c>
      <c r="C221" s="37" t="s">
        <v>625</v>
      </c>
      <c r="D221" s="40"/>
      <c r="E221" s="39"/>
      <c r="F221" s="37"/>
      <c r="G221" s="41" t="str">
        <f t="shared" si="83"/>
        <v/>
      </c>
      <c r="H221" s="615">
        <f t="shared" si="64"/>
        <v>0</v>
      </c>
      <c r="I221" s="615">
        <f t="shared" si="65"/>
        <v>0</v>
      </c>
      <c r="J221" s="12">
        <f t="shared" si="66"/>
        <v>0</v>
      </c>
      <c r="K221" s="12">
        <f t="shared" si="67"/>
        <v>0</v>
      </c>
      <c r="L221" s="12">
        <f t="shared" si="68"/>
        <v>0</v>
      </c>
      <c r="M221" s="12">
        <f t="shared" si="69"/>
        <v>0</v>
      </c>
      <c r="N221" s="26">
        <f t="shared" si="70"/>
        <v>0</v>
      </c>
      <c r="O221" s="26">
        <f t="shared" si="71"/>
        <v>0</v>
      </c>
      <c r="P221" s="26">
        <f t="shared" si="72"/>
        <v>0</v>
      </c>
      <c r="Q221" s="612">
        <f t="shared" si="73"/>
        <v>0</v>
      </c>
      <c r="R221" s="26">
        <f t="shared" si="74"/>
        <v>0</v>
      </c>
      <c r="S221" s="26">
        <f t="shared" si="75"/>
        <v>0</v>
      </c>
      <c r="T221" s="26">
        <f t="shared" si="76"/>
        <v>0</v>
      </c>
      <c r="U221" s="26">
        <f t="shared" si="77"/>
        <v>0</v>
      </c>
      <c r="V221" s="26">
        <f t="shared" si="78"/>
        <v>0</v>
      </c>
      <c r="W221" s="20">
        <f t="shared" si="79"/>
        <v>0</v>
      </c>
      <c r="X221" s="20">
        <f t="shared" si="80"/>
        <v>0</v>
      </c>
      <c r="Y221" s="86">
        <f t="shared" si="81"/>
        <v>0</v>
      </c>
      <c r="Z221" s="619"/>
    </row>
    <row r="222" spans="2:26">
      <c r="B222" s="14">
        <f t="shared" si="82"/>
        <v>219</v>
      </c>
      <c r="C222" s="37" t="s">
        <v>625</v>
      </c>
      <c r="D222" s="40"/>
      <c r="E222" s="39"/>
      <c r="F222" s="37"/>
      <c r="G222" s="41" t="str">
        <f t="shared" si="83"/>
        <v/>
      </c>
      <c r="H222" s="615">
        <f t="shared" si="64"/>
        <v>0</v>
      </c>
      <c r="I222" s="615">
        <f t="shared" si="65"/>
        <v>0</v>
      </c>
      <c r="J222" s="12">
        <f t="shared" si="66"/>
        <v>0</v>
      </c>
      <c r="K222" s="12">
        <f t="shared" si="67"/>
        <v>0</v>
      </c>
      <c r="L222" s="12">
        <f t="shared" si="68"/>
        <v>0</v>
      </c>
      <c r="M222" s="12">
        <f t="shared" si="69"/>
        <v>0</v>
      </c>
      <c r="N222" s="26">
        <f t="shared" si="70"/>
        <v>0</v>
      </c>
      <c r="O222" s="26">
        <f t="shared" si="71"/>
        <v>0</v>
      </c>
      <c r="P222" s="26">
        <f t="shared" si="72"/>
        <v>0</v>
      </c>
      <c r="Q222" s="612">
        <f t="shared" si="73"/>
        <v>0</v>
      </c>
      <c r="R222" s="26">
        <f t="shared" si="74"/>
        <v>0</v>
      </c>
      <c r="S222" s="26">
        <f t="shared" si="75"/>
        <v>0</v>
      </c>
      <c r="T222" s="26">
        <f t="shared" si="76"/>
        <v>0</v>
      </c>
      <c r="U222" s="26">
        <f t="shared" si="77"/>
        <v>0</v>
      </c>
      <c r="V222" s="26">
        <f t="shared" si="78"/>
        <v>0</v>
      </c>
      <c r="W222" s="20">
        <f t="shared" si="79"/>
        <v>0</v>
      </c>
      <c r="X222" s="20">
        <f t="shared" si="80"/>
        <v>0</v>
      </c>
      <c r="Y222" s="86">
        <f t="shared" si="81"/>
        <v>0</v>
      </c>
      <c r="Z222" s="619"/>
    </row>
    <row r="223" spans="2:26">
      <c r="B223" s="14">
        <f t="shared" si="82"/>
        <v>220</v>
      </c>
      <c r="C223" s="37" t="s">
        <v>625</v>
      </c>
      <c r="D223" s="40"/>
      <c r="E223" s="39"/>
      <c r="F223" s="37"/>
      <c r="G223" s="41" t="str">
        <f t="shared" si="83"/>
        <v/>
      </c>
      <c r="H223" s="615">
        <f t="shared" si="64"/>
        <v>0</v>
      </c>
      <c r="I223" s="615">
        <f t="shared" si="65"/>
        <v>0</v>
      </c>
      <c r="J223" s="12">
        <f t="shared" si="66"/>
        <v>0</v>
      </c>
      <c r="K223" s="12">
        <f t="shared" si="67"/>
        <v>0</v>
      </c>
      <c r="L223" s="12">
        <f t="shared" si="68"/>
        <v>0</v>
      </c>
      <c r="M223" s="12">
        <f t="shared" si="69"/>
        <v>0</v>
      </c>
      <c r="N223" s="26">
        <f t="shared" si="70"/>
        <v>0</v>
      </c>
      <c r="O223" s="26">
        <f t="shared" si="71"/>
        <v>0</v>
      </c>
      <c r="P223" s="26">
        <f t="shared" si="72"/>
        <v>0</v>
      </c>
      <c r="Q223" s="612">
        <f t="shared" si="73"/>
        <v>0</v>
      </c>
      <c r="R223" s="26">
        <f t="shared" si="74"/>
        <v>0</v>
      </c>
      <c r="S223" s="26">
        <f t="shared" si="75"/>
        <v>0</v>
      </c>
      <c r="T223" s="26">
        <f t="shared" si="76"/>
        <v>0</v>
      </c>
      <c r="U223" s="26">
        <f t="shared" si="77"/>
        <v>0</v>
      </c>
      <c r="V223" s="26">
        <f t="shared" si="78"/>
        <v>0</v>
      </c>
      <c r="W223" s="20">
        <f t="shared" si="79"/>
        <v>0</v>
      </c>
      <c r="X223" s="20">
        <f t="shared" si="80"/>
        <v>0</v>
      </c>
      <c r="Y223" s="86">
        <f t="shared" si="81"/>
        <v>0</v>
      </c>
      <c r="Z223" s="619"/>
    </row>
    <row r="224" spans="2:26">
      <c r="B224" s="14">
        <f t="shared" si="82"/>
        <v>221</v>
      </c>
      <c r="C224" s="37" t="s">
        <v>625</v>
      </c>
      <c r="D224" s="40"/>
      <c r="E224" s="39"/>
      <c r="F224" s="37"/>
      <c r="G224" s="41" t="str">
        <f t="shared" si="83"/>
        <v/>
      </c>
      <c r="H224" s="615">
        <f t="shared" si="64"/>
        <v>0</v>
      </c>
      <c r="I224" s="615">
        <f t="shared" si="65"/>
        <v>0</v>
      </c>
      <c r="J224" s="12">
        <f t="shared" si="66"/>
        <v>0</v>
      </c>
      <c r="K224" s="12">
        <f t="shared" si="67"/>
        <v>0</v>
      </c>
      <c r="L224" s="12">
        <f t="shared" si="68"/>
        <v>0</v>
      </c>
      <c r="M224" s="12">
        <f t="shared" si="69"/>
        <v>0</v>
      </c>
      <c r="N224" s="26">
        <f t="shared" si="70"/>
        <v>0</v>
      </c>
      <c r="O224" s="26">
        <f t="shared" si="71"/>
        <v>0</v>
      </c>
      <c r="P224" s="26">
        <f t="shared" si="72"/>
        <v>0</v>
      </c>
      <c r="Q224" s="612">
        <f t="shared" si="73"/>
        <v>0</v>
      </c>
      <c r="R224" s="26">
        <f t="shared" si="74"/>
        <v>0</v>
      </c>
      <c r="S224" s="26">
        <f t="shared" si="75"/>
        <v>0</v>
      </c>
      <c r="T224" s="26">
        <f t="shared" si="76"/>
        <v>0</v>
      </c>
      <c r="U224" s="26">
        <f t="shared" si="77"/>
        <v>0</v>
      </c>
      <c r="V224" s="26">
        <f t="shared" si="78"/>
        <v>0</v>
      </c>
      <c r="W224" s="20">
        <f t="shared" si="79"/>
        <v>0</v>
      </c>
      <c r="X224" s="20">
        <f t="shared" si="80"/>
        <v>0</v>
      </c>
      <c r="Y224" s="86">
        <f t="shared" si="81"/>
        <v>0</v>
      </c>
      <c r="Z224" s="619"/>
    </row>
    <row r="225" spans="2:26">
      <c r="B225" s="14">
        <f t="shared" si="82"/>
        <v>222</v>
      </c>
      <c r="C225" s="37" t="s">
        <v>625</v>
      </c>
      <c r="D225" s="40"/>
      <c r="E225" s="39"/>
      <c r="F225" s="37"/>
      <c r="G225" s="41" t="str">
        <f t="shared" si="83"/>
        <v/>
      </c>
      <c r="H225" s="615">
        <f t="shared" si="64"/>
        <v>0</v>
      </c>
      <c r="I225" s="615">
        <f t="shared" si="65"/>
        <v>0</v>
      </c>
      <c r="J225" s="12">
        <f t="shared" si="66"/>
        <v>0</v>
      </c>
      <c r="K225" s="12">
        <f t="shared" si="67"/>
        <v>0</v>
      </c>
      <c r="L225" s="12">
        <f t="shared" si="68"/>
        <v>0</v>
      </c>
      <c r="M225" s="12">
        <f t="shared" si="69"/>
        <v>0</v>
      </c>
      <c r="N225" s="26">
        <f t="shared" si="70"/>
        <v>0</v>
      </c>
      <c r="O225" s="26">
        <f t="shared" si="71"/>
        <v>0</v>
      </c>
      <c r="P225" s="26">
        <f t="shared" si="72"/>
        <v>0</v>
      </c>
      <c r="Q225" s="612">
        <f t="shared" si="73"/>
        <v>0</v>
      </c>
      <c r="R225" s="26">
        <f t="shared" si="74"/>
        <v>0</v>
      </c>
      <c r="S225" s="26">
        <f t="shared" si="75"/>
        <v>0</v>
      </c>
      <c r="T225" s="26">
        <f t="shared" si="76"/>
        <v>0</v>
      </c>
      <c r="U225" s="26">
        <f t="shared" si="77"/>
        <v>0</v>
      </c>
      <c r="V225" s="26">
        <f t="shared" si="78"/>
        <v>0</v>
      </c>
      <c r="W225" s="20">
        <f t="shared" si="79"/>
        <v>0</v>
      </c>
      <c r="X225" s="20">
        <f t="shared" si="80"/>
        <v>0</v>
      </c>
      <c r="Y225" s="86">
        <f t="shared" si="81"/>
        <v>0</v>
      </c>
      <c r="Z225" s="619"/>
    </row>
    <row r="226" spans="2:26">
      <c r="B226" s="618">
        <f t="shared" si="82"/>
        <v>223</v>
      </c>
      <c r="C226" s="148"/>
      <c r="D226" s="617"/>
      <c r="E226" s="148"/>
      <c r="F226" s="148"/>
      <c r="G226" s="616" t="str">
        <f t="shared" si="83"/>
        <v/>
      </c>
      <c r="H226" s="615">
        <f t="shared" si="64"/>
        <v>0</v>
      </c>
      <c r="I226" s="615">
        <f t="shared" si="65"/>
        <v>0</v>
      </c>
      <c r="J226" s="12">
        <f t="shared" si="66"/>
        <v>0</v>
      </c>
      <c r="K226" s="12">
        <f t="shared" si="67"/>
        <v>0</v>
      </c>
      <c r="L226" s="12">
        <f t="shared" si="68"/>
        <v>0</v>
      </c>
      <c r="M226" s="614">
        <f t="shared" si="69"/>
        <v>0</v>
      </c>
      <c r="N226" s="613">
        <f t="shared" si="70"/>
        <v>0</v>
      </c>
      <c r="O226" s="613">
        <f t="shared" si="71"/>
        <v>0</v>
      </c>
      <c r="P226" s="613">
        <f t="shared" si="72"/>
        <v>0</v>
      </c>
      <c r="Q226" s="612">
        <f t="shared" si="73"/>
        <v>0</v>
      </c>
      <c r="R226" s="26">
        <f t="shared" si="74"/>
        <v>0</v>
      </c>
      <c r="S226" s="26">
        <f t="shared" si="75"/>
        <v>0</v>
      </c>
      <c r="T226" s="26">
        <f t="shared" si="76"/>
        <v>0</v>
      </c>
      <c r="U226" s="26">
        <f t="shared" si="77"/>
        <v>0</v>
      </c>
      <c r="V226" s="26">
        <f t="shared" si="78"/>
        <v>0</v>
      </c>
      <c r="W226" s="611">
        <f t="shared" si="79"/>
        <v>0</v>
      </c>
      <c r="X226" s="611">
        <f t="shared" si="80"/>
        <v>0</v>
      </c>
      <c r="Y226" s="610">
        <f t="shared" si="81"/>
        <v>0</v>
      </c>
      <c r="Z226" s="51"/>
    </row>
    <row r="227" spans="2:26">
      <c r="B227" s="150"/>
      <c r="C227" s="60"/>
      <c r="D227" s="60"/>
      <c r="E227" s="60"/>
      <c r="F227" s="60"/>
      <c r="G227" s="60"/>
      <c r="H227" s="61"/>
      <c r="I227" s="61"/>
      <c r="J227" s="62"/>
      <c r="K227" s="60"/>
      <c r="L227" s="609">
        <f t="shared" ref="L227:Y227" si="84">SUM(L4:L226)</f>
        <v>2290.0000000000005</v>
      </c>
      <c r="M227" s="609">
        <f t="shared" si="84"/>
        <v>57.249999999999986</v>
      </c>
      <c r="N227" s="29">
        <f t="shared" si="84"/>
        <v>2862.4999999999995</v>
      </c>
      <c r="O227" s="608">
        <f t="shared" si="84"/>
        <v>1810.5312499999989</v>
      </c>
      <c r="P227" s="608">
        <f t="shared" si="84"/>
        <v>2633.4999999999995</v>
      </c>
      <c r="Q227" s="608">
        <f t="shared" si="84"/>
        <v>1753.7258333333332</v>
      </c>
      <c r="R227" s="608">
        <f t="shared" si="84"/>
        <v>7732.2166666666553</v>
      </c>
      <c r="S227" s="608">
        <f t="shared" si="84"/>
        <v>0</v>
      </c>
      <c r="T227" s="608">
        <f t="shared" si="84"/>
        <v>485.80000000000081</v>
      </c>
      <c r="U227" s="608">
        <f t="shared" si="84"/>
        <v>1328.5</v>
      </c>
      <c r="V227" s="608">
        <f t="shared" si="84"/>
        <v>1607.6314583333308</v>
      </c>
      <c r="W227" s="76">
        <f t="shared" si="84"/>
        <v>8038.1572916666773</v>
      </c>
      <c r="X227" s="76">
        <f t="shared" si="84"/>
        <v>12176.247916666678</v>
      </c>
      <c r="Y227" s="254">
        <f t="shared" si="84"/>
        <v>20214.405208333355</v>
      </c>
      <c r="Z227" s="89"/>
    </row>
    <row r="228" spans="2:26">
      <c r="H228" s="4"/>
      <c r="I228" s="4"/>
    </row>
    <row r="229" spans="2:26">
      <c r="H229" s="4"/>
      <c r="I229" s="4"/>
    </row>
    <row r="230" spans="2:26">
      <c r="H230" s="4"/>
      <c r="I230" s="4"/>
    </row>
    <row r="231" spans="2:26">
      <c r="H231" s="4"/>
      <c r="I231" s="4"/>
    </row>
    <row r="232" spans="2:26">
      <c r="H232" s="4"/>
      <c r="I232" s="4"/>
    </row>
    <row r="233" spans="2:26">
      <c r="H233" s="4"/>
      <c r="I233" s="4"/>
    </row>
    <row r="234" spans="2:26">
      <c r="H234" s="4"/>
      <c r="I234" s="4"/>
    </row>
    <row r="235" spans="2:26">
      <c r="H235" s="4"/>
      <c r="I235" s="4"/>
    </row>
    <row r="236" spans="2:26">
      <c r="H236" s="4"/>
      <c r="I236" s="4"/>
    </row>
    <row r="237" spans="2:26">
      <c r="H237" s="4"/>
      <c r="I237" s="4"/>
    </row>
    <row r="238" spans="2:26">
      <c r="H238" s="4"/>
      <c r="I238" s="4"/>
    </row>
    <row r="239" spans="2:26">
      <c r="H239" s="4"/>
      <c r="I239" s="4"/>
    </row>
    <row r="240" spans="2:26">
      <c r="H240" s="4"/>
      <c r="I240" s="4"/>
    </row>
    <row r="241" spans="8:9">
      <c r="H241" s="4"/>
      <c r="I241" s="4"/>
    </row>
    <row r="242" spans="8:9">
      <c r="H242" s="4"/>
      <c r="I242" s="4"/>
    </row>
    <row r="243" spans="8:9">
      <c r="H243" s="4"/>
      <c r="I243" s="4"/>
    </row>
    <row r="244" spans="8:9">
      <c r="H244" s="4"/>
      <c r="I244" s="4"/>
    </row>
    <row r="245" spans="8:9">
      <c r="H245" s="4"/>
      <c r="I245" s="4"/>
    </row>
    <row r="246" spans="8:9">
      <c r="H246" s="4"/>
      <c r="I246" s="4"/>
    </row>
    <row r="247" spans="8:9">
      <c r="H247" s="4"/>
      <c r="I247" s="4"/>
    </row>
    <row r="248" spans="8:9">
      <c r="H248" s="4"/>
      <c r="I248" s="4"/>
    </row>
    <row r="249" spans="8:9">
      <c r="H249" s="4"/>
      <c r="I249" s="4"/>
    </row>
    <row r="250" spans="8:9">
      <c r="H250" s="4"/>
      <c r="I250" s="4"/>
    </row>
    <row r="251" spans="8:9">
      <c r="H251" s="4"/>
      <c r="I251" s="4"/>
    </row>
    <row r="252" spans="8:9">
      <c r="H252" s="4"/>
      <c r="I252" s="4"/>
    </row>
    <row r="253" spans="8:9">
      <c r="H253" s="4"/>
      <c r="I253" s="4"/>
    </row>
    <row r="254" spans="8:9">
      <c r="H254" s="4"/>
      <c r="I254" s="4"/>
    </row>
    <row r="255" spans="8:9">
      <c r="H255" s="4"/>
      <c r="I255" s="4"/>
    </row>
    <row r="256" spans="8:9">
      <c r="H256" s="4"/>
      <c r="I256" s="4"/>
    </row>
    <row r="257" spans="8:9">
      <c r="H257" s="4"/>
      <c r="I257" s="4"/>
    </row>
    <row r="258" spans="8:9">
      <c r="H258" s="4"/>
      <c r="I258" s="4"/>
    </row>
    <row r="259" spans="8:9">
      <c r="H259" s="4"/>
      <c r="I259" s="4"/>
    </row>
    <row r="260" spans="8:9">
      <c r="H260" s="4"/>
      <c r="I260" s="4"/>
    </row>
    <row r="261" spans="8:9">
      <c r="H261" s="4"/>
      <c r="I261" s="4"/>
    </row>
    <row r="262" spans="8:9">
      <c r="H262" s="4"/>
      <c r="I262" s="4"/>
    </row>
    <row r="263" spans="8:9">
      <c r="H263" s="4"/>
      <c r="I263" s="4"/>
    </row>
    <row r="264" spans="8:9">
      <c r="H264" s="4"/>
      <c r="I264" s="4"/>
    </row>
    <row r="265" spans="8:9">
      <c r="H265" s="4"/>
      <c r="I265" s="4"/>
    </row>
    <row r="266" spans="8:9">
      <c r="H266" s="4"/>
      <c r="I266" s="4"/>
    </row>
    <row r="267" spans="8:9">
      <c r="H267" s="4"/>
      <c r="I267" s="4"/>
    </row>
    <row r="268" spans="8:9">
      <c r="H268" s="4"/>
      <c r="I268" s="4"/>
    </row>
    <row r="269" spans="8:9">
      <c r="H269" s="4"/>
      <c r="I269" s="4"/>
    </row>
    <row r="270" spans="8:9">
      <c r="H270" s="4"/>
      <c r="I270" s="4"/>
    </row>
    <row r="271" spans="8:9">
      <c r="H271" s="4"/>
      <c r="I271" s="4"/>
    </row>
    <row r="272" spans="8:9">
      <c r="H272" s="4"/>
      <c r="I272" s="4"/>
    </row>
    <row r="273" spans="8:9">
      <c r="H273" s="4"/>
      <c r="I273" s="4"/>
    </row>
    <row r="274" spans="8:9">
      <c r="H274" s="4"/>
      <c r="I274" s="4"/>
    </row>
    <row r="275" spans="8:9">
      <c r="H275" s="4"/>
      <c r="I275" s="4"/>
    </row>
    <row r="276" spans="8:9">
      <c r="H276" s="4"/>
      <c r="I276" s="4"/>
    </row>
    <row r="277" spans="8:9">
      <c r="H277" s="4"/>
      <c r="I277" s="4"/>
    </row>
    <row r="278" spans="8:9">
      <c r="H278" s="4"/>
      <c r="I278" s="4"/>
    </row>
    <row r="279" spans="8:9">
      <c r="H279" s="4"/>
      <c r="I279" s="4"/>
    </row>
    <row r="280" spans="8:9">
      <c r="H280" s="4"/>
      <c r="I280" s="4"/>
    </row>
    <row r="281" spans="8:9">
      <c r="H281" s="4"/>
      <c r="I281" s="4"/>
    </row>
  </sheetData>
  <autoFilter ref="B3:Z227" xr:uid="{62BC05BB-65F7-45F7-BA27-15F80FE9735E}"/>
  <dataValidations count="2">
    <dataValidation type="list" allowBlank="1" showInputMessage="1" showErrorMessage="1" sqref="F4:F226" xr:uid="{18AEC2C0-4EFD-4FF6-B0FA-20357362C196}">
      <formula1>$AD$4:$AD$5</formula1>
    </dataValidation>
    <dataValidation type="list" allowBlank="1" showInputMessage="1" showErrorMessage="1" sqref="G4:G226" xr:uid="{DE3893BC-1E54-4CCB-859A-D50DC716862F}">
      <formula1>#REF!</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C317A-FC11-4B01-927A-00733F9E850A}">
  <sheetPr>
    <tabColor theme="8" tint="0.39997558519241921"/>
  </sheetPr>
  <dimension ref="B2:AA226"/>
  <sheetViews>
    <sheetView showGridLines="0" zoomScale="73" zoomScaleNormal="73" workbookViewId="0"/>
  </sheetViews>
  <sheetFormatPr defaultRowHeight="15"/>
  <cols>
    <col min="1" max="1" width="2.140625" customWidth="1"/>
    <col min="2" max="2" width="12.140625" bestFit="1" customWidth="1"/>
    <col min="3" max="3" width="15.7109375" customWidth="1"/>
    <col min="5" max="5" width="13.7109375" customWidth="1"/>
    <col min="6" max="6" width="10.42578125" style="19" bestFit="1" customWidth="1"/>
    <col min="7" max="7" width="7.42578125" customWidth="1"/>
    <col min="8" max="8" width="11.5703125" bestFit="1" customWidth="1"/>
    <col min="12" max="12" width="11.5703125" bestFit="1" customWidth="1"/>
    <col min="16" max="16" width="10.42578125" bestFit="1" customWidth="1"/>
    <col min="20" max="20" width="10.42578125" bestFit="1" customWidth="1"/>
    <col min="24" max="24" width="10.42578125" bestFit="1" customWidth="1"/>
    <col min="32" max="32" width="30.7109375" customWidth="1"/>
    <col min="34" max="35" width="18.7109375" bestFit="1" customWidth="1"/>
  </cols>
  <sheetData>
    <row r="2" spans="2:27" ht="17.25">
      <c r="B2" s="607" t="s">
        <v>1083</v>
      </c>
      <c r="C2" s="607" t="str">
        <f>'MF Overview'!C2</f>
        <v>[MultiFamily Project]</v>
      </c>
      <c r="D2" s="60"/>
      <c r="E2" s="60"/>
      <c r="F2" s="89"/>
      <c r="X2" s="605" t="s">
        <v>1084</v>
      </c>
      <c r="Y2" s="605"/>
      <c r="Z2" s="522"/>
      <c r="AA2" s="522"/>
    </row>
    <row r="4" spans="2:27" ht="17.25">
      <c r="B4" s="676" t="s">
        <v>1327</v>
      </c>
      <c r="C4" s="676"/>
      <c r="D4" s="676"/>
      <c r="E4" s="676"/>
      <c r="F4" s="676"/>
      <c r="G4" s="676"/>
      <c r="H4" s="676"/>
      <c r="I4" s="676"/>
      <c r="J4" s="676"/>
      <c r="K4" s="676"/>
      <c r="L4" s="676"/>
      <c r="M4" s="676"/>
      <c r="N4" s="676"/>
      <c r="O4" s="676"/>
      <c r="P4" s="676"/>
      <c r="Q4" s="676"/>
      <c r="R4" s="676"/>
      <c r="S4" s="676"/>
      <c r="T4" s="676"/>
      <c r="U4" s="676"/>
      <c r="V4" s="676"/>
      <c r="W4" s="676"/>
      <c r="X4" s="676"/>
      <c r="Y4" s="676"/>
      <c r="Z4" s="676"/>
      <c r="AA4" s="675"/>
    </row>
    <row r="5" spans="2:27">
      <c r="B5" s="438" t="s">
        <v>946</v>
      </c>
      <c r="C5" s="601" t="s">
        <v>946</v>
      </c>
      <c r="D5" s="636" t="s">
        <v>1328</v>
      </c>
      <c r="E5" s="635">
        <v>3</v>
      </c>
      <c r="F5" s="674" t="s">
        <v>955</v>
      </c>
      <c r="G5" s="542"/>
      <c r="H5" s="542">
        <v>1</v>
      </c>
      <c r="I5" s="542" t="s">
        <v>1329</v>
      </c>
      <c r="J5" s="542" t="s">
        <v>554</v>
      </c>
      <c r="K5" s="542" t="s">
        <v>1330</v>
      </c>
      <c r="L5" s="542">
        <v>2</v>
      </c>
      <c r="M5" s="542" t="s">
        <v>1329</v>
      </c>
      <c r="N5" s="542" t="s">
        <v>554</v>
      </c>
      <c r="O5" s="542" t="s">
        <v>1330</v>
      </c>
      <c r="P5" s="542">
        <v>3</v>
      </c>
      <c r="Q5" s="542" t="s">
        <v>1329</v>
      </c>
      <c r="R5" s="542" t="s">
        <v>554</v>
      </c>
      <c r="S5" s="542" t="s">
        <v>1330</v>
      </c>
      <c r="T5" s="542">
        <v>4</v>
      </c>
      <c r="U5" s="542" t="s">
        <v>1329</v>
      </c>
      <c r="V5" s="542" t="s">
        <v>554</v>
      </c>
      <c r="W5" s="542" t="s">
        <v>1330</v>
      </c>
      <c r="X5" s="542">
        <v>5</v>
      </c>
      <c r="Y5" s="542" t="s">
        <v>1329</v>
      </c>
      <c r="Z5" s="542" t="s">
        <v>554</v>
      </c>
      <c r="AA5" s="542" t="s">
        <v>1330</v>
      </c>
    </row>
    <row r="6" spans="2:27">
      <c r="B6" s="21"/>
      <c r="D6" s="5">
        <v>1.5</v>
      </c>
      <c r="E6" s="1" t="s">
        <v>960</v>
      </c>
      <c r="F6" s="660">
        <f t="shared" ref="F6:F12" si="0">INDEX($H6:$AA6,1,MATCH($E$5,$H$5:$AA$5,0))</f>
        <v>1401.5900000000001</v>
      </c>
      <c r="G6" s="673"/>
      <c r="H6" s="664">
        <v>1326</v>
      </c>
      <c r="I6" s="662"/>
      <c r="J6" s="662"/>
      <c r="K6" s="661"/>
      <c r="L6" s="663">
        <f t="shared" ref="L6:L12" si="1">H6*1.2</f>
        <v>1591.2</v>
      </c>
      <c r="M6" s="662"/>
      <c r="N6" s="662"/>
      <c r="O6" s="661"/>
      <c r="P6" s="669">
        <v>1401.5900000000001</v>
      </c>
      <c r="Q6" s="662"/>
      <c r="R6" s="662"/>
      <c r="S6" s="661"/>
      <c r="T6" s="668">
        <v>1345</v>
      </c>
      <c r="U6" s="662"/>
      <c r="V6" s="662"/>
      <c r="W6" s="661"/>
      <c r="X6" s="668">
        <v>1345</v>
      </c>
      <c r="Y6" s="662"/>
      <c r="Z6" s="662"/>
      <c r="AA6" s="661"/>
    </row>
    <row r="7" spans="2:27">
      <c r="B7" s="21"/>
      <c r="D7" s="5">
        <v>2</v>
      </c>
      <c r="E7" s="1" t="s">
        <v>960</v>
      </c>
      <c r="F7" s="660">
        <f t="shared" si="0"/>
        <v>1469.26</v>
      </c>
      <c r="G7" s="672"/>
      <c r="H7" s="666">
        <v>1389</v>
      </c>
      <c r="I7" s="662"/>
      <c r="J7" s="662"/>
      <c r="K7" s="665"/>
      <c r="L7" s="663">
        <f t="shared" si="1"/>
        <v>1666.8</v>
      </c>
      <c r="M7" s="662"/>
      <c r="N7" s="662"/>
      <c r="O7" s="665"/>
      <c r="P7" s="669">
        <v>1469.26</v>
      </c>
      <c r="Q7" s="662"/>
      <c r="R7" s="662"/>
      <c r="S7" s="665"/>
      <c r="T7" s="668"/>
      <c r="U7" s="662"/>
      <c r="V7" s="662"/>
      <c r="W7" s="665"/>
      <c r="X7" s="668"/>
      <c r="Y7" s="662"/>
      <c r="Z7" s="662"/>
      <c r="AA7" s="665"/>
    </row>
    <row r="8" spans="2:27">
      <c r="B8" s="21"/>
      <c r="D8" s="5">
        <v>2.5</v>
      </c>
      <c r="E8" s="1" t="s">
        <v>960</v>
      </c>
      <c r="F8" s="660">
        <f t="shared" si="0"/>
        <v>1559.93</v>
      </c>
      <c r="G8" s="672"/>
      <c r="H8" s="666">
        <v>1482</v>
      </c>
      <c r="I8" s="662"/>
      <c r="J8" s="662"/>
      <c r="K8" s="665"/>
      <c r="L8" s="663">
        <f t="shared" si="1"/>
        <v>1778.3999999999999</v>
      </c>
      <c r="M8" s="662"/>
      <c r="N8" s="662"/>
      <c r="O8" s="665"/>
      <c r="P8" s="669">
        <v>1559.93</v>
      </c>
      <c r="Q8" s="662"/>
      <c r="R8" s="662"/>
      <c r="S8" s="665"/>
      <c r="T8" s="668"/>
      <c r="U8" s="662"/>
      <c r="V8" s="662"/>
      <c r="W8" s="665"/>
      <c r="X8" s="668"/>
      <c r="Y8" s="662"/>
      <c r="Z8" s="662"/>
      <c r="AA8" s="665"/>
    </row>
    <row r="9" spans="2:27">
      <c r="B9" s="21"/>
      <c r="D9" s="5">
        <v>3</v>
      </c>
      <c r="E9" s="1" t="s">
        <v>960</v>
      </c>
      <c r="F9" s="660">
        <f t="shared" si="0"/>
        <v>1860.4299999999998</v>
      </c>
      <c r="G9" s="672"/>
      <c r="H9" s="666">
        <v>1748</v>
      </c>
      <c r="I9" s="662"/>
      <c r="J9" s="662"/>
      <c r="K9" s="665"/>
      <c r="L9" s="663">
        <f t="shared" si="1"/>
        <v>2097.6</v>
      </c>
      <c r="M9" s="662"/>
      <c r="N9" s="662"/>
      <c r="O9" s="665"/>
      <c r="P9" s="669">
        <v>1860.4299999999998</v>
      </c>
      <c r="Q9" s="662"/>
      <c r="R9" s="662"/>
      <c r="S9" s="665"/>
      <c r="T9" s="668"/>
      <c r="U9" s="662"/>
      <c r="V9" s="662"/>
      <c r="W9" s="665"/>
      <c r="X9" s="668"/>
      <c r="Y9" s="662"/>
      <c r="Z9" s="662"/>
      <c r="AA9" s="665"/>
    </row>
    <row r="10" spans="2:27">
      <c r="B10" s="21"/>
      <c r="D10" s="5">
        <v>3.5</v>
      </c>
      <c r="E10" s="1" t="s">
        <v>960</v>
      </c>
      <c r="F10" s="660">
        <f t="shared" si="0"/>
        <v>2276.4300000000003</v>
      </c>
      <c r="G10" s="672"/>
      <c r="H10" s="666">
        <f>H9+350</f>
        <v>2098</v>
      </c>
      <c r="I10" s="662"/>
      <c r="J10" s="662"/>
      <c r="K10" s="665"/>
      <c r="L10" s="663">
        <f t="shared" si="1"/>
        <v>2517.6</v>
      </c>
      <c r="M10" s="662"/>
      <c r="N10" s="662"/>
      <c r="O10" s="665"/>
      <c r="P10" s="669">
        <v>2276.4300000000003</v>
      </c>
      <c r="Q10" s="662"/>
      <c r="R10" s="662"/>
      <c r="S10" s="665"/>
      <c r="T10" s="668"/>
      <c r="U10" s="662"/>
      <c r="V10" s="662"/>
      <c r="W10" s="665"/>
      <c r="X10" s="668"/>
      <c r="Y10" s="662"/>
      <c r="Z10" s="662"/>
      <c r="AA10" s="665"/>
    </row>
    <row r="11" spans="2:27">
      <c r="B11" s="21"/>
      <c r="D11" s="5">
        <v>4</v>
      </c>
      <c r="E11" s="1" t="s">
        <v>960</v>
      </c>
      <c r="F11" s="660">
        <f t="shared" si="0"/>
        <v>2448.0500000000002</v>
      </c>
      <c r="G11" s="672"/>
      <c r="H11" s="666">
        <f>H10+300</f>
        <v>2398</v>
      </c>
      <c r="I11" s="662"/>
      <c r="J11" s="662"/>
      <c r="K11" s="665"/>
      <c r="L11" s="663">
        <f t="shared" si="1"/>
        <v>2877.6</v>
      </c>
      <c r="M11" s="662"/>
      <c r="N11" s="662"/>
      <c r="O11" s="665"/>
      <c r="P11" s="669">
        <v>2448.0500000000002</v>
      </c>
      <c r="Q11" s="662"/>
      <c r="R11" s="662"/>
      <c r="S11" s="665"/>
      <c r="T11" s="668"/>
      <c r="U11" s="662"/>
      <c r="V11" s="662"/>
      <c r="W11" s="665"/>
      <c r="X11" s="668"/>
      <c r="Y11" s="662"/>
      <c r="Z11" s="662"/>
      <c r="AA11" s="665"/>
    </row>
    <row r="12" spans="2:27">
      <c r="B12" s="21"/>
      <c r="D12" s="5">
        <v>5</v>
      </c>
      <c r="E12" s="1" t="s">
        <v>960</v>
      </c>
      <c r="F12" s="660">
        <f t="shared" si="0"/>
        <v>2840.33</v>
      </c>
      <c r="G12" s="671"/>
      <c r="H12" s="670">
        <f>H11+600</f>
        <v>2998</v>
      </c>
      <c r="I12" s="662"/>
      <c r="J12" s="662"/>
      <c r="K12" s="667"/>
      <c r="L12" s="663">
        <f t="shared" si="1"/>
        <v>3597.6</v>
      </c>
      <c r="M12" s="662"/>
      <c r="N12" s="662"/>
      <c r="O12" s="667"/>
      <c r="P12" s="669">
        <v>2840.33</v>
      </c>
      <c r="Q12" s="662"/>
      <c r="R12" s="662"/>
      <c r="S12" s="667"/>
      <c r="T12" s="668"/>
      <c r="U12" s="662"/>
      <c r="V12" s="662"/>
      <c r="W12" s="667"/>
      <c r="X12" s="668"/>
      <c r="Y12" s="662"/>
      <c r="Z12" s="662"/>
      <c r="AA12" s="667"/>
    </row>
    <row r="13" spans="2:27">
      <c r="C13" s="463" t="s">
        <v>962</v>
      </c>
      <c r="D13" s="636" t="s">
        <v>1328</v>
      </c>
      <c r="E13" s="635">
        <v>1</v>
      </c>
      <c r="F13" s="634"/>
      <c r="G13" s="542"/>
      <c r="H13" s="542">
        <v>1</v>
      </c>
      <c r="I13" s="542" t="s">
        <v>1329</v>
      </c>
      <c r="J13" s="542" t="s">
        <v>554</v>
      </c>
      <c r="K13" s="542" t="s">
        <v>1330</v>
      </c>
      <c r="L13" s="542">
        <v>2</v>
      </c>
      <c r="M13" s="542" t="s">
        <v>1329</v>
      </c>
      <c r="N13" s="542" t="s">
        <v>554</v>
      </c>
      <c r="O13" s="542" t="s">
        <v>1330</v>
      </c>
      <c r="P13" s="542">
        <v>3</v>
      </c>
      <c r="Q13" s="542" t="s">
        <v>1329</v>
      </c>
      <c r="R13" s="542" t="s">
        <v>554</v>
      </c>
      <c r="S13" s="542" t="s">
        <v>1330</v>
      </c>
      <c r="T13" s="542">
        <v>4</v>
      </c>
      <c r="U13" s="542" t="s">
        <v>1329</v>
      </c>
      <c r="V13" s="542" t="s">
        <v>554</v>
      </c>
      <c r="W13" s="542" t="s">
        <v>1330</v>
      </c>
      <c r="X13" s="542">
        <v>5</v>
      </c>
      <c r="Y13" s="542" t="s">
        <v>1329</v>
      </c>
      <c r="Z13" s="542" t="s">
        <v>554</v>
      </c>
      <c r="AA13" s="542" t="s">
        <v>1330</v>
      </c>
    </row>
    <row r="14" spans="2:27">
      <c r="D14" s="1" t="s">
        <v>519</v>
      </c>
      <c r="E14" s="1" t="s">
        <v>1331</v>
      </c>
      <c r="F14" s="660">
        <f>INDEX($H14:$AA14,1,MATCH($E$13,$H$13:$AA$13,0))</f>
        <v>67</v>
      </c>
      <c r="G14" s="551"/>
      <c r="H14" s="664">
        <v>67</v>
      </c>
      <c r="I14" s="662"/>
      <c r="J14" s="662"/>
      <c r="K14" s="661"/>
      <c r="L14" s="663">
        <f>H14+5</f>
        <v>72</v>
      </c>
      <c r="M14" s="662"/>
      <c r="N14" s="662"/>
      <c r="O14" s="661"/>
      <c r="P14" s="663">
        <f>L14+5</f>
        <v>77</v>
      </c>
      <c r="Q14" s="662"/>
      <c r="R14" s="662"/>
      <c r="S14" s="661"/>
      <c r="T14" s="663">
        <f>P14+5</f>
        <v>82</v>
      </c>
      <c r="U14" s="662"/>
      <c r="V14" s="662"/>
      <c r="W14" s="661"/>
      <c r="X14" s="663">
        <f>T14+5</f>
        <v>87</v>
      </c>
      <c r="Y14" s="662"/>
      <c r="Z14" s="662"/>
      <c r="AA14" s="661"/>
    </row>
    <row r="15" spans="2:27">
      <c r="D15" s="1" t="s">
        <v>529</v>
      </c>
      <c r="E15" s="1" t="s">
        <v>1331</v>
      </c>
      <c r="F15" s="660">
        <f>INDEX($H15:$AA15,1,MATCH($E$13,$H$13:$AA$13,0))</f>
        <v>160</v>
      </c>
      <c r="G15" s="551"/>
      <c r="H15" s="666">
        <v>160</v>
      </c>
      <c r="I15" s="662"/>
      <c r="J15" s="662"/>
      <c r="K15" s="665"/>
      <c r="L15" s="663">
        <f>H15+5</f>
        <v>165</v>
      </c>
      <c r="M15" s="662"/>
      <c r="N15" s="662"/>
      <c r="O15" s="665"/>
      <c r="P15" s="663">
        <f>L15+5</f>
        <v>170</v>
      </c>
      <c r="Q15" s="662"/>
      <c r="R15" s="662"/>
      <c r="S15" s="665"/>
      <c r="T15" s="663">
        <f>P15+5</f>
        <v>175</v>
      </c>
      <c r="U15" s="662"/>
      <c r="V15" s="662"/>
      <c r="W15" s="665"/>
      <c r="X15" s="663">
        <f>T15+5</f>
        <v>180</v>
      </c>
      <c r="Y15" s="662"/>
      <c r="Z15" s="662"/>
      <c r="AA15" s="665"/>
    </row>
    <row r="16" spans="2:27">
      <c r="C16" s="461" t="s">
        <v>963</v>
      </c>
      <c r="D16" s="636" t="s">
        <v>1328</v>
      </c>
      <c r="E16" s="635">
        <v>1</v>
      </c>
      <c r="F16" s="634"/>
      <c r="G16" s="542"/>
      <c r="H16" s="542">
        <v>1</v>
      </c>
      <c r="I16" s="542" t="s">
        <v>1329</v>
      </c>
      <c r="J16" s="542" t="s">
        <v>554</v>
      </c>
      <c r="K16" s="542" t="s">
        <v>1330</v>
      </c>
      <c r="L16" s="542">
        <v>2</v>
      </c>
      <c r="M16" s="542" t="s">
        <v>1329</v>
      </c>
      <c r="N16" s="542" t="s">
        <v>554</v>
      </c>
      <c r="O16" s="542" t="s">
        <v>1330</v>
      </c>
      <c r="P16" s="542">
        <v>3</v>
      </c>
      <c r="Q16" s="542" t="s">
        <v>1329</v>
      </c>
      <c r="R16" s="542" t="s">
        <v>554</v>
      </c>
      <c r="S16" s="542" t="s">
        <v>1330</v>
      </c>
      <c r="T16" s="542">
        <v>4</v>
      </c>
      <c r="U16" s="542" t="s">
        <v>1329</v>
      </c>
      <c r="V16" s="542" t="s">
        <v>554</v>
      </c>
      <c r="W16" s="542" t="s">
        <v>1330</v>
      </c>
      <c r="X16" s="542">
        <v>5</v>
      </c>
      <c r="Y16" s="542" t="s">
        <v>1329</v>
      </c>
      <c r="Z16" s="542" t="s">
        <v>554</v>
      </c>
      <c r="AA16" s="542" t="s">
        <v>1330</v>
      </c>
    </row>
    <row r="17" spans="2:27">
      <c r="D17" s="1" t="s">
        <v>964</v>
      </c>
      <c r="E17" s="1" t="s">
        <v>1332</v>
      </c>
      <c r="F17" s="660">
        <f>INDEX($H17:$AA17,1,MATCH($E$16,$H$16:$AA$16,0))</f>
        <v>5.5</v>
      </c>
      <c r="G17" s="551"/>
      <c r="H17" s="664">
        <v>5.5</v>
      </c>
      <c r="I17" s="662"/>
      <c r="J17" s="662"/>
      <c r="K17" s="661"/>
      <c r="L17" s="663">
        <f>H17+1</f>
        <v>6.5</v>
      </c>
      <c r="M17" s="662"/>
      <c r="N17" s="662"/>
      <c r="O17" s="661"/>
      <c r="P17" s="663">
        <f>L17+1</f>
        <v>7.5</v>
      </c>
      <c r="Q17" s="662"/>
      <c r="R17" s="662"/>
      <c r="S17" s="661"/>
      <c r="T17" s="663">
        <f>P17+1</f>
        <v>8.5</v>
      </c>
      <c r="U17" s="662"/>
      <c r="V17" s="662"/>
      <c r="W17" s="661"/>
      <c r="X17" s="663">
        <f>T17+1</f>
        <v>9.5</v>
      </c>
      <c r="Y17" s="662"/>
      <c r="Z17" s="662"/>
      <c r="AA17" s="661"/>
    </row>
    <row r="18" spans="2:27">
      <c r="C18" s="461" t="s">
        <v>1201</v>
      </c>
      <c r="D18" s="636" t="s">
        <v>1328</v>
      </c>
      <c r="E18" s="635">
        <v>1</v>
      </c>
      <c r="F18" s="634"/>
      <c r="G18" s="542"/>
      <c r="H18" s="542">
        <v>1</v>
      </c>
      <c r="I18" s="542" t="s">
        <v>1329</v>
      </c>
      <c r="J18" s="542" t="s">
        <v>554</v>
      </c>
      <c r="K18" s="542" t="s">
        <v>1330</v>
      </c>
      <c r="L18" s="542">
        <v>2</v>
      </c>
      <c r="M18" s="542" t="s">
        <v>1329</v>
      </c>
      <c r="N18" s="542" t="s">
        <v>554</v>
      </c>
      <c r="O18" s="542" t="s">
        <v>1330</v>
      </c>
      <c r="P18" s="542">
        <v>3</v>
      </c>
      <c r="Q18" s="542" t="s">
        <v>1329</v>
      </c>
      <c r="R18" s="542" t="s">
        <v>554</v>
      </c>
      <c r="S18" s="542" t="s">
        <v>1330</v>
      </c>
      <c r="T18" s="542">
        <v>4</v>
      </c>
      <c r="U18" s="542" t="s">
        <v>1329</v>
      </c>
      <c r="V18" s="542" t="s">
        <v>554</v>
      </c>
      <c r="W18" s="542" t="s">
        <v>1330</v>
      </c>
      <c r="X18" s="542">
        <v>5</v>
      </c>
      <c r="Y18" s="542" t="s">
        <v>1329</v>
      </c>
      <c r="Z18" s="542" t="s">
        <v>554</v>
      </c>
      <c r="AA18" s="542" t="s">
        <v>1330</v>
      </c>
    </row>
    <row r="19" spans="2:27">
      <c r="D19" s="1" t="s">
        <v>964</v>
      </c>
      <c r="E19" s="1" t="s">
        <v>1332</v>
      </c>
      <c r="F19" s="660">
        <f>INDEX($H19:$AA19,1,MATCH($E$18,$H$18:$AA$18,0))</f>
        <v>12.5</v>
      </c>
      <c r="G19" s="551"/>
      <c r="H19" s="664">
        <v>12.5</v>
      </c>
      <c r="I19" s="662"/>
      <c r="J19" s="662"/>
      <c r="K19" s="661"/>
      <c r="L19" s="663">
        <f>H19+1</f>
        <v>13.5</v>
      </c>
      <c r="M19" s="662"/>
      <c r="N19" s="662"/>
      <c r="O19" s="661"/>
      <c r="P19" s="663">
        <f>L19+1</f>
        <v>14.5</v>
      </c>
      <c r="Q19" s="662"/>
      <c r="R19" s="662"/>
      <c r="S19" s="661"/>
      <c r="T19" s="663">
        <f>P19+1</f>
        <v>15.5</v>
      </c>
      <c r="U19" s="662"/>
      <c r="V19" s="662"/>
      <c r="W19" s="661"/>
      <c r="X19" s="663">
        <f>T19+1</f>
        <v>16.5</v>
      </c>
      <c r="Y19" s="662"/>
      <c r="Z19" s="662"/>
      <c r="AA19" s="661"/>
    </row>
    <row r="20" spans="2:27">
      <c r="C20" s="96" t="s">
        <v>967</v>
      </c>
      <c r="D20" s="636" t="s">
        <v>1328</v>
      </c>
      <c r="E20" s="635">
        <v>1</v>
      </c>
      <c r="F20" s="634"/>
      <c r="G20" s="542"/>
      <c r="H20" s="542">
        <v>1</v>
      </c>
      <c r="I20" s="542" t="s">
        <v>1329</v>
      </c>
      <c r="J20" s="542" t="s">
        <v>554</v>
      </c>
      <c r="K20" s="542" t="s">
        <v>1330</v>
      </c>
      <c r="L20" s="542">
        <v>2</v>
      </c>
      <c r="M20" s="542" t="s">
        <v>1329</v>
      </c>
      <c r="N20" s="542" t="s">
        <v>554</v>
      </c>
      <c r="O20" s="542" t="s">
        <v>1330</v>
      </c>
      <c r="P20" s="542">
        <v>3</v>
      </c>
      <c r="Q20" s="542" t="s">
        <v>1329</v>
      </c>
      <c r="R20" s="542" t="s">
        <v>554</v>
      </c>
      <c r="S20" s="542" t="s">
        <v>1330</v>
      </c>
      <c r="T20" s="542">
        <v>4</v>
      </c>
      <c r="U20" s="542" t="s">
        <v>1329</v>
      </c>
      <c r="V20" s="542" t="s">
        <v>554</v>
      </c>
      <c r="W20" s="542" t="s">
        <v>1330</v>
      </c>
      <c r="X20" s="542">
        <v>5</v>
      </c>
      <c r="Y20" s="542" t="s">
        <v>1329</v>
      </c>
      <c r="Z20" s="542" t="s">
        <v>554</v>
      </c>
      <c r="AA20" s="542" t="s">
        <v>1330</v>
      </c>
    </row>
    <row r="21" spans="2:27">
      <c r="D21" s="1"/>
      <c r="E21" s="1" t="s">
        <v>1333</v>
      </c>
      <c r="F21" s="660">
        <f>INDEX($H21:$AA21,1,MATCH($E$20,$H$20:$AA$20,0))</f>
        <v>13.5</v>
      </c>
      <c r="G21" s="551"/>
      <c r="H21" s="664">
        <v>13.5</v>
      </c>
      <c r="I21" s="662"/>
      <c r="J21" s="662"/>
      <c r="K21" s="661"/>
      <c r="L21" s="663">
        <f>H21+1</f>
        <v>14.5</v>
      </c>
      <c r="M21" s="662"/>
      <c r="N21" s="662"/>
      <c r="O21" s="661"/>
      <c r="P21" s="663">
        <f>L21+1</f>
        <v>15.5</v>
      </c>
      <c r="Q21" s="662"/>
      <c r="R21" s="662"/>
      <c r="S21" s="661"/>
      <c r="T21" s="663">
        <f>P21+1</f>
        <v>16.5</v>
      </c>
      <c r="U21" s="662"/>
      <c r="V21" s="662"/>
      <c r="W21" s="661"/>
      <c r="X21" s="663">
        <f>T21+1</f>
        <v>17.5</v>
      </c>
      <c r="Y21" s="662"/>
      <c r="Z21" s="662"/>
      <c r="AA21" s="661"/>
    </row>
    <row r="22" spans="2:27">
      <c r="C22" s="96" t="s">
        <v>969</v>
      </c>
      <c r="D22" s="636" t="s">
        <v>1328</v>
      </c>
      <c r="E22" s="635">
        <v>1</v>
      </c>
      <c r="F22" s="634"/>
      <c r="G22" s="542"/>
      <c r="H22" s="542">
        <v>1</v>
      </c>
      <c r="I22" s="542" t="s">
        <v>1329</v>
      </c>
      <c r="J22" s="542" t="s">
        <v>554</v>
      </c>
      <c r="K22" s="542" t="s">
        <v>1330</v>
      </c>
      <c r="L22" s="542">
        <v>2</v>
      </c>
      <c r="M22" s="542" t="s">
        <v>1329</v>
      </c>
      <c r="N22" s="542" t="s">
        <v>554</v>
      </c>
      <c r="O22" s="542" t="s">
        <v>1330</v>
      </c>
      <c r="P22" s="542">
        <v>3</v>
      </c>
      <c r="Q22" s="542" t="s">
        <v>1329</v>
      </c>
      <c r="R22" s="542" t="s">
        <v>554</v>
      </c>
      <c r="S22" s="542" t="s">
        <v>1330</v>
      </c>
      <c r="T22" s="542">
        <v>4</v>
      </c>
      <c r="U22" s="542" t="s">
        <v>1329</v>
      </c>
      <c r="V22" s="542" t="s">
        <v>554</v>
      </c>
      <c r="W22" s="542" t="s">
        <v>1330</v>
      </c>
      <c r="X22" s="542">
        <v>5</v>
      </c>
      <c r="Y22" s="542" t="s">
        <v>1329</v>
      </c>
      <c r="Z22" s="542" t="s">
        <v>554</v>
      </c>
      <c r="AA22" s="542" t="s">
        <v>1330</v>
      </c>
    </row>
    <row r="23" spans="2:27">
      <c r="D23" s="1"/>
      <c r="E23" s="1" t="s">
        <v>1333</v>
      </c>
      <c r="F23" s="660">
        <f>INDEX($H23:$AA23,1,MATCH($E$22,$H$22:$AA$22,0))</f>
        <v>13.5</v>
      </c>
      <c r="G23" s="551"/>
      <c r="H23" s="664">
        <v>13.5</v>
      </c>
      <c r="I23" s="662"/>
      <c r="J23" s="662"/>
      <c r="K23" s="661"/>
      <c r="L23" s="663">
        <f>H23+1</f>
        <v>14.5</v>
      </c>
      <c r="M23" s="662"/>
      <c r="N23" s="662"/>
      <c r="O23" s="661"/>
      <c r="P23" s="663">
        <f>L23+1</f>
        <v>15.5</v>
      </c>
      <c r="Q23" s="662"/>
      <c r="R23" s="662"/>
      <c r="S23" s="661"/>
      <c r="T23" s="663">
        <f>P23+1</f>
        <v>16.5</v>
      </c>
      <c r="U23" s="662"/>
      <c r="V23" s="662"/>
      <c r="W23" s="661"/>
      <c r="X23" s="663">
        <f>T23+1</f>
        <v>17.5</v>
      </c>
      <c r="Y23" s="662"/>
      <c r="Z23" s="662"/>
      <c r="AA23" s="661"/>
    </row>
    <row r="24" spans="2:27">
      <c r="C24" s="96" t="s">
        <v>970</v>
      </c>
      <c r="D24" s="636" t="s">
        <v>1328</v>
      </c>
      <c r="E24" s="635">
        <v>1</v>
      </c>
      <c r="F24" s="634"/>
      <c r="G24" s="542"/>
      <c r="H24" s="542">
        <v>1</v>
      </c>
      <c r="I24" s="542" t="s">
        <v>1329</v>
      </c>
      <c r="J24" s="542" t="s">
        <v>554</v>
      </c>
      <c r="K24" s="542" t="s">
        <v>1330</v>
      </c>
      <c r="L24" s="542">
        <v>2</v>
      </c>
      <c r="M24" s="542" t="s">
        <v>1329</v>
      </c>
      <c r="N24" s="542" t="s">
        <v>554</v>
      </c>
      <c r="O24" s="542" t="s">
        <v>1330</v>
      </c>
      <c r="P24" s="542">
        <v>3</v>
      </c>
      <c r="Q24" s="542" t="s">
        <v>1329</v>
      </c>
      <c r="R24" s="542" t="s">
        <v>554</v>
      </c>
      <c r="S24" s="542" t="s">
        <v>1330</v>
      </c>
      <c r="T24" s="542">
        <v>4</v>
      </c>
      <c r="U24" s="542" t="s">
        <v>1329</v>
      </c>
      <c r="V24" s="542" t="s">
        <v>554</v>
      </c>
      <c r="W24" s="542" t="s">
        <v>1330</v>
      </c>
      <c r="X24" s="542">
        <v>5</v>
      </c>
      <c r="Y24" s="542" t="s">
        <v>1329</v>
      </c>
      <c r="Z24" s="542" t="s">
        <v>554</v>
      </c>
      <c r="AA24" s="542" t="s">
        <v>1330</v>
      </c>
    </row>
    <row r="25" spans="2:27">
      <c r="D25" s="1"/>
      <c r="E25" s="1" t="s">
        <v>31</v>
      </c>
      <c r="F25" s="660">
        <f>INDEX($H25:$AA25,1,MATCH($E$22,$H$22:$AA$22,0))</f>
        <v>45</v>
      </c>
      <c r="G25" s="551"/>
      <c r="H25" s="664">
        <v>45</v>
      </c>
      <c r="I25" s="662"/>
      <c r="J25" s="662"/>
      <c r="K25" s="661"/>
      <c r="L25" s="663">
        <f>H25+2</f>
        <v>47</v>
      </c>
      <c r="M25" s="662"/>
      <c r="N25" s="662"/>
      <c r="O25" s="661"/>
      <c r="P25" s="663">
        <f>L25+1</f>
        <v>48</v>
      </c>
      <c r="Q25" s="662"/>
      <c r="R25" s="662"/>
      <c r="S25" s="661"/>
      <c r="T25" s="663">
        <f>P25+1</f>
        <v>49</v>
      </c>
      <c r="U25" s="662"/>
      <c r="V25" s="662"/>
      <c r="W25" s="661"/>
      <c r="X25" s="663">
        <f>T25+1</f>
        <v>50</v>
      </c>
      <c r="Y25" s="662"/>
      <c r="Z25" s="662"/>
      <c r="AA25" s="661"/>
    </row>
    <row r="26" spans="2:27">
      <c r="C26" s="96" t="s">
        <v>971</v>
      </c>
      <c r="D26" s="636" t="s">
        <v>1328</v>
      </c>
      <c r="E26" s="635">
        <v>1</v>
      </c>
      <c r="F26" s="634"/>
      <c r="G26" s="542"/>
      <c r="H26" s="542">
        <v>1</v>
      </c>
      <c r="I26" s="542" t="s">
        <v>1329</v>
      </c>
      <c r="J26" s="542" t="s">
        <v>554</v>
      </c>
      <c r="K26" s="542" t="s">
        <v>1330</v>
      </c>
      <c r="L26" s="542">
        <v>2</v>
      </c>
      <c r="M26" s="542" t="s">
        <v>1329</v>
      </c>
      <c r="N26" s="542" t="s">
        <v>554</v>
      </c>
      <c r="O26" s="542" t="s">
        <v>1330</v>
      </c>
      <c r="P26" s="542">
        <v>3</v>
      </c>
      <c r="Q26" s="542" t="s">
        <v>1329</v>
      </c>
      <c r="R26" s="542" t="s">
        <v>554</v>
      </c>
      <c r="S26" s="542" t="s">
        <v>1330</v>
      </c>
      <c r="T26" s="542">
        <v>4</v>
      </c>
      <c r="U26" s="542" t="s">
        <v>1329</v>
      </c>
      <c r="V26" s="542" t="s">
        <v>554</v>
      </c>
      <c r="W26" s="542" t="s">
        <v>1330</v>
      </c>
      <c r="X26" s="542">
        <v>5</v>
      </c>
      <c r="Y26" s="542" t="s">
        <v>1329</v>
      </c>
      <c r="Z26" s="542" t="s">
        <v>554</v>
      </c>
      <c r="AA26" s="542" t="s">
        <v>1330</v>
      </c>
    </row>
    <row r="27" spans="2:27">
      <c r="D27" s="1"/>
      <c r="E27" s="1" t="s">
        <v>31</v>
      </c>
      <c r="F27" s="660">
        <f>INDEX($H27:$AA27,1,MATCH($E$26,$H$26:$AA$26,0))</f>
        <v>60</v>
      </c>
      <c r="G27" s="551"/>
      <c r="H27" s="664">
        <v>60</v>
      </c>
      <c r="I27" s="662"/>
      <c r="J27" s="662"/>
      <c r="K27" s="661"/>
      <c r="L27" s="663">
        <f>H27+2</f>
        <v>62</v>
      </c>
      <c r="M27" s="662"/>
      <c r="N27" s="662"/>
      <c r="O27" s="661"/>
      <c r="P27" s="663">
        <f>L27+1</f>
        <v>63</v>
      </c>
      <c r="Q27" s="662"/>
      <c r="R27" s="662"/>
      <c r="S27" s="661"/>
      <c r="T27" s="663">
        <f>P27+1</f>
        <v>64</v>
      </c>
      <c r="U27" s="662"/>
      <c r="V27" s="662"/>
      <c r="W27" s="661"/>
      <c r="X27" s="663">
        <f>T27+1</f>
        <v>65</v>
      </c>
      <c r="Y27" s="662"/>
      <c r="Z27" s="662"/>
      <c r="AA27" s="661"/>
    </row>
    <row r="28" spans="2:27">
      <c r="C28" s="96" t="s">
        <v>972</v>
      </c>
      <c r="D28" s="636" t="s">
        <v>1328</v>
      </c>
      <c r="E28" s="635">
        <v>1</v>
      </c>
      <c r="F28" s="634"/>
      <c r="G28" s="542"/>
      <c r="H28" s="542">
        <v>1</v>
      </c>
      <c r="I28" s="542" t="s">
        <v>1329</v>
      </c>
      <c r="J28" s="542" t="s">
        <v>554</v>
      </c>
      <c r="K28" s="542" t="s">
        <v>1330</v>
      </c>
      <c r="L28" s="542">
        <v>2</v>
      </c>
      <c r="M28" s="542" t="s">
        <v>1329</v>
      </c>
      <c r="N28" s="542" t="s">
        <v>554</v>
      </c>
      <c r="O28" s="542" t="s">
        <v>1330</v>
      </c>
      <c r="P28" s="542">
        <v>3</v>
      </c>
      <c r="Q28" s="542" t="s">
        <v>1329</v>
      </c>
      <c r="R28" s="542" t="s">
        <v>554</v>
      </c>
      <c r="S28" s="542" t="s">
        <v>1330</v>
      </c>
      <c r="T28" s="542">
        <v>4</v>
      </c>
      <c r="U28" s="542" t="s">
        <v>1329</v>
      </c>
      <c r="V28" s="542" t="s">
        <v>554</v>
      </c>
      <c r="W28" s="542" t="s">
        <v>1330</v>
      </c>
      <c r="X28" s="542">
        <v>5</v>
      </c>
      <c r="Y28" s="542" t="s">
        <v>1329</v>
      </c>
      <c r="Z28" s="542" t="s">
        <v>554</v>
      </c>
      <c r="AA28" s="542" t="s">
        <v>1330</v>
      </c>
    </row>
    <row r="29" spans="2:27">
      <c r="D29" s="1"/>
      <c r="E29" s="1" t="s">
        <v>1334</v>
      </c>
      <c r="F29" s="660">
        <f>INDEX($H29:$AA29,1,MATCH($E$28,$H$28:$AA$28,0))</f>
        <v>325</v>
      </c>
      <c r="G29" s="551"/>
      <c r="H29" s="664">
        <v>325</v>
      </c>
      <c r="I29" s="662"/>
      <c r="J29" s="662"/>
      <c r="K29" s="661"/>
      <c r="L29" s="663">
        <f>H29+10</f>
        <v>335</v>
      </c>
      <c r="M29" s="662"/>
      <c r="N29" s="662"/>
      <c r="O29" s="661"/>
      <c r="P29" s="663">
        <f>L29+10</f>
        <v>345</v>
      </c>
      <c r="Q29" s="662"/>
      <c r="R29" s="662"/>
      <c r="S29" s="661"/>
      <c r="T29" s="663">
        <f>P29+10</f>
        <v>355</v>
      </c>
      <c r="U29" s="662"/>
      <c r="V29" s="662"/>
      <c r="W29" s="661"/>
      <c r="X29" s="663">
        <f>T29+10</f>
        <v>365</v>
      </c>
      <c r="Y29" s="662"/>
      <c r="Z29" s="662"/>
      <c r="AA29" s="661"/>
    </row>
    <row r="30" spans="2:27">
      <c r="C30" s="461" t="s">
        <v>74</v>
      </c>
      <c r="D30" s="636" t="s">
        <v>1328</v>
      </c>
      <c r="E30" s="635">
        <v>1</v>
      </c>
      <c r="F30" s="634"/>
      <c r="G30" s="542"/>
      <c r="H30" s="542">
        <v>1</v>
      </c>
      <c r="I30" s="542" t="s">
        <v>1329</v>
      </c>
      <c r="J30" s="542" t="s">
        <v>554</v>
      </c>
      <c r="K30" s="542" t="s">
        <v>1330</v>
      </c>
      <c r="L30" s="542">
        <v>2</v>
      </c>
      <c r="M30" s="542" t="s">
        <v>1329</v>
      </c>
      <c r="N30" s="542" t="s">
        <v>554</v>
      </c>
      <c r="O30" s="542" t="s">
        <v>1330</v>
      </c>
      <c r="P30" s="542">
        <v>3</v>
      </c>
      <c r="Q30" s="542" t="s">
        <v>1329</v>
      </c>
      <c r="R30" s="542" t="s">
        <v>554</v>
      </c>
      <c r="S30" s="542" t="s">
        <v>1330</v>
      </c>
      <c r="T30" s="542">
        <v>4</v>
      </c>
      <c r="U30" s="542" t="s">
        <v>1329</v>
      </c>
      <c r="V30" s="542" t="s">
        <v>554</v>
      </c>
      <c r="W30" s="542" t="s">
        <v>1330</v>
      </c>
      <c r="X30" s="542">
        <v>5</v>
      </c>
      <c r="Y30" s="542" t="s">
        <v>1329</v>
      </c>
      <c r="Z30" s="542" t="s">
        <v>554</v>
      </c>
      <c r="AA30" s="542" t="s">
        <v>1330</v>
      </c>
    </row>
    <row r="31" spans="2:27">
      <c r="D31" s="1"/>
      <c r="E31" s="1" t="s">
        <v>1335</v>
      </c>
      <c r="F31" s="660">
        <f>INDEX($H31:$AA31,1,MATCH($E$30,$H$30:$AA$30,0))</f>
        <v>20</v>
      </c>
      <c r="G31" s="551"/>
      <c r="H31" s="664">
        <v>20</v>
      </c>
      <c r="I31" s="662"/>
      <c r="J31" s="662"/>
      <c r="K31" s="661"/>
      <c r="L31" s="663">
        <f>H31+0.5</f>
        <v>20.5</v>
      </c>
      <c r="M31" s="662"/>
      <c r="N31" s="662"/>
      <c r="O31" s="661"/>
      <c r="P31" s="663">
        <f>L31+0.5</f>
        <v>21</v>
      </c>
      <c r="Q31" s="662"/>
      <c r="R31" s="662"/>
      <c r="S31" s="661"/>
      <c r="T31" s="663">
        <f>P31+0.5</f>
        <v>21.5</v>
      </c>
      <c r="U31" s="662"/>
      <c r="V31" s="662"/>
      <c r="W31" s="661"/>
      <c r="X31" s="663">
        <f>T31+0.5</f>
        <v>22</v>
      </c>
      <c r="Y31" s="662"/>
      <c r="Z31" s="662"/>
      <c r="AA31" s="661"/>
    </row>
    <row r="32" spans="2:27">
      <c r="B32" s="438" t="s">
        <v>622</v>
      </c>
      <c r="C32" s="462" t="s">
        <v>1336</v>
      </c>
      <c r="D32" s="636" t="s">
        <v>1328</v>
      </c>
      <c r="E32" s="635">
        <v>1</v>
      </c>
      <c r="F32" s="634"/>
      <c r="G32" s="542"/>
      <c r="H32" s="542">
        <v>1</v>
      </c>
      <c r="I32" s="542" t="s">
        <v>1329</v>
      </c>
      <c r="J32" s="542" t="s">
        <v>554</v>
      </c>
      <c r="K32" s="542" t="s">
        <v>1330</v>
      </c>
      <c r="L32" s="542">
        <v>2</v>
      </c>
      <c r="M32" s="542" t="s">
        <v>1329</v>
      </c>
      <c r="N32" s="542" t="s">
        <v>554</v>
      </c>
      <c r="O32" s="542" t="s">
        <v>1330</v>
      </c>
      <c r="P32" s="542">
        <v>3</v>
      </c>
      <c r="Q32" s="542" t="s">
        <v>1329</v>
      </c>
      <c r="R32" s="542" t="s">
        <v>554</v>
      </c>
      <c r="S32" s="542" t="s">
        <v>1330</v>
      </c>
      <c r="T32" s="542">
        <v>4</v>
      </c>
      <c r="U32" s="542" t="s">
        <v>1329</v>
      </c>
      <c r="V32" s="542" t="s">
        <v>554</v>
      </c>
      <c r="W32" s="542" t="s">
        <v>1330</v>
      </c>
      <c r="X32" s="542">
        <v>5</v>
      </c>
      <c r="Y32" s="542" t="s">
        <v>1329</v>
      </c>
      <c r="Z32" s="542" t="s">
        <v>554</v>
      </c>
      <c r="AA32" s="542" t="s">
        <v>1330</v>
      </c>
    </row>
    <row r="33" spans="2:27">
      <c r="D33" s="1"/>
      <c r="E33" s="1" t="s">
        <v>31</v>
      </c>
      <c r="F33" s="660">
        <f>INDEX($H33:$AA33,1,MATCH($E$32,$H$32:$AA$32,0))</f>
        <v>32</v>
      </c>
      <c r="G33" s="551"/>
      <c r="H33" s="664">
        <v>32</v>
      </c>
      <c r="I33" s="662"/>
      <c r="J33" s="662"/>
      <c r="K33" s="661"/>
      <c r="L33" s="663">
        <f>H33+0.5</f>
        <v>32.5</v>
      </c>
      <c r="M33" s="662"/>
      <c r="N33" s="662"/>
      <c r="O33" s="661"/>
      <c r="P33" s="663">
        <f>L33+0.5</f>
        <v>33</v>
      </c>
      <c r="Q33" s="662"/>
      <c r="R33" s="662"/>
      <c r="S33" s="661"/>
      <c r="T33" s="663">
        <f>P33+0.5</f>
        <v>33.5</v>
      </c>
      <c r="U33" s="662"/>
      <c r="V33" s="662"/>
      <c r="W33" s="661"/>
      <c r="X33" s="663">
        <f>T33+0.5</f>
        <v>34</v>
      </c>
      <c r="Y33" s="662"/>
      <c r="Z33" s="662"/>
      <c r="AA33" s="661"/>
    </row>
    <row r="34" spans="2:27">
      <c r="C34" s="461" t="s">
        <v>1337</v>
      </c>
      <c r="D34" s="636" t="s">
        <v>1328</v>
      </c>
      <c r="E34" s="635">
        <v>1</v>
      </c>
      <c r="F34" s="634"/>
      <c r="G34" s="542"/>
      <c r="H34" s="542">
        <v>1</v>
      </c>
      <c r="I34" s="542" t="s">
        <v>1329</v>
      </c>
      <c r="J34" s="542" t="s">
        <v>554</v>
      </c>
      <c r="K34" s="542" t="s">
        <v>1330</v>
      </c>
      <c r="L34" s="542">
        <v>2</v>
      </c>
      <c r="M34" s="542" t="s">
        <v>1329</v>
      </c>
      <c r="N34" s="542" t="s">
        <v>554</v>
      </c>
      <c r="O34" s="542" t="s">
        <v>1330</v>
      </c>
      <c r="P34" s="542">
        <v>3</v>
      </c>
      <c r="Q34" s="542" t="s">
        <v>1329</v>
      </c>
      <c r="R34" s="542" t="s">
        <v>554</v>
      </c>
      <c r="S34" s="542" t="s">
        <v>1330</v>
      </c>
      <c r="T34" s="542">
        <v>4</v>
      </c>
      <c r="U34" s="542" t="s">
        <v>1329</v>
      </c>
      <c r="V34" s="542" t="s">
        <v>554</v>
      </c>
      <c r="W34" s="542" t="s">
        <v>1330</v>
      </c>
      <c r="X34" s="542">
        <v>5</v>
      </c>
      <c r="Y34" s="542" t="s">
        <v>1329</v>
      </c>
      <c r="Z34" s="542" t="s">
        <v>554</v>
      </c>
      <c r="AA34" s="542" t="s">
        <v>1330</v>
      </c>
    </row>
    <row r="35" spans="2:27">
      <c r="D35" s="1"/>
      <c r="E35" s="1" t="s">
        <v>31</v>
      </c>
      <c r="F35" s="660">
        <f>INDEX($H35:$AA35,1,MATCH($E$32,$H$32:$AA$32,0))</f>
        <v>160</v>
      </c>
      <c r="G35" s="551"/>
      <c r="H35" s="664">
        <v>160</v>
      </c>
      <c r="I35" s="662"/>
      <c r="J35" s="662"/>
      <c r="K35" s="661"/>
      <c r="L35" s="663">
        <f>H35+5</f>
        <v>165</v>
      </c>
      <c r="M35" s="662"/>
      <c r="N35" s="662"/>
      <c r="O35" s="661"/>
      <c r="P35" s="663">
        <f>L35+5</f>
        <v>170</v>
      </c>
      <c r="Q35" s="662"/>
      <c r="R35" s="662"/>
      <c r="S35" s="661"/>
      <c r="T35" s="663">
        <f>P35+5</f>
        <v>175</v>
      </c>
      <c r="U35" s="662"/>
      <c r="V35" s="662"/>
      <c r="W35" s="661"/>
      <c r="X35" s="663">
        <f>T35+5</f>
        <v>180</v>
      </c>
      <c r="Y35" s="662"/>
      <c r="Z35" s="662"/>
      <c r="AA35" s="661"/>
    </row>
    <row r="36" spans="2:27">
      <c r="C36" s="461" t="s">
        <v>1338</v>
      </c>
      <c r="D36" s="636" t="s">
        <v>1328</v>
      </c>
      <c r="E36" s="635">
        <v>1</v>
      </c>
      <c r="F36" s="634"/>
      <c r="G36" s="542"/>
      <c r="H36" s="542">
        <v>1</v>
      </c>
      <c r="I36" s="542" t="s">
        <v>1329</v>
      </c>
      <c r="J36" s="542" t="s">
        <v>554</v>
      </c>
      <c r="K36" s="542" t="s">
        <v>1330</v>
      </c>
      <c r="L36" s="542">
        <v>2</v>
      </c>
      <c r="M36" s="542" t="s">
        <v>1329</v>
      </c>
      <c r="N36" s="542" t="s">
        <v>554</v>
      </c>
      <c r="O36" s="542" t="s">
        <v>1330</v>
      </c>
      <c r="P36" s="542">
        <v>3</v>
      </c>
      <c r="Q36" s="542" t="s">
        <v>1329</v>
      </c>
      <c r="R36" s="542" t="s">
        <v>554</v>
      </c>
      <c r="S36" s="542" t="s">
        <v>1330</v>
      </c>
      <c r="T36" s="542">
        <v>4</v>
      </c>
      <c r="U36" s="542" t="s">
        <v>1329</v>
      </c>
      <c r="V36" s="542" t="s">
        <v>554</v>
      </c>
      <c r="W36" s="542" t="s">
        <v>1330</v>
      </c>
      <c r="X36" s="542">
        <v>5</v>
      </c>
      <c r="Y36" s="542" t="s">
        <v>1329</v>
      </c>
      <c r="Z36" s="542" t="s">
        <v>554</v>
      </c>
      <c r="AA36" s="542" t="s">
        <v>1330</v>
      </c>
    </row>
    <row r="37" spans="2:27">
      <c r="D37" s="1"/>
      <c r="E37" s="1" t="s">
        <v>31</v>
      </c>
      <c r="F37" s="660">
        <f>INDEX($H37:$AA37,1,MATCH($E$32,$H$32:$AA$32,0))</f>
        <v>50</v>
      </c>
      <c r="G37" s="551"/>
      <c r="H37" s="664">
        <v>50</v>
      </c>
      <c r="I37" s="662"/>
      <c r="J37" s="662"/>
      <c r="K37" s="661"/>
      <c r="L37" s="663">
        <f>H37+5</f>
        <v>55</v>
      </c>
      <c r="M37" s="662"/>
      <c r="N37" s="662"/>
      <c r="O37" s="661"/>
      <c r="P37" s="663">
        <f>L37+5</f>
        <v>60</v>
      </c>
      <c r="Q37" s="662"/>
      <c r="R37" s="662"/>
      <c r="S37" s="661"/>
      <c r="T37" s="663">
        <f>P37+5</f>
        <v>65</v>
      </c>
      <c r="U37" s="662"/>
      <c r="V37" s="662"/>
      <c r="W37" s="661"/>
      <c r="X37" s="663">
        <f>T37+5</f>
        <v>70</v>
      </c>
      <c r="Y37" s="662"/>
      <c r="Z37" s="662"/>
      <c r="AA37" s="661"/>
    </row>
    <row r="38" spans="2:27">
      <c r="C38" s="461" t="s">
        <v>440</v>
      </c>
      <c r="D38" s="636" t="s">
        <v>1328</v>
      </c>
      <c r="E38" s="635">
        <v>1</v>
      </c>
      <c r="F38" s="634"/>
      <c r="G38" s="542"/>
      <c r="H38" s="542">
        <v>1</v>
      </c>
      <c r="I38" s="542" t="s">
        <v>1329</v>
      </c>
      <c r="J38" s="542" t="s">
        <v>554</v>
      </c>
      <c r="K38" s="542" t="s">
        <v>1330</v>
      </c>
      <c r="L38" s="542">
        <v>2</v>
      </c>
      <c r="M38" s="542" t="s">
        <v>1329</v>
      </c>
      <c r="N38" s="542" t="s">
        <v>554</v>
      </c>
      <c r="O38" s="542" t="s">
        <v>1330</v>
      </c>
      <c r="P38" s="542">
        <v>3</v>
      </c>
      <c r="Q38" s="542" t="s">
        <v>1329</v>
      </c>
      <c r="R38" s="542" t="s">
        <v>554</v>
      </c>
      <c r="S38" s="542" t="s">
        <v>1330</v>
      </c>
      <c r="T38" s="542">
        <v>4</v>
      </c>
      <c r="U38" s="542" t="s">
        <v>1329</v>
      </c>
      <c r="V38" s="542" t="s">
        <v>554</v>
      </c>
      <c r="W38" s="542" t="s">
        <v>1330</v>
      </c>
      <c r="X38" s="542">
        <v>5</v>
      </c>
      <c r="Y38" s="542" t="s">
        <v>1329</v>
      </c>
      <c r="Z38" s="542" t="s">
        <v>554</v>
      </c>
      <c r="AA38" s="542" t="s">
        <v>1330</v>
      </c>
    </row>
    <row r="39" spans="2:27">
      <c r="D39" s="1"/>
      <c r="E39" s="1" t="s">
        <v>1339</v>
      </c>
      <c r="F39" s="660">
        <f>INDEX($H39:$AA39,1,MATCH($E$38,$H$38:$AA$38,0))</f>
        <v>70</v>
      </c>
      <c r="G39" s="551"/>
      <c r="H39" s="664">
        <v>70</v>
      </c>
      <c r="I39" s="662"/>
      <c r="J39" s="662"/>
      <c r="K39" s="661"/>
      <c r="L39" s="663">
        <f>H39+2</f>
        <v>72</v>
      </c>
      <c r="M39" s="662"/>
      <c r="N39" s="662"/>
      <c r="O39" s="661"/>
      <c r="P39" s="663">
        <f>L39+2</f>
        <v>74</v>
      </c>
      <c r="Q39" s="662"/>
      <c r="R39" s="662"/>
      <c r="S39" s="661"/>
      <c r="T39" s="663">
        <f>P39+2</f>
        <v>76</v>
      </c>
      <c r="U39" s="662"/>
      <c r="V39" s="662"/>
      <c r="W39" s="661"/>
      <c r="X39" s="663">
        <f>T39+2</f>
        <v>78</v>
      </c>
      <c r="Y39" s="662"/>
      <c r="Z39" s="662"/>
      <c r="AA39" s="661"/>
    </row>
    <row r="40" spans="2:27">
      <c r="C40" s="461" t="s">
        <v>974</v>
      </c>
      <c r="D40" s="636" t="s">
        <v>1328</v>
      </c>
      <c r="E40" s="635">
        <v>1</v>
      </c>
      <c r="F40" s="634"/>
      <c r="G40" s="542"/>
      <c r="H40" s="542">
        <v>1</v>
      </c>
      <c r="I40" s="542" t="s">
        <v>1329</v>
      </c>
      <c r="J40" s="542" t="s">
        <v>554</v>
      </c>
      <c r="K40" s="542" t="s">
        <v>1330</v>
      </c>
      <c r="L40" s="542">
        <v>2</v>
      </c>
      <c r="M40" s="542" t="s">
        <v>1329</v>
      </c>
      <c r="N40" s="542" t="s">
        <v>554</v>
      </c>
      <c r="O40" s="542" t="s">
        <v>1330</v>
      </c>
      <c r="P40" s="542">
        <v>3</v>
      </c>
      <c r="Q40" s="542" t="s">
        <v>1329</v>
      </c>
      <c r="R40" s="542" t="s">
        <v>554</v>
      </c>
      <c r="S40" s="542" t="s">
        <v>1330</v>
      </c>
      <c r="T40" s="542">
        <v>4</v>
      </c>
      <c r="U40" s="542" t="s">
        <v>1329</v>
      </c>
      <c r="V40" s="542" t="s">
        <v>554</v>
      </c>
      <c r="W40" s="542" t="s">
        <v>1330</v>
      </c>
      <c r="X40" s="542">
        <v>5</v>
      </c>
      <c r="Y40" s="542" t="s">
        <v>1329</v>
      </c>
      <c r="Z40" s="542" t="s">
        <v>554</v>
      </c>
      <c r="AA40" s="542" t="s">
        <v>1330</v>
      </c>
    </row>
    <row r="41" spans="2:27">
      <c r="D41" s="1"/>
      <c r="E41" s="1" t="s">
        <v>31</v>
      </c>
      <c r="F41" s="660">
        <f>INDEX($H41:$AA41,1,MATCH($E$40,$H$40:$AA$40,0))</f>
        <v>0.5</v>
      </c>
      <c r="G41" s="551"/>
      <c r="H41" s="664">
        <v>0.5</v>
      </c>
      <c r="I41" s="662"/>
      <c r="J41" s="662"/>
      <c r="K41" s="661"/>
      <c r="L41" s="663">
        <f>H41+0.25</f>
        <v>0.75</v>
      </c>
      <c r="M41" s="662"/>
      <c r="N41" s="662"/>
      <c r="O41" s="661"/>
      <c r="P41" s="663">
        <f>L41+0.25</f>
        <v>1</v>
      </c>
      <c r="Q41" s="662"/>
      <c r="R41" s="662"/>
      <c r="S41" s="661"/>
      <c r="T41" s="663">
        <f>P41+0.25</f>
        <v>1.25</v>
      </c>
      <c r="U41" s="662"/>
      <c r="V41" s="662"/>
      <c r="W41" s="661"/>
      <c r="X41" s="663">
        <f>T41+0.25</f>
        <v>1.5</v>
      </c>
      <c r="Y41" s="662"/>
      <c r="Z41" s="662"/>
      <c r="AA41" s="661"/>
    </row>
    <row r="42" spans="2:27">
      <c r="C42" s="461" t="s">
        <v>975</v>
      </c>
      <c r="D42" s="636" t="s">
        <v>1328</v>
      </c>
      <c r="E42" s="635">
        <v>1</v>
      </c>
      <c r="F42" s="634"/>
      <c r="G42" s="542"/>
      <c r="H42" s="542">
        <v>1</v>
      </c>
      <c r="I42" s="542" t="s">
        <v>1329</v>
      </c>
      <c r="J42" s="542" t="s">
        <v>554</v>
      </c>
      <c r="K42" s="542" t="s">
        <v>1330</v>
      </c>
      <c r="L42" s="542">
        <v>2</v>
      </c>
      <c r="M42" s="542" t="s">
        <v>1329</v>
      </c>
      <c r="N42" s="542" t="s">
        <v>554</v>
      </c>
      <c r="O42" s="542" t="s">
        <v>1330</v>
      </c>
      <c r="P42" s="542">
        <v>3</v>
      </c>
      <c r="Q42" s="542" t="s">
        <v>1329</v>
      </c>
      <c r="R42" s="542" t="s">
        <v>554</v>
      </c>
      <c r="S42" s="542" t="s">
        <v>1330</v>
      </c>
      <c r="T42" s="542">
        <v>4</v>
      </c>
      <c r="U42" s="542" t="s">
        <v>1329</v>
      </c>
      <c r="V42" s="542" t="s">
        <v>554</v>
      </c>
      <c r="W42" s="542" t="s">
        <v>1330</v>
      </c>
      <c r="X42" s="542">
        <v>5</v>
      </c>
      <c r="Y42" s="542" t="s">
        <v>1329</v>
      </c>
      <c r="Z42" s="542" t="s">
        <v>554</v>
      </c>
      <c r="AA42" s="542" t="s">
        <v>1330</v>
      </c>
    </row>
    <row r="43" spans="2:27">
      <c r="D43" s="1"/>
      <c r="E43" s="1" t="s">
        <v>31</v>
      </c>
      <c r="F43" s="660">
        <f>INDEX($H43:$AA43,1,MATCH($E$42,$H$42:$AA$42,0))</f>
        <v>119</v>
      </c>
      <c r="G43" s="551"/>
      <c r="H43" s="664">
        <v>119</v>
      </c>
      <c r="I43" s="662"/>
      <c r="J43" s="662"/>
      <c r="K43" s="661"/>
      <c r="L43" s="663">
        <f>H43+4</f>
        <v>123</v>
      </c>
      <c r="M43" s="662"/>
      <c r="N43" s="662"/>
      <c r="O43" s="661"/>
      <c r="P43" s="663">
        <f>L43+4</f>
        <v>127</v>
      </c>
      <c r="Q43" s="662"/>
      <c r="R43" s="662"/>
      <c r="S43" s="661"/>
      <c r="T43" s="663">
        <f>P43+4</f>
        <v>131</v>
      </c>
      <c r="U43" s="662"/>
      <c r="V43" s="662"/>
      <c r="W43" s="661"/>
      <c r="X43" s="663">
        <f>T43+4</f>
        <v>135</v>
      </c>
      <c r="Y43" s="662"/>
      <c r="Z43" s="662"/>
      <c r="AA43" s="661"/>
    </row>
    <row r="44" spans="2:27">
      <c r="C44" s="461" t="s">
        <v>450</v>
      </c>
      <c r="D44" s="636" t="s">
        <v>1328</v>
      </c>
      <c r="E44" s="635">
        <v>1</v>
      </c>
      <c r="F44" s="634"/>
      <c r="G44" s="542"/>
      <c r="H44" s="542">
        <v>1</v>
      </c>
      <c r="I44" s="542" t="s">
        <v>1329</v>
      </c>
      <c r="J44" s="542" t="s">
        <v>554</v>
      </c>
      <c r="K44" s="542" t="s">
        <v>1330</v>
      </c>
      <c r="L44" s="542">
        <v>2</v>
      </c>
      <c r="M44" s="542" t="s">
        <v>1329</v>
      </c>
      <c r="N44" s="542" t="s">
        <v>554</v>
      </c>
      <c r="O44" s="542" t="s">
        <v>1330</v>
      </c>
      <c r="P44" s="542">
        <v>3</v>
      </c>
      <c r="Q44" s="542" t="s">
        <v>1329</v>
      </c>
      <c r="R44" s="542" t="s">
        <v>554</v>
      </c>
      <c r="S44" s="542" t="s">
        <v>1330</v>
      </c>
      <c r="T44" s="542">
        <v>4</v>
      </c>
      <c r="U44" s="542" t="s">
        <v>1329</v>
      </c>
      <c r="V44" s="542" t="s">
        <v>554</v>
      </c>
      <c r="W44" s="542" t="s">
        <v>1330</v>
      </c>
      <c r="X44" s="542">
        <v>5</v>
      </c>
      <c r="Y44" s="542" t="s">
        <v>1329</v>
      </c>
      <c r="Z44" s="542" t="s">
        <v>554</v>
      </c>
      <c r="AA44" s="542" t="s">
        <v>1330</v>
      </c>
    </row>
    <row r="45" spans="2:27">
      <c r="D45" s="1"/>
      <c r="E45" s="1" t="s">
        <v>31</v>
      </c>
      <c r="F45" s="660">
        <f>INDEX($H45:$AA45,1,MATCH($E$42,$H$42:$AA$42,0))</f>
        <v>180</v>
      </c>
      <c r="G45" s="551"/>
      <c r="H45" s="664">
        <v>180</v>
      </c>
      <c r="I45" s="662"/>
      <c r="J45" s="662"/>
      <c r="K45" s="661"/>
      <c r="L45" s="663">
        <f>H45+4</f>
        <v>184</v>
      </c>
      <c r="M45" s="662"/>
      <c r="N45" s="662"/>
      <c r="O45" s="661"/>
      <c r="P45" s="663">
        <f>L45+4</f>
        <v>188</v>
      </c>
      <c r="Q45" s="662"/>
      <c r="R45" s="662"/>
      <c r="S45" s="661"/>
      <c r="T45" s="663">
        <f>P45+4</f>
        <v>192</v>
      </c>
      <c r="U45" s="662"/>
      <c r="V45" s="662"/>
      <c r="W45" s="661"/>
      <c r="X45" s="663">
        <f>T45+4</f>
        <v>196</v>
      </c>
      <c r="Y45" s="662"/>
      <c r="Z45" s="662"/>
      <c r="AA45" s="661"/>
    </row>
    <row r="46" spans="2:27">
      <c r="C46" s="461" t="s">
        <v>1340</v>
      </c>
      <c r="D46" s="636" t="s">
        <v>1328</v>
      </c>
      <c r="E46" s="635">
        <v>1</v>
      </c>
      <c r="F46" s="634"/>
      <c r="G46" s="542"/>
      <c r="H46" s="542">
        <v>1</v>
      </c>
      <c r="I46" s="542" t="s">
        <v>1329</v>
      </c>
      <c r="J46" s="542" t="s">
        <v>554</v>
      </c>
      <c r="K46" s="542" t="s">
        <v>1330</v>
      </c>
      <c r="L46" s="542">
        <v>2</v>
      </c>
      <c r="M46" s="542" t="s">
        <v>1329</v>
      </c>
      <c r="N46" s="542" t="s">
        <v>554</v>
      </c>
      <c r="O46" s="542" t="s">
        <v>1330</v>
      </c>
      <c r="P46" s="542">
        <v>3</v>
      </c>
      <c r="Q46" s="542" t="s">
        <v>1329</v>
      </c>
      <c r="R46" s="542" t="s">
        <v>554</v>
      </c>
      <c r="S46" s="542" t="s">
        <v>1330</v>
      </c>
      <c r="T46" s="542">
        <v>4</v>
      </c>
      <c r="U46" s="542" t="s">
        <v>1329</v>
      </c>
      <c r="V46" s="542" t="s">
        <v>554</v>
      </c>
      <c r="W46" s="542" t="s">
        <v>1330</v>
      </c>
      <c r="X46" s="542">
        <v>5</v>
      </c>
      <c r="Y46" s="542" t="s">
        <v>1329</v>
      </c>
      <c r="Z46" s="542" t="s">
        <v>554</v>
      </c>
      <c r="AA46" s="542" t="s">
        <v>1330</v>
      </c>
    </row>
    <row r="47" spans="2:27">
      <c r="D47" s="1"/>
      <c r="E47" s="1" t="s">
        <v>31</v>
      </c>
      <c r="F47" s="660">
        <f>INDEX($H47:$AA47,1,MATCH($E$42,$H$42:$AA$42,0))</f>
        <v>235</v>
      </c>
      <c r="G47" s="551"/>
      <c r="H47" s="664">
        <v>235</v>
      </c>
      <c r="I47" s="662"/>
      <c r="J47" s="662"/>
      <c r="K47" s="661"/>
      <c r="L47" s="663">
        <f>H47+4</f>
        <v>239</v>
      </c>
      <c r="M47" s="662"/>
      <c r="N47" s="662"/>
      <c r="O47" s="661"/>
      <c r="P47" s="663">
        <f>L47+4</f>
        <v>243</v>
      </c>
      <c r="Q47" s="662"/>
      <c r="R47" s="662"/>
      <c r="S47" s="661"/>
      <c r="T47" s="663">
        <f>P47+4</f>
        <v>247</v>
      </c>
      <c r="U47" s="662"/>
      <c r="V47" s="662"/>
      <c r="W47" s="661"/>
      <c r="X47" s="663">
        <f>T47+4</f>
        <v>251</v>
      </c>
      <c r="Y47" s="662"/>
      <c r="Z47" s="662"/>
      <c r="AA47" s="661"/>
    </row>
    <row r="48" spans="2:27">
      <c r="B48" s="438" t="s">
        <v>976</v>
      </c>
      <c r="C48" s="462" t="s">
        <v>491</v>
      </c>
      <c r="D48" s="636" t="s">
        <v>1328</v>
      </c>
      <c r="E48" s="635">
        <v>1</v>
      </c>
      <c r="F48" s="634"/>
      <c r="G48" s="542"/>
      <c r="H48" s="542">
        <v>1</v>
      </c>
      <c r="I48" s="542" t="s">
        <v>1329</v>
      </c>
      <c r="J48" s="542" t="s">
        <v>554</v>
      </c>
      <c r="K48" s="542" t="s">
        <v>1330</v>
      </c>
      <c r="L48" s="542">
        <v>2</v>
      </c>
      <c r="M48" s="542" t="s">
        <v>1329</v>
      </c>
      <c r="N48" s="542" t="s">
        <v>554</v>
      </c>
      <c r="O48" s="542" t="s">
        <v>1330</v>
      </c>
      <c r="P48" s="542">
        <v>3</v>
      </c>
      <c r="Q48" s="542" t="s">
        <v>1329</v>
      </c>
      <c r="R48" s="542" t="s">
        <v>554</v>
      </c>
      <c r="S48" s="542" t="s">
        <v>1330</v>
      </c>
      <c r="T48" s="542">
        <v>4</v>
      </c>
      <c r="U48" s="542" t="s">
        <v>1329</v>
      </c>
      <c r="V48" s="542" t="s">
        <v>554</v>
      </c>
      <c r="W48" s="542" t="s">
        <v>1330</v>
      </c>
      <c r="X48" s="542">
        <v>5</v>
      </c>
      <c r="Y48" s="542" t="s">
        <v>1329</v>
      </c>
      <c r="Z48" s="542" t="s">
        <v>554</v>
      </c>
      <c r="AA48" s="542" t="s">
        <v>1330</v>
      </c>
    </row>
    <row r="49" spans="2:27">
      <c r="B49" s="438" t="s">
        <v>977</v>
      </c>
      <c r="D49" s="1"/>
      <c r="E49" s="1" t="s">
        <v>31</v>
      </c>
      <c r="F49" s="660">
        <f>INDEX($H49:$AA49,1,MATCH($E$48,$H$48:$AA$48,0))</f>
        <v>14</v>
      </c>
      <c r="G49" s="551"/>
      <c r="H49" s="664">
        <v>14</v>
      </c>
      <c r="I49" s="662"/>
      <c r="J49" s="662"/>
      <c r="K49" s="661"/>
      <c r="L49" s="663">
        <f>H49+0.5</f>
        <v>14.5</v>
      </c>
      <c r="M49" s="662"/>
      <c r="N49" s="662"/>
      <c r="O49" s="661"/>
      <c r="P49" s="663">
        <f>L49+0.5</f>
        <v>15</v>
      </c>
      <c r="Q49" s="662"/>
      <c r="R49" s="662"/>
      <c r="S49" s="661"/>
      <c r="T49" s="663">
        <f>P49+0.5</f>
        <v>15.5</v>
      </c>
      <c r="U49" s="662"/>
      <c r="V49" s="662"/>
      <c r="W49" s="661"/>
      <c r="X49" s="663">
        <f>T49+0.5</f>
        <v>16</v>
      </c>
      <c r="Y49" s="662"/>
      <c r="Z49" s="662"/>
      <c r="AA49" s="661"/>
    </row>
    <row r="50" spans="2:27">
      <c r="C50" s="461" t="s">
        <v>976</v>
      </c>
      <c r="D50" s="636" t="s">
        <v>1328</v>
      </c>
      <c r="E50" s="635">
        <v>1</v>
      </c>
      <c r="F50" s="634"/>
      <c r="G50" s="542"/>
      <c r="H50" s="542">
        <v>1</v>
      </c>
      <c r="I50" s="542" t="s">
        <v>1329</v>
      </c>
      <c r="J50" s="542" t="s">
        <v>554</v>
      </c>
      <c r="K50" s="542" t="s">
        <v>1330</v>
      </c>
      <c r="L50" s="542">
        <v>2</v>
      </c>
      <c r="M50" s="542" t="s">
        <v>1329</v>
      </c>
      <c r="N50" s="542" t="s">
        <v>554</v>
      </c>
      <c r="O50" s="542" t="s">
        <v>1330</v>
      </c>
      <c r="P50" s="542">
        <v>3</v>
      </c>
      <c r="Q50" s="542" t="s">
        <v>1329</v>
      </c>
      <c r="R50" s="542" t="s">
        <v>554</v>
      </c>
      <c r="S50" s="542" t="s">
        <v>1330</v>
      </c>
      <c r="T50" s="542">
        <v>4</v>
      </c>
      <c r="U50" s="542" t="s">
        <v>1329</v>
      </c>
      <c r="V50" s="542" t="s">
        <v>554</v>
      </c>
      <c r="W50" s="542" t="s">
        <v>1330</v>
      </c>
      <c r="X50" s="542">
        <v>5</v>
      </c>
      <c r="Y50" s="542" t="s">
        <v>1329</v>
      </c>
      <c r="Z50" s="542" t="s">
        <v>554</v>
      </c>
      <c r="AA50" s="542" t="s">
        <v>1330</v>
      </c>
    </row>
    <row r="51" spans="2:27">
      <c r="D51" s="1"/>
      <c r="E51" s="1" t="s">
        <v>1341</v>
      </c>
      <c r="F51" s="660">
        <f>INDEX($H51:$AA51,1,MATCH($E$50,$H$50:$AA$50,0))</f>
        <v>6.5</v>
      </c>
      <c r="G51" s="551"/>
      <c r="H51" s="664">
        <v>6.5</v>
      </c>
      <c r="I51" s="662"/>
      <c r="J51" s="662"/>
      <c r="K51" s="661"/>
      <c r="L51" s="663">
        <f>H51+0.5</f>
        <v>7</v>
      </c>
      <c r="M51" s="662"/>
      <c r="N51" s="662"/>
      <c r="O51" s="661"/>
      <c r="P51" s="663">
        <f>L51+0.5</f>
        <v>7.5</v>
      </c>
      <c r="Q51" s="662"/>
      <c r="R51" s="662"/>
      <c r="S51" s="661"/>
      <c r="T51" s="663">
        <f>P51+0.5</f>
        <v>8</v>
      </c>
      <c r="U51" s="662"/>
      <c r="V51" s="662"/>
      <c r="W51" s="661"/>
      <c r="X51" s="663">
        <f>T51+0.5</f>
        <v>8.5</v>
      </c>
      <c r="Y51" s="662"/>
      <c r="Z51" s="662"/>
      <c r="AA51" s="661"/>
    </row>
    <row r="52" spans="2:27">
      <c r="C52" s="461" t="s">
        <v>978</v>
      </c>
      <c r="D52" s="636" t="s">
        <v>1328</v>
      </c>
      <c r="E52" s="635">
        <v>1</v>
      </c>
      <c r="F52" s="634"/>
      <c r="G52" s="542"/>
      <c r="H52" s="542">
        <v>1</v>
      </c>
      <c r="I52" s="542" t="s">
        <v>1329</v>
      </c>
      <c r="J52" s="542" t="s">
        <v>554</v>
      </c>
      <c r="K52" s="542" t="s">
        <v>1330</v>
      </c>
      <c r="L52" s="542">
        <v>2</v>
      </c>
      <c r="M52" s="542" t="s">
        <v>1329</v>
      </c>
      <c r="N52" s="542" t="s">
        <v>554</v>
      </c>
      <c r="O52" s="542" t="s">
        <v>1330</v>
      </c>
      <c r="P52" s="542">
        <v>3</v>
      </c>
      <c r="Q52" s="542" t="s">
        <v>1329</v>
      </c>
      <c r="R52" s="542" t="s">
        <v>554</v>
      </c>
      <c r="S52" s="542" t="s">
        <v>1330</v>
      </c>
      <c r="T52" s="542">
        <v>4</v>
      </c>
      <c r="U52" s="542" t="s">
        <v>1329</v>
      </c>
      <c r="V52" s="542" t="s">
        <v>554</v>
      </c>
      <c r="W52" s="542" t="s">
        <v>1330</v>
      </c>
      <c r="X52" s="542">
        <v>5</v>
      </c>
      <c r="Y52" s="542" t="s">
        <v>1329</v>
      </c>
      <c r="Z52" s="542" t="s">
        <v>554</v>
      </c>
      <c r="AA52" s="542" t="s">
        <v>1330</v>
      </c>
    </row>
    <row r="53" spans="2:27">
      <c r="D53" s="1"/>
      <c r="E53" s="1" t="s">
        <v>1342</v>
      </c>
      <c r="F53" s="660">
        <f>INDEX($H53:$AA53,1,MATCH($E$52,$H$52:$AA$52,0))</f>
        <v>0.25</v>
      </c>
      <c r="G53" s="551"/>
      <c r="H53" s="664">
        <v>0.25</v>
      </c>
      <c r="I53" s="662"/>
      <c r="J53" s="662"/>
      <c r="K53" s="661"/>
      <c r="L53" s="663">
        <f>H53+0.2</f>
        <v>0.45</v>
      </c>
      <c r="M53" s="662"/>
      <c r="N53" s="662"/>
      <c r="O53" s="661"/>
      <c r="P53" s="663">
        <f>L53+0.2</f>
        <v>0.65</v>
      </c>
      <c r="Q53" s="662"/>
      <c r="R53" s="662"/>
      <c r="S53" s="661"/>
      <c r="T53" s="663">
        <f>P53+0.2</f>
        <v>0.85000000000000009</v>
      </c>
      <c r="U53" s="662"/>
      <c r="V53" s="662"/>
      <c r="W53" s="661"/>
      <c r="X53" s="663">
        <f>T53+0.2</f>
        <v>1.05</v>
      </c>
      <c r="Y53" s="662"/>
      <c r="Z53" s="662"/>
      <c r="AA53" s="661"/>
    </row>
    <row r="54" spans="2:27">
      <c r="C54" s="461" t="s">
        <v>979</v>
      </c>
      <c r="D54" s="636" t="s">
        <v>1328</v>
      </c>
      <c r="E54" s="635">
        <v>1</v>
      </c>
      <c r="F54" s="634"/>
      <c r="G54" s="542"/>
      <c r="H54" s="542">
        <v>1</v>
      </c>
      <c r="I54" s="542" t="s">
        <v>1329</v>
      </c>
      <c r="J54" s="542" t="s">
        <v>554</v>
      </c>
      <c r="K54" s="542" t="s">
        <v>1330</v>
      </c>
      <c r="L54" s="542">
        <v>2</v>
      </c>
      <c r="M54" s="542" t="s">
        <v>1329</v>
      </c>
      <c r="N54" s="542" t="s">
        <v>554</v>
      </c>
      <c r="O54" s="542" t="s">
        <v>1330</v>
      </c>
      <c r="P54" s="542">
        <v>3</v>
      </c>
      <c r="Q54" s="542" t="s">
        <v>1329</v>
      </c>
      <c r="R54" s="542" t="s">
        <v>554</v>
      </c>
      <c r="S54" s="542" t="s">
        <v>1330</v>
      </c>
      <c r="T54" s="542">
        <v>4</v>
      </c>
      <c r="U54" s="542" t="s">
        <v>1329</v>
      </c>
      <c r="V54" s="542" t="s">
        <v>554</v>
      </c>
      <c r="W54" s="542" t="s">
        <v>1330</v>
      </c>
      <c r="X54" s="542">
        <v>5</v>
      </c>
      <c r="Y54" s="542" t="s">
        <v>1329</v>
      </c>
      <c r="Z54" s="542" t="s">
        <v>554</v>
      </c>
      <c r="AA54" s="542" t="s">
        <v>1330</v>
      </c>
    </row>
    <row r="55" spans="2:27">
      <c r="D55" s="16" t="s">
        <v>1343</v>
      </c>
      <c r="E55" s="1" t="s">
        <v>1332</v>
      </c>
      <c r="F55" s="660">
        <f>INDEX($H55:$AA55,1,MATCH($E$54,$H$54:$AA$54,0))</f>
        <v>6.25</v>
      </c>
      <c r="G55" s="551"/>
      <c r="H55" s="664">
        <v>6.25</v>
      </c>
      <c r="I55" s="662"/>
      <c r="J55" s="662"/>
      <c r="K55" s="661"/>
      <c r="L55" s="663">
        <f>H55+0.2</f>
        <v>6.45</v>
      </c>
      <c r="M55" s="662"/>
      <c r="N55" s="662"/>
      <c r="O55" s="661"/>
      <c r="P55" s="663">
        <f>L55+0.2</f>
        <v>6.65</v>
      </c>
      <c r="Q55" s="662"/>
      <c r="R55" s="662"/>
      <c r="S55" s="661"/>
      <c r="T55" s="663">
        <f>P55+0.2</f>
        <v>6.8500000000000005</v>
      </c>
      <c r="U55" s="662"/>
      <c r="V55" s="662"/>
      <c r="W55" s="661"/>
      <c r="X55" s="663">
        <f>T55+0.2</f>
        <v>7.0500000000000007</v>
      </c>
      <c r="Y55" s="662"/>
      <c r="Z55" s="662"/>
      <c r="AA55" s="661"/>
    </row>
    <row r="56" spans="2:27">
      <c r="B56" s="438" t="s">
        <v>753</v>
      </c>
      <c r="C56" s="96" t="s">
        <v>980</v>
      </c>
      <c r="D56" s="636" t="s">
        <v>1328</v>
      </c>
      <c r="E56" s="635">
        <v>1</v>
      </c>
      <c r="F56" s="634"/>
      <c r="G56" s="542"/>
      <c r="H56" s="542">
        <v>1</v>
      </c>
      <c r="I56" s="542" t="s">
        <v>1329</v>
      </c>
      <c r="J56" s="542" t="s">
        <v>554</v>
      </c>
      <c r="K56" s="542" t="s">
        <v>1330</v>
      </c>
      <c r="L56" s="542">
        <v>2</v>
      </c>
      <c r="M56" s="542" t="s">
        <v>1329</v>
      </c>
      <c r="N56" s="542" t="s">
        <v>554</v>
      </c>
      <c r="O56" s="542" t="s">
        <v>1330</v>
      </c>
      <c r="P56" s="542">
        <v>3</v>
      </c>
      <c r="Q56" s="542" t="s">
        <v>1329</v>
      </c>
      <c r="R56" s="542" t="s">
        <v>554</v>
      </c>
      <c r="S56" s="542" t="s">
        <v>1330</v>
      </c>
      <c r="T56" s="542">
        <v>4</v>
      </c>
      <c r="U56" s="542" t="s">
        <v>1329</v>
      </c>
      <c r="V56" s="542" t="s">
        <v>554</v>
      </c>
      <c r="W56" s="542" t="s">
        <v>1330</v>
      </c>
      <c r="X56" s="542">
        <v>5</v>
      </c>
      <c r="Y56" s="542" t="s">
        <v>1329</v>
      </c>
      <c r="Z56" s="542" t="s">
        <v>554</v>
      </c>
      <c r="AA56" s="542" t="s">
        <v>1330</v>
      </c>
    </row>
    <row r="57" spans="2:27">
      <c r="D57" s="16"/>
      <c r="E57" s="1" t="s">
        <v>31</v>
      </c>
      <c r="F57" s="660">
        <f>INDEX($H57:$AA57,1,MATCH($E$56,$H$56:$AA$56,0))</f>
        <v>49</v>
      </c>
      <c r="G57" s="551"/>
      <c r="H57" s="664">
        <v>49</v>
      </c>
      <c r="I57" s="662"/>
      <c r="J57" s="662"/>
      <c r="K57" s="661"/>
      <c r="L57" s="663">
        <f>H57+2</f>
        <v>51</v>
      </c>
      <c r="M57" s="662"/>
      <c r="N57" s="662"/>
      <c r="O57" s="661"/>
      <c r="P57" s="663">
        <f>L57+2</f>
        <v>53</v>
      </c>
      <c r="Q57" s="662"/>
      <c r="R57" s="662"/>
      <c r="S57" s="661"/>
      <c r="T57" s="663">
        <f>P57+2</f>
        <v>55</v>
      </c>
      <c r="U57" s="662"/>
      <c r="V57" s="662"/>
      <c r="W57" s="661"/>
      <c r="X57" s="663">
        <f>T57+2</f>
        <v>57</v>
      </c>
      <c r="Y57" s="662"/>
      <c r="Z57" s="662"/>
      <c r="AA57" s="661"/>
    </row>
    <row r="58" spans="2:27">
      <c r="C58" s="96" t="s">
        <v>981</v>
      </c>
      <c r="D58" s="636" t="s">
        <v>1328</v>
      </c>
      <c r="E58" s="635">
        <v>1</v>
      </c>
      <c r="F58" s="634"/>
      <c r="G58" s="542"/>
      <c r="H58" s="542">
        <v>1</v>
      </c>
      <c r="I58" s="542" t="s">
        <v>1329</v>
      </c>
      <c r="J58" s="542" t="s">
        <v>554</v>
      </c>
      <c r="K58" s="542" t="s">
        <v>1330</v>
      </c>
      <c r="L58" s="542">
        <v>2</v>
      </c>
      <c r="M58" s="542" t="s">
        <v>1329</v>
      </c>
      <c r="N58" s="542" t="s">
        <v>554</v>
      </c>
      <c r="O58" s="542" t="s">
        <v>1330</v>
      </c>
      <c r="P58" s="542">
        <v>3</v>
      </c>
      <c r="Q58" s="542" t="s">
        <v>1329</v>
      </c>
      <c r="R58" s="542" t="s">
        <v>554</v>
      </c>
      <c r="S58" s="542" t="s">
        <v>1330</v>
      </c>
      <c r="T58" s="542">
        <v>4</v>
      </c>
      <c r="U58" s="542" t="s">
        <v>1329</v>
      </c>
      <c r="V58" s="542" t="s">
        <v>554</v>
      </c>
      <c r="W58" s="542" t="s">
        <v>1330</v>
      </c>
      <c r="X58" s="542">
        <v>5</v>
      </c>
      <c r="Y58" s="542" t="s">
        <v>1329</v>
      </c>
      <c r="Z58" s="542" t="s">
        <v>554</v>
      </c>
      <c r="AA58" s="542" t="s">
        <v>1330</v>
      </c>
    </row>
    <row r="59" spans="2:27">
      <c r="D59" s="16"/>
      <c r="E59" s="1" t="s">
        <v>31</v>
      </c>
      <c r="F59" s="660">
        <f>INDEX($H59:$AA59,1,MATCH($E$58,$H$58:$AA$58,0))</f>
        <v>60</v>
      </c>
      <c r="G59" s="551"/>
      <c r="H59" s="664">
        <v>60</v>
      </c>
      <c r="I59" s="662"/>
      <c r="J59" s="662"/>
      <c r="K59" s="661"/>
      <c r="L59" s="663">
        <f>H59+2</f>
        <v>62</v>
      </c>
      <c r="M59" s="662"/>
      <c r="N59" s="662"/>
      <c r="O59" s="661"/>
      <c r="P59" s="663">
        <f>L59+2</f>
        <v>64</v>
      </c>
      <c r="Q59" s="662"/>
      <c r="R59" s="662"/>
      <c r="S59" s="661"/>
      <c r="T59" s="663">
        <f>P59+2</f>
        <v>66</v>
      </c>
      <c r="U59" s="662"/>
      <c r="V59" s="662"/>
      <c r="W59" s="661"/>
      <c r="X59" s="663">
        <f>T59+2</f>
        <v>68</v>
      </c>
      <c r="Y59" s="662"/>
      <c r="Z59" s="662"/>
      <c r="AA59" s="661"/>
    </row>
    <row r="60" spans="2:27">
      <c r="C60" s="96" t="s">
        <v>982</v>
      </c>
      <c r="D60" s="636" t="s">
        <v>1328</v>
      </c>
      <c r="E60" s="635">
        <v>1</v>
      </c>
      <c r="F60" s="634"/>
      <c r="G60" s="542"/>
      <c r="H60" s="542">
        <v>1</v>
      </c>
      <c r="I60" s="542" t="s">
        <v>1329</v>
      </c>
      <c r="J60" s="542" t="s">
        <v>554</v>
      </c>
      <c r="K60" s="542" t="s">
        <v>1330</v>
      </c>
      <c r="L60" s="542">
        <v>2</v>
      </c>
      <c r="M60" s="542" t="s">
        <v>1329</v>
      </c>
      <c r="N60" s="542" t="s">
        <v>554</v>
      </c>
      <c r="O60" s="542" t="s">
        <v>1330</v>
      </c>
      <c r="P60" s="542">
        <v>3</v>
      </c>
      <c r="Q60" s="542" t="s">
        <v>1329</v>
      </c>
      <c r="R60" s="542" t="s">
        <v>554</v>
      </c>
      <c r="S60" s="542" t="s">
        <v>1330</v>
      </c>
      <c r="T60" s="542">
        <v>4</v>
      </c>
      <c r="U60" s="542" t="s">
        <v>1329</v>
      </c>
      <c r="V60" s="542" t="s">
        <v>554</v>
      </c>
      <c r="W60" s="542" t="s">
        <v>1330</v>
      </c>
      <c r="X60" s="542">
        <v>5</v>
      </c>
      <c r="Y60" s="542" t="s">
        <v>1329</v>
      </c>
      <c r="Z60" s="542" t="s">
        <v>554</v>
      </c>
      <c r="AA60" s="542" t="s">
        <v>1330</v>
      </c>
    </row>
    <row r="61" spans="2:27">
      <c r="D61" s="16"/>
      <c r="E61" s="1" t="s">
        <v>31</v>
      </c>
      <c r="F61" s="660">
        <f>INDEX($H61:$AA61,1,MATCH($E$60,$H$60:$AA$60,0))</f>
        <v>25</v>
      </c>
      <c r="G61" s="551"/>
      <c r="H61" s="664">
        <v>25</v>
      </c>
      <c r="I61" s="662"/>
      <c r="J61" s="662"/>
      <c r="K61" s="661"/>
      <c r="L61" s="663">
        <f>H61+2</f>
        <v>27</v>
      </c>
      <c r="M61" s="662"/>
      <c r="N61" s="662"/>
      <c r="O61" s="661"/>
      <c r="P61" s="663">
        <f>L61+2</f>
        <v>29</v>
      </c>
      <c r="Q61" s="662"/>
      <c r="R61" s="662"/>
      <c r="S61" s="661"/>
      <c r="T61" s="663">
        <f>P61+2</f>
        <v>31</v>
      </c>
      <c r="U61" s="662"/>
      <c r="V61" s="662"/>
      <c r="W61" s="661"/>
      <c r="X61" s="663">
        <f>T61+2</f>
        <v>33</v>
      </c>
      <c r="Y61" s="662"/>
      <c r="Z61" s="662"/>
      <c r="AA61" s="661"/>
    </row>
    <row r="62" spans="2:27">
      <c r="C62" s="96" t="s">
        <v>983</v>
      </c>
      <c r="D62" s="636" t="s">
        <v>1328</v>
      </c>
      <c r="E62" s="635">
        <v>1</v>
      </c>
      <c r="F62" s="634"/>
      <c r="G62" s="542"/>
      <c r="H62" s="542">
        <v>1</v>
      </c>
      <c r="I62" s="542" t="s">
        <v>1329</v>
      </c>
      <c r="J62" s="542" t="s">
        <v>554</v>
      </c>
      <c r="K62" s="542" t="s">
        <v>1330</v>
      </c>
      <c r="L62" s="542">
        <v>2</v>
      </c>
      <c r="M62" s="542" t="s">
        <v>1329</v>
      </c>
      <c r="N62" s="542" t="s">
        <v>554</v>
      </c>
      <c r="O62" s="542" t="s">
        <v>1330</v>
      </c>
      <c r="P62" s="542">
        <v>3</v>
      </c>
      <c r="Q62" s="542" t="s">
        <v>1329</v>
      </c>
      <c r="R62" s="542" t="s">
        <v>554</v>
      </c>
      <c r="S62" s="542" t="s">
        <v>1330</v>
      </c>
      <c r="T62" s="542">
        <v>4</v>
      </c>
      <c r="U62" s="542" t="s">
        <v>1329</v>
      </c>
      <c r="V62" s="542" t="s">
        <v>554</v>
      </c>
      <c r="W62" s="542" t="s">
        <v>1330</v>
      </c>
      <c r="X62" s="542">
        <v>5</v>
      </c>
      <c r="Y62" s="542" t="s">
        <v>1329</v>
      </c>
      <c r="Z62" s="542" t="s">
        <v>554</v>
      </c>
      <c r="AA62" s="542" t="s">
        <v>1330</v>
      </c>
    </row>
    <row r="63" spans="2:27">
      <c r="D63" s="16"/>
      <c r="E63" s="1" t="s">
        <v>31</v>
      </c>
      <c r="F63" s="660">
        <f>INDEX($H63:$AA63,1,MATCH($E$62,$H$62:$AA$62,0))</f>
        <v>39</v>
      </c>
      <c r="G63" s="551"/>
      <c r="H63" s="664">
        <v>39</v>
      </c>
      <c r="I63" s="662"/>
      <c r="J63" s="662"/>
      <c r="K63" s="661"/>
      <c r="L63" s="663">
        <f>H63+2</f>
        <v>41</v>
      </c>
      <c r="M63" s="662"/>
      <c r="N63" s="662"/>
      <c r="O63" s="661"/>
      <c r="P63" s="663">
        <f>L63+2</f>
        <v>43</v>
      </c>
      <c r="Q63" s="662"/>
      <c r="R63" s="662"/>
      <c r="S63" s="661"/>
      <c r="T63" s="663">
        <f>P63+2</f>
        <v>45</v>
      </c>
      <c r="U63" s="662"/>
      <c r="V63" s="662"/>
      <c r="W63" s="661"/>
      <c r="X63" s="663">
        <f>T63+2</f>
        <v>47</v>
      </c>
      <c r="Y63" s="662"/>
      <c r="Z63" s="662"/>
      <c r="AA63" s="661"/>
    </row>
    <row r="64" spans="2:27">
      <c r="C64" s="96" t="s">
        <v>984</v>
      </c>
      <c r="D64" s="636" t="s">
        <v>1328</v>
      </c>
      <c r="E64" s="635">
        <v>1</v>
      </c>
      <c r="F64" s="634"/>
      <c r="G64" s="542"/>
      <c r="H64" s="542">
        <v>1</v>
      </c>
      <c r="I64" s="542" t="s">
        <v>1329</v>
      </c>
      <c r="J64" s="542" t="s">
        <v>554</v>
      </c>
      <c r="K64" s="542" t="s">
        <v>1330</v>
      </c>
      <c r="L64" s="542">
        <v>2</v>
      </c>
      <c r="M64" s="542" t="s">
        <v>1329</v>
      </c>
      <c r="N64" s="542" t="s">
        <v>554</v>
      </c>
      <c r="O64" s="542" t="s">
        <v>1330</v>
      </c>
      <c r="P64" s="542">
        <v>3</v>
      </c>
      <c r="Q64" s="542" t="s">
        <v>1329</v>
      </c>
      <c r="R64" s="542" t="s">
        <v>554</v>
      </c>
      <c r="S64" s="542" t="s">
        <v>1330</v>
      </c>
      <c r="T64" s="542">
        <v>4</v>
      </c>
      <c r="U64" s="542" t="s">
        <v>1329</v>
      </c>
      <c r="V64" s="542" t="s">
        <v>554</v>
      </c>
      <c r="W64" s="542" t="s">
        <v>1330</v>
      </c>
      <c r="X64" s="542">
        <v>5</v>
      </c>
      <c r="Y64" s="542" t="s">
        <v>1329</v>
      </c>
      <c r="Z64" s="542" t="s">
        <v>554</v>
      </c>
      <c r="AA64" s="542" t="s">
        <v>1330</v>
      </c>
    </row>
    <row r="65" spans="3:27">
      <c r="D65" s="16"/>
      <c r="E65" s="1" t="s">
        <v>31</v>
      </c>
      <c r="F65" s="660">
        <f>INDEX($H65:$AA65,1,MATCH($E$64,$H$64:$AA$64,0))</f>
        <v>35</v>
      </c>
      <c r="G65" s="551"/>
      <c r="H65" s="664">
        <v>35</v>
      </c>
      <c r="I65" s="662"/>
      <c r="J65" s="662"/>
      <c r="K65" s="661"/>
      <c r="L65" s="663">
        <f>H65+2</f>
        <v>37</v>
      </c>
      <c r="M65" s="662"/>
      <c r="N65" s="662"/>
      <c r="O65" s="661"/>
      <c r="P65" s="663">
        <f>L65+2</f>
        <v>39</v>
      </c>
      <c r="Q65" s="662"/>
      <c r="R65" s="662"/>
      <c r="S65" s="661"/>
      <c r="T65" s="663">
        <f>P65+2</f>
        <v>41</v>
      </c>
      <c r="U65" s="662"/>
      <c r="V65" s="662"/>
      <c r="W65" s="661"/>
      <c r="X65" s="663">
        <f>T65+2</f>
        <v>43</v>
      </c>
      <c r="Y65" s="662"/>
      <c r="Z65" s="662"/>
      <c r="AA65" s="661"/>
    </row>
    <row r="66" spans="3:27">
      <c r="C66" s="96" t="s">
        <v>985</v>
      </c>
      <c r="D66" s="636" t="s">
        <v>1328</v>
      </c>
      <c r="E66" s="635">
        <v>1</v>
      </c>
      <c r="F66" s="634"/>
      <c r="G66" s="542"/>
      <c r="H66" s="542">
        <v>1</v>
      </c>
      <c r="I66" s="542" t="s">
        <v>1329</v>
      </c>
      <c r="J66" s="542" t="s">
        <v>554</v>
      </c>
      <c r="K66" s="542" t="s">
        <v>1330</v>
      </c>
      <c r="L66" s="542">
        <v>2</v>
      </c>
      <c r="M66" s="542" t="s">
        <v>1329</v>
      </c>
      <c r="N66" s="542" t="s">
        <v>554</v>
      </c>
      <c r="O66" s="542" t="s">
        <v>1330</v>
      </c>
      <c r="P66" s="542">
        <v>3</v>
      </c>
      <c r="Q66" s="542" t="s">
        <v>1329</v>
      </c>
      <c r="R66" s="542" t="s">
        <v>554</v>
      </c>
      <c r="S66" s="542" t="s">
        <v>1330</v>
      </c>
      <c r="T66" s="542">
        <v>4</v>
      </c>
      <c r="U66" s="542" t="s">
        <v>1329</v>
      </c>
      <c r="V66" s="542" t="s">
        <v>554</v>
      </c>
      <c r="W66" s="542" t="s">
        <v>1330</v>
      </c>
      <c r="X66" s="542">
        <v>5</v>
      </c>
      <c r="Y66" s="542" t="s">
        <v>1329</v>
      </c>
      <c r="Z66" s="542" t="s">
        <v>554</v>
      </c>
      <c r="AA66" s="542" t="s">
        <v>1330</v>
      </c>
    </row>
    <row r="67" spans="3:27">
      <c r="D67" s="16"/>
      <c r="E67" s="1" t="s">
        <v>31</v>
      </c>
      <c r="F67" s="660">
        <f>INDEX($H67:$AA67,1,MATCH($E$66,$H$66:$AA$66,0))</f>
        <v>29</v>
      </c>
      <c r="G67" s="551"/>
      <c r="H67" s="664">
        <v>29</v>
      </c>
      <c r="I67" s="662"/>
      <c r="J67" s="662"/>
      <c r="K67" s="661"/>
      <c r="L67" s="663">
        <f>H67+2</f>
        <v>31</v>
      </c>
      <c r="M67" s="662"/>
      <c r="N67" s="662"/>
      <c r="O67" s="661"/>
      <c r="P67" s="663">
        <f>L67+2</f>
        <v>33</v>
      </c>
      <c r="Q67" s="662"/>
      <c r="R67" s="662"/>
      <c r="S67" s="661"/>
      <c r="T67" s="663">
        <f>P67+2</f>
        <v>35</v>
      </c>
      <c r="U67" s="662"/>
      <c r="V67" s="662"/>
      <c r="W67" s="661"/>
      <c r="X67" s="663">
        <f>T67+2</f>
        <v>37</v>
      </c>
      <c r="Y67" s="662"/>
      <c r="Z67" s="662"/>
      <c r="AA67" s="661"/>
    </row>
    <row r="68" spans="3:27">
      <c r="C68" s="96" t="s">
        <v>986</v>
      </c>
      <c r="D68" s="636" t="s">
        <v>1328</v>
      </c>
      <c r="E68" s="635">
        <v>1</v>
      </c>
      <c r="F68" s="634"/>
      <c r="G68" s="542"/>
      <c r="H68" s="542">
        <v>1</v>
      </c>
      <c r="I68" s="542" t="s">
        <v>1329</v>
      </c>
      <c r="J68" s="542" t="s">
        <v>554</v>
      </c>
      <c r="K68" s="542" t="s">
        <v>1330</v>
      </c>
      <c r="L68" s="542">
        <v>2</v>
      </c>
      <c r="M68" s="542" t="s">
        <v>1329</v>
      </c>
      <c r="N68" s="542" t="s">
        <v>554</v>
      </c>
      <c r="O68" s="542" t="s">
        <v>1330</v>
      </c>
      <c r="P68" s="542">
        <v>3</v>
      </c>
      <c r="Q68" s="542" t="s">
        <v>1329</v>
      </c>
      <c r="R68" s="542" t="s">
        <v>554</v>
      </c>
      <c r="S68" s="542" t="s">
        <v>1330</v>
      </c>
      <c r="T68" s="542">
        <v>4</v>
      </c>
      <c r="U68" s="542" t="s">
        <v>1329</v>
      </c>
      <c r="V68" s="542" t="s">
        <v>554</v>
      </c>
      <c r="W68" s="542" t="s">
        <v>1330</v>
      </c>
      <c r="X68" s="542">
        <v>5</v>
      </c>
      <c r="Y68" s="542" t="s">
        <v>1329</v>
      </c>
      <c r="Z68" s="542" t="s">
        <v>554</v>
      </c>
      <c r="AA68" s="542" t="s">
        <v>1330</v>
      </c>
    </row>
    <row r="69" spans="3:27">
      <c r="D69" s="16"/>
      <c r="E69" s="1" t="s">
        <v>31</v>
      </c>
      <c r="F69" s="660">
        <f>INDEX($H69:$AA69,1,MATCH($E68,$H68:$AA68,0))</f>
        <v>19</v>
      </c>
      <c r="G69" s="551"/>
      <c r="H69" s="664">
        <v>19</v>
      </c>
      <c r="I69" s="662"/>
      <c r="J69" s="662"/>
      <c r="K69" s="661"/>
      <c r="L69" s="663">
        <f>H69+2</f>
        <v>21</v>
      </c>
      <c r="M69" s="662"/>
      <c r="N69" s="662"/>
      <c r="O69" s="661"/>
      <c r="P69" s="663">
        <f>L69+2</f>
        <v>23</v>
      </c>
      <c r="Q69" s="662"/>
      <c r="R69" s="662"/>
      <c r="S69" s="661"/>
      <c r="T69" s="663">
        <f>P69+2</f>
        <v>25</v>
      </c>
      <c r="U69" s="662"/>
      <c r="V69" s="662"/>
      <c r="W69" s="661"/>
      <c r="X69" s="663">
        <f>T69+2</f>
        <v>27</v>
      </c>
      <c r="Y69" s="662"/>
      <c r="Z69" s="662"/>
      <c r="AA69" s="661"/>
    </row>
    <row r="70" spans="3:27">
      <c r="C70" s="96" t="s">
        <v>987</v>
      </c>
      <c r="D70" s="636" t="s">
        <v>1328</v>
      </c>
      <c r="E70" s="635">
        <v>1</v>
      </c>
      <c r="F70" s="634"/>
      <c r="G70" s="542"/>
      <c r="H70" s="542">
        <v>1</v>
      </c>
      <c r="I70" s="542" t="s">
        <v>1329</v>
      </c>
      <c r="J70" s="542" t="s">
        <v>554</v>
      </c>
      <c r="K70" s="542" t="s">
        <v>1330</v>
      </c>
      <c r="L70" s="542">
        <v>2</v>
      </c>
      <c r="M70" s="542" t="s">
        <v>1329</v>
      </c>
      <c r="N70" s="542" t="s">
        <v>554</v>
      </c>
      <c r="O70" s="542" t="s">
        <v>1330</v>
      </c>
      <c r="P70" s="542">
        <v>3</v>
      </c>
      <c r="Q70" s="542" t="s">
        <v>1329</v>
      </c>
      <c r="R70" s="542" t="s">
        <v>554</v>
      </c>
      <c r="S70" s="542" t="s">
        <v>1330</v>
      </c>
      <c r="T70" s="542">
        <v>4</v>
      </c>
      <c r="U70" s="542" t="s">
        <v>1329</v>
      </c>
      <c r="V70" s="542" t="s">
        <v>554</v>
      </c>
      <c r="W70" s="542" t="s">
        <v>1330</v>
      </c>
      <c r="X70" s="542">
        <v>5</v>
      </c>
      <c r="Y70" s="542" t="s">
        <v>1329</v>
      </c>
      <c r="Z70" s="542" t="s">
        <v>554</v>
      </c>
      <c r="AA70" s="542" t="s">
        <v>1330</v>
      </c>
    </row>
    <row r="71" spans="3:27">
      <c r="D71" s="16"/>
      <c r="E71" s="1" t="s">
        <v>31</v>
      </c>
      <c r="F71" s="660">
        <f>INDEX($H71:$AA71,1,MATCH($E70,$H70:$AA70,0))</f>
        <v>24</v>
      </c>
      <c r="G71" s="551"/>
      <c r="H71" s="664">
        <v>24</v>
      </c>
      <c r="I71" s="662"/>
      <c r="J71" s="662"/>
      <c r="K71" s="661"/>
      <c r="L71" s="663">
        <f>H71+2</f>
        <v>26</v>
      </c>
      <c r="M71" s="662"/>
      <c r="N71" s="662"/>
      <c r="O71" s="661"/>
      <c r="P71" s="663">
        <f>L71+2</f>
        <v>28</v>
      </c>
      <c r="Q71" s="662"/>
      <c r="R71" s="662"/>
      <c r="S71" s="661"/>
      <c r="T71" s="663">
        <f>P71+2</f>
        <v>30</v>
      </c>
      <c r="U71" s="662"/>
      <c r="V71" s="662"/>
      <c r="W71" s="661"/>
      <c r="X71" s="663">
        <f>T71+2</f>
        <v>32</v>
      </c>
      <c r="Y71" s="662"/>
      <c r="Z71" s="662"/>
      <c r="AA71" s="661"/>
    </row>
    <row r="72" spans="3:27">
      <c r="C72" s="96" t="s">
        <v>989</v>
      </c>
      <c r="D72" s="636" t="s">
        <v>1328</v>
      </c>
      <c r="E72" s="635">
        <v>1</v>
      </c>
      <c r="F72" s="634"/>
      <c r="G72" s="542"/>
      <c r="H72" s="542">
        <v>1</v>
      </c>
      <c r="I72" s="542" t="s">
        <v>1329</v>
      </c>
      <c r="J72" s="542" t="s">
        <v>554</v>
      </c>
      <c r="K72" s="542" t="s">
        <v>1330</v>
      </c>
      <c r="L72" s="542">
        <v>2</v>
      </c>
      <c r="M72" s="542" t="s">
        <v>1329</v>
      </c>
      <c r="N72" s="542" t="s">
        <v>554</v>
      </c>
      <c r="O72" s="542" t="s">
        <v>1330</v>
      </c>
      <c r="P72" s="542">
        <v>3</v>
      </c>
      <c r="Q72" s="542" t="s">
        <v>1329</v>
      </c>
      <c r="R72" s="542" t="s">
        <v>554</v>
      </c>
      <c r="S72" s="542" t="s">
        <v>1330</v>
      </c>
      <c r="T72" s="542">
        <v>4</v>
      </c>
      <c r="U72" s="542" t="s">
        <v>1329</v>
      </c>
      <c r="V72" s="542" t="s">
        <v>554</v>
      </c>
      <c r="W72" s="542" t="s">
        <v>1330</v>
      </c>
      <c r="X72" s="542">
        <v>5</v>
      </c>
      <c r="Y72" s="542" t="s">
        <v>1329</v>
      </c>
      <c r="Z72" s="542" t="s">
        <v>554</v>
      </c>
      <c r="AA72" s="542" t="s">
        <v>1330</v>
      </c>
    </row>
    <row r="73" spans="3:27">
      <c r="D73" s="16"/>
      <c r="E73" s="1" t="s">
        <v>31</v>
      </c>
      <c r="F73" s="660">
        <f>INDEX($H73:$AA73,1,MATCH($E72,$H72:$AA72,0))</f>
        <v>4.5</v>
      </c>
      <c r="G73" s="551"/>
      <c r="H73" s="664">
        <v>4.5</v>
      </c>
      <c r="I73" s="662"/>
      <c r="J73" s="662"/>
      <c r="K73" s="661"/>
      <c r="L73" s="663">
        <f>H73+0.75</f>
        <v>5.25</v>
      </c>
      <c r="M73" s="662"/>
      <c r="N73" s="662"/>
      <c r="O73" s="661"/>
      <c r="P73" s="663">
        <f>L73+0.75</f>
        <v>6</v>
      </c>
      <c r="Q73" s="662"/>
      <c r="R73" s="662"/>
      <c r="S73" s="661"/>
      <c r="T73" s="663">
        <f>P73+0.75</f>
        <v>6.75</v>
      </c>
      <c r="U73" s="662"/>
      <c r="V73" s="662"/>
      <c r="W73" s="661"/>
      <c r="X73" s="663">
        <f>T73+0.75</f>
        <v>7.5</v>
      </c>
      <c r="Y73" s="662"/>
      <c r="Z73" s="662"/>
      <c r="AA73" s="661"/>
    </row>
    <row r="74" spans="3:27">
      <c r="C74" s="96" t="s">
        <v>990</v>
      </c>
      <c r="D74" s="636" t="s">
        <v>1328</v>
      </c>
      <c r="E74" s="635">
        <v>1</v>
      </c>
      <c r="F74" s="634"/>
      <c r="G74" s="542"/>
      <c r="H74" s="542">
        <v>1</v>
      </c>
      <c r="I74" s="542" t="s">
        <v>1329</v>
      </c>
      <c r="J74" s="542" t="s">
        <v>554</v>
      </c>
      <c r="K74" s="542" t="s">
        <v>1330</v>
      </c>
      <c r="L74" s="542">
        <v>2</v>
      </c>
      <c r="M74" s="542" t="s">
        <v>1329</v>
      </c>
      <c r="N74" s="542" t="s">
        <v>554</v>
      </c>
      <c r="O74" s="542" t="s">
        <v>1330</v>
      </c>
      <c r="P74" s="542">
        <v>3</v>
      </c>
      <c r="Q74" s="542" t="s">
        <v>1329</v>
      </c>
      <c r="R74" s="542" t="s">
        <v>554</v>
      </c>
      <c r="S74" s="542" t="s">
        <v>1330</v>
      </c>
      <c r="T74" s="542">
        <v>4</v>
      </c>
      <c r="U74" s="542" t="s">
        <v>1329</v>
      </c>
      <c r="V74" s="542" t="s">
        <v>554</v>
      </c>
      <c r="W74" s="542" t="s">
        <v>1330</v>
      </c>
      <c r="X74" s="542">
        <v>5</v>
      </c>
      <c r="Y74" s="542" t="s">
        <v>1329</v>
      </c>
      <c r="Z74" s="542" t="s">
        <v>554</v>
      </c>
      <c r="AA74" s="542" t="s">
        <v>1330</v>
      </c>
    </row>
    <row r="75" spans="3:27">
      <c r="D75" s="16"/>
      <c r="E75" s="1" t="s">
        <v>31</v>
      </c>
      <c r="F75" s="660">
        <f>INDEX($H75:$AA75,1,MATCH($E74,$H74:$AA74,0))</f>
        <v>9</v>
      </c>
      <c r="G75" s="551"/>
      <c r="H75" s="664">
        <v>9</v>
      </c>
      <c r="I75" s="662"/>
      <c r="J75" s="662"/>
      <c r="K75" s="661"/>
      <c r="L75" s="663">
        <f>H75+0.75</f>
        <v>9.75</v>
      </c>
      <c r="M75" s="662"/>
      <c r="N75" s="662"/>
      <c r="O75" s="661"/>
      <c r="P75" s="663">
        <f>L75+0.75</f>
        <v>10.5</v>
      </c>
      <c r="Q75" s="662"/>
      <c r="R75" s="662"/>
      <c r="S75" s="661"/>
      <c r="T75" s="663">
        <f>P75+0.75</f>
        <v>11.25</v>
      </c>
      <c r="U75" s="662"/>
      <c r="V75" s="662"/>
      <c r="W75" s="661"/>
      <c r="X75" s="663">
        <f>T75+0.75</f>
        <v>12</v>
      </c>
      <c r="Y75" s="662"/>
      <c r="Z75" s="662"/>
      <c r="AA75" s="661"/>
    </row>
    <row r="76" spans="3:27">
      <c r="C76" s="96" t="s">
        <v>991</v>
      </c>
      <c r="D76" s="636" t="s">
        <v>1328</v>
      </c>
      <c r="E76" s="635">
        <v>1</v>
      </c>
      <c r="F76" s="634"/>
      <c r="G76" s="542"/>
      <c r="H76" s="542">
        <v>1</v>
      </c>
      <c r="I76" s="542" t="s">
        <v>1329</v>
      </c>
      <c r="J76" s="542" t="s">
        <v>554</v>
      </c>
      <c r="K76" s="542" t="s">
        <v>1330</v>
      </c>
      <c r="L76" s="542">
        <v>2</v>
      </c>
      <c r="M76" s="542" t="s">
        <v>1329</v>
      </c>
      <c r="N76" s="542" t="s">
        <v>554</v>
      </c>
      <c r="O76" s="542" t="s">
        <v>1330</v>
      </c>
      <c r="P76" s="542">
        <v>3</v>
      </c>
      <c r="Q76" s="542" t="s">
        <v>1329</v>
      </c>
      <c r="R76" s="542" t="s">
        <v>554</v>
      </c>
      <c r="S76" s="542" t="s">
        <v>1330</v>
      </c>
      <c r="T76" s="542">
        <v>4</v>
      </c>
      <c r="U76" s="542" t="s">
        <v>1329</v>
      </c>
      <c r="V76" s="542" t="s">
        <v>554</v>
      </c>
      <c r="W76" s="542" t="s">
        <v>1330</v>
      </c>
      <c r="X76" s="542">
        <v>5</v>
      </c>
      <c r="Y76" s="542" t="s">
        <v>1329</v>
      </c>
      <c r="Z76" s="542" t="s">
        <v>554</v>
      </c>
      <c r="AA76" s="542" t="s">
        <v>1330</v>
      </c>
    </row>
    <row r="77" spans="3:27">
      <c r="D77" s="1" t="s">
        <v>1344</v>
      </c>
      <c r="E77" s="1" t="s">
        <v>1345</v>
      </c>
      <c r="F77" s="660">
        <f>INDEX($H77:$AA77,1,MATCH($E76,$H76:$AA76,0))</f>
        <v>12</v>
      </c>
      <c r="G77" s="551"/>
      <c r="H77" s="664">
        <v>12</v>
      </c>
      <c r="I77" s="662"/>
      <c r="J77" s="662"/>
      <c r="K77" s="661"/>
      <c r="L77" s="663">
        <f>H77+0.75</f>
        <v>12.75</v>
      </c>
      <c r="M77" s="662"/>
      <c r="N77" s="662"/>
      <c r="O77" s="661"/>
      <c r="P77" s="663">
        <f>L77+0.75</f>
        <v>13.5</v>
      </c>
      <c r="Q77" s="662"/>
      <c r="R77" s="662"/>
      <c r="S77" s="661"/>
      <c r="T77" s="663">
        <f>P77+0.75</f>
        <v>14.25</v>
      </c>
      <c r="U77" s="662"/>
      <c r="V77" s="662"/>
      <c r="W77" s="661"/>
      <c r="X77" s="663">
        <f>T77+0.75</f>
        <v>15</v>
      </c>
      <c r="Y77" s="662"/>
      <c r="Z77" s="662"/>
      <c r="AA77" s="661"/>
    </row>
    <row r="78" spans="3:27">
      <c r="C78" s="96" t="s">
        <v>993</v>
      </c>
      <c r="D78" s="636" t="s">
        <v>1328</v>
      </c>
      <c r="E78" s="635">
        <v>1</v>
      </c>
      <c r="F78" s="634"/>
      <c r="G78" s="542"/>
      <c r="H78" s="542">
        <v>1</v>
      </c>
      <c r="I78" s="542" t="s">
        <v>1329</v>
      </c>
      <c r="J78" s="542" t="s">
        <v>554</v>
      </c>
      <c r="K78" s="542" t="s">
        <v>1330</v>
      </c>
      <c r="L78" s="542">
        <v>2</v>
      </c>
      <c r="M78" s="542" t="s">
        <v>1329</v>
      </c>
      <c r="N78" s="542" t="s">
        <v>554</v>
      </c>
      <c r="O78" s="542" t="s">
        <v>1330</v>
      </c>
      <c r="P78" s="542">
        <v>3</v>
      </c>
      <c r="Q78" s="542" t="s">
        <v>1329</v>
      </c>
      <c r="R78" s="542" t="s">
        <v>554</v>
      </c>
      <c r="S78" s="542" t="s">
        <v>1330</v>
      </c>
      <c r="T78" s="542">
        <v>4</v>
      </c>
      <c r="U78" s="542" t="s">
        <v>1329</v>
      </c>
      <c r="V78" s="542" t="s">
        <v>554</v>
      </c>
      <c r="W78" s="542" t="s">
        <v>1330</v>
      </c>
      <c r="X78" s="542">
        <v>5</v>
      </c>
      <c r="Y78" s="542" t="s">
        <v>1329</v>
      </c>
      <c r="Z78" s="542" t="s">
        <v>554</v>
      </c>
      <c r="AA78" s="542" t="s">
        <v>1330</v>
      </c>
    </row>
    <row r="79" spans="3:27">
      <c r="D79" s="1" t="s">
        <v>994</v>
      </c>
      <c r="E79" s="1" t="s">
        <v>1346</v>
      </c>
      <c r="F79" s="660">
        <f>INDEX($H79:$AA79,1,MATCH($E78,$H78:$AA78,0))</f>
        <v>8</v>
      </c>
      <c r="G79" s="551"/>
      <c r="H79" s="664">
        <v>8</v>
      </c>
      <c r="I79" s="662"/>
      <c r="J79" s="662"/>
      <c r="K79" s="661"/>
      <c r="L79" s="663">
        <f>H79+0.75</f>
        <v>8.75</v>
      </c>
      <c r="M79" s="662"/>
      <c r="N79" s="662"/>
      <c r="O79" s="661"/>
      <c r="P79" s="663">
        <f>L79+0.75</f>
        <v>9.5</v>
      </c>
      <c r="Q79" s="662"/>
      <c r="R79" s="662"/>
      <c r="S79" s="661"/>
      <c r="T79" s="663">
        <f>P79+0.75</f>
        <v>10.25</v>
      </c>
      <c r="U79" s="662"/>
      <c r="V79" s="662"/>
      <c r="W79" s="661"/>
      <c r="X79" s="663">
        <f>T79+0.75</f>
        <v>11</v>
      </c>
      <c r="Y79" s="662"/>
      <c r="Z79" s="662"/>
      <c r="AA79" s="661"/>
    </row>
    <row r="80" spans="3:27">
      <c r="C80" s="96" t="s">
        <v>995</v>
      </c>
      <c r="D80" s="636" t="s">
        <v>1328</v>
      </c>
      <c r="E80" s="635">
        <v>1</v>
      </c>
      <c r="F80" s="634"/>
      <c r="G80" s="542"/>
      <c r="H80" s="542">
        <v>1</v>
      </c>
      <c r="I80" s="542" t="s">
        <v>1329</v>
      </c>
      <c r="J80" s="542" t="s">
        <v>554</v>
      </c>
      <c r="K80" s="542" t="s">
        <v>1330</v>
      </c>
      <c r="L80" s="542">
        <v>2</v>
      </c>
      <c r="M80" s="542" t="s">
        <v>1329</v>
      </c>
      <c r="N80" s="542" t="s">
        <v>554</v>
      </c>
      <c r="O80" s="542" t="s">
        <v>1330</v>
      </c>
      <c r="P80" s="542">
        <v>3</v>
      </c>
      <c r="Q80" s="542" t="s">
        <v>1329</v>
      </c>
      <c r="R80" s="542" t="s">
        <v>554</v>
      </c>
      <c r="S80" s="542" t="s">
        <v>1330</v>
      </c>
      <c r="T80" s="542">
        <v>4</v>
      </c>
      <c r="U80" s="542" t="s">
        <v>1329</v>
      </c>
      <c r="V80" s="542" t="s">
        <v>554</v>
      </c>
      <c r="W80" s="542" t="s">
        <v>1330</v>
      </c>
      <c r="X80" s="542">
        <v>5</v>
      </c>
      <c r="Y80" s="542" t="s">
        <v>1329</v>
      </c>
      <c r="Z80" s="542" t="s">
        <v>554</v>
      </c>
      <c r="AA80" s="542" t="s">
        <v>1330</v>
      </c>
    </row>
    <row r="81" spans="2:27">
      <c r="D81" s="1" t="s">
        <v>601</v>
      </c>
      <c r="E81" s="1" t="s">
        <v>1346</v>
      </c>
      <c r="F81" s="660">
        <f>INDEX($H81:$AA81,1,MATCH($E80,$H80:$AA80,0))</f>
        <v>10</v>
      </c>
      <c r="G81" s="551"/>
      <c r="H81" s="664">
        <v>10</v>
      </c>
      <c r="I81" s="662"/>
      <c r="J81" s="662"/>
      <c r="K81" s="661"/>
      <c r="L81" s="663">
        <f>H81+0.75</f>
        <v>10.75</v>
      </c>
      <c r="M81" s="662"/>
      <c r="N81" s="662"/>
      <c r="O81" s="661"/>
      <c r="P81" s="663">
        <f>L81+0.75</f>
        <v>11.5</v>
      </c>
      <c r="Q81" s="662"/>
      <c r="R81" s="662"/>
      <c r="S81" s="661"/>
      <c r="T81" s="663">
        <f>P81+0.75</f>
        <v>12.25</v>
      </c>
      <c r="U81" s="662"/>
      <c r="V81" s="662"/>
      <c r="W81" s="661"/>
      <c r="X81" s="663">
        <f>T81+0.75</f>
        <v>13</v>
      </c>
      <c r="Y81" s="662"/>
      <c r="Z81" s="662"/>
      <c r="AA81" s="661"/>
    </row>
    <row r="82" spans="2:27">
      <c r="C82" s="96" t="s">
        <v>996</v>
      </c>
      <c r="D82" s="636" t="s">
        <v>1328</v>
      </c>
      <c r="E82" s="635">
        <v>1</v>
      </c>
      <c r="F82" s="634"/>
      <c r="G82" s="542"/>
      <c r="H82" s="542">
        <v>1</v>
      </c>
      <c r="I82" s="542" t="s">
        <v>1329</v>
      </c>
      <c r="J82" s="542" t="s">
        <v>554</v>
      </c>
      <c r="K82" s="542" t="s">
        <v>1330</v>
      </c>
      <c r="L82" s="542">
        <v>2</v>
      </c>
      <c r="M82" s="542" t="s">
        <v>1329</v>
      </c>
      <c r="N82" s="542" t="s">
        <v>554</v>
      </c>
      <c r="O82" s="542" t="s">
        <v>1330</v>
      </c>
      <c r="P82" s="542">
        <v>3</v>
      </c>
      <c r="Q82" s="542" t="s">
        <v>1329</v>
      </c>
      <c r="R82" s="542" t="s">
        <v>554</v>
      </c>
      <c r="S82" s="542" t="s">
        <v>1330</v>
      </c>
      <c r="T82" s="542">
        <v>4</v>
      </c>
      <c r="U82" s="542" t="s">
        <v>1329</v>
      </c>
      <c r="V82" s="542" t="s">
        <v>554</v>
      </c>
      <c r="W82" s="542" t="s">
        <v>1330</v>
      </c>
      <c r="X82" s="542">
        <v>5</v>
      </c>
      <c r="Y82" s="542" t="s">
        <v>1329</v>
      </c>
      <c r="Z82" s="542" t="s">
        <v>554</v>
      </c>
      <c r="AA82" s="542" t="s">
        <v>1330</v>
      </c>
    </row>
    <row r="83" spans="2:27">
      <c r="D83" s="1"/>
      <c r="E83" s="1" t="s">
        <v>31</v>
      </c>
      <c r="F83" s="660">
        <f>INDEX($H83:$AA83,1,MATCH($E82,$H82:$AA82,0))</f>
        <v>7.5</v>
      </c>
      <c r="G83" s="551"/>
      <c r="H83" s="664">
        <v>7.5</v>
      </c>
      <c r="I83" s="662"/>
      <c r="J83" s="662"/>
      <c r="K83" s="661"/>
      <c r="L83" s="663">
        <f>H83+0.75</f>
        <v>8.25</v>
      </c>
      <c r="M83" s="662"/>
      <c r="N83" s="662"/>
      <c r="O83" s="661"/>
      <c r="P83" s="663">
        <f>L83+0.75</f>
        <v>9</v>
      </c>
      <c r="Q83" s="662"/>
      <c r="R83" s="662"/>
      <c r="S83" s="661"/>
      <c r="T83" s="663">
        <f>P83+0.75</f>
        <v>9.75</v>
      </c>
      <c r="U83" s="662"/>
      <c r="V83" s="662"/>
      <c r="W83" s="661"/>
      <c r="X83" s="663">
        <f>T83+0.75</f>
        <v>10.5</v>
      </c>
      <c r="Y83" s="662"/>
      <c r="Z83" s="662"/>
      <c r="AA83" s="661"/>
    </row>
    <row r="84" spans="2:27">
      <c r="C84" s="96" t="s">
        <v>997</v>
      </c>
      <c r="D84" s="636" t="s">
        <v>1328</v>
      </c>
      <c r="E84" s="635">
        <v>1</v>
      </c>
      <c r="F84" s="634"/>
      <c r="G84" s="542"/>
      <c r="H84" s="542">
        <v>1</v>
      </c>
      <c r="I84" s="542" t="s">
        <v>1329</v>
      </c>
      <c r="J84" s="542" t="s">
        <v>554</v>
      </c>
      <c r="K84" s="542" t="s">
        <v>1330</v>
      </c>
      <c r="L84" s="542">
        <v>2</v>
      </c>
      <c r="M84" s="542" t="s">
        <v>1329</v>
      </c>
      <c r="N84" s="542" t="s">
        <v>554</v>
      </c>
      <c r="O84" s="542" t="s">
        <v>1330</v>
      </c>
      <c r="P84" s="542">
        <v>3</v>
      </c>
      <c r="Q84" s="542" t="s">
        <v>1329</v>
      </c>
      <c r="R84" s="542" t="s">
        <v>554</v>
      </c>
      <c r="S84" s="542" t="s">
        <v>1330</v>
      </c>
      <c r="T84" s="542">
        <v>4</v>
      </c>
      <c r="U84" s="542" t="s">
        <v>1329</v>
      </c>
      <c r="V84" s="542" t="s">
        <v>554</v>
      </c>
      <c r="W84" s="542" t="s">
        <v>1330</v>
      </c>
      <c r="X84" s="542">
        <v>5</v>
      </c>
      <c r="Y84" s="542" t="s">
        <v>1329</v>
      </c>
      <c r="Z84" s="542" t="s">
        <v>554</v>
      </c>
      <c r="AA84" s="542" t="s">
        <v>1330</v>
      </c>
    </row>
    <row r="85" spans="2:27">
      <c r="D85" s="1" t="s">
        <v>592</v>
      </c>
      <c r="E85" s="1" t="s">
        <v>31</v>
      </c>
      <c r="F85" s="660">
        <f>INDEX($H85:$AA85,1,MATCH($E84,$H84:$AA84,0))</f>
        <v>2.93</v>
      </c>
      <c r="G85" s="551"/>
      <c r="H85" s="664">
        <v>2.93</v>
      </c>
      <c r="I85" s="662"/>
      <c r="J85" s="662"/>
      <c r="K85" s="661"/>
      <c r="L85" s="663">
        <f>H85+0.25</f>
        <v>3.18</v>
      </c>
      <c r="M85" s="662"/>
      <c r="N85" s="662"/>
      <c r="O85" s="661"/>
      <c r="P85" s="663">
        <f>L85+0.25</f>
        <v>3.43</v>
      </c>
      <c r="Q85" s="662"/>
      <c r="R85" s="662"/>
      <c r="S85" s="661"/>
      <c r="T85" s="663">
        <f>P85+0.25</f>
        <v>3.68</v>
      </c>
      <c r="U85" s="662"/>
      <c r="V85" s="662"/>
      <c r="W85" s="661"/>
      <c r="X85" s="663">
        <f>T85+0.25</f>
        <v>3.93</v>
      </c>
      <c r="Y85" s="662"/>
      <c r="Z85" s="662"/>
      <c r="AA85" s="661"/>
    </row>
    <row r="86" spans="2:27">
      <c r="C86" s="96" t="s">
        <v>998</v>
      </c>
      <c r="D86" s="636" t="s">
        <v>1328</v>
      </c>
      <c r="E86" s="635">
        <v>1</v>
      </c>
      <c r="F86" s="634"/>
      <c r="G86" s="542"/>
      <c r="H86" s="542">
        <v>1</v>
      </c>
      <c r="I86" s="542" t="s">
        <v>1329</v>
      </c>
      <c r="J86" s="542" t="s">
        <v>554</v>
      </c>
      <c r="K86" s="542" t="s">
        <v>1330</v>
      </c>
      <c r="L86" s="542">
        <v>2</v>
      </c>
      <c r="M86" s="542" t="s">
        <v>1329</v>
      </c>
      <c r="N86" s="542" t="s">
        <v>554</v>
      </c>
      <c r="O86" s="542" t="s">
        <v>1330</v>
      </c>
      <c r="P86" s="542">
        <v>3</v>
      </c>
      <c r="Q86" s="542" t="s">
        <v>1329</v>
      </c>
      <c r="R86" s="542" t="s">
        <v>554</v>
      </c>
      <c r="S86" s="542" t="s">
        <v>1330</v>
      </c>
      <c r="T86" s="542">
        <v>4</v>
      </c>
      <c r="U86" s="542" t="s">
        <v>1329</v>
      </c>
      <c r="V86" s="542" t="s">
        <v>554</v>
      </c>
      <c r="W86" s="542" t="s">
        <v>1330</v>
      </c>
      <c r="X86" s="542">
        <v>5</v>
      </c>
      <c r="Y86" s="542" t="s">
        <v>1329</v>
      </c>
      <c r="Z86" s="542" t="s">
        <v>554</v>
      </c>
      <c r="AA86" s="542" t="s">
        <v>1330</v>
      </c>
    </row>
    <row r="87" spans="2:27">
      <c r="D87" s="1" t="s">
        <v>994</v>
      </c>
      <c r="E87" s="1" t="s">
        <v>31</v>
      </c>
      <c r="F87" s="660">
        <f>INDEX($H87:$AA87,1,MATCH($E86,$H86:$AA86,0))</f>
        <v>3.5</v>
      </c>
      <c r="G87" s="551"/>
      <c r="H87" s="664">
        <v>3.5</v>
      </c>
      <c r="I87" s="662"/>
      <c r="J87" s="662"/>
      <c r="K87" s="661"/>
      <c r="L87" s="663">
        <f>H87+0.25</f>
        <v>3.75</v>
      </c>
      <c r="M87" s="662"/>
      <c r="N87" s="662"/>
      <c r="O87" s="661"/>
      <c r="P87" s="663">
        <f>L87+0.25</f>
        <v>4</v>
      </c>
      <c r="Q87" s="662"/>
      <c r="R87" s="662"/>
      <c r="S87" s="661"/>
      <c r="T87" s="663">
        <f>P87+0.25</f>
        <v>4.25</v>
      </c>
      <c r="U87" s="662"/>
      <c r="V87" s="662"/>
      <c r="W87" s="661"/>
      <c r="X87" s="663">
        <f>T87+0.25</f>
        <v>4.5</v>
      </c>
      <c r="Y87" s="662"/>
      <c r="Z87" s="662"/>
      <c r="AA87" s="661"/>
    </row>
    <row r="88" spans="2:27">
      <c r="C88" s="96" t="s">
        <v>999</v>
      </c>
      <c r="D88" s="636" t="s">
        <v>1328</v>
      </c>
      <c r="E88" s="635">
        <v>1</v>
      </c>
      <c r="F88" s="634"/>
      <c r="G88" s="542"/>
      <c r="H88" s="542">
        <v>1</v>
      </c>
      <c r="I88" s="542" t="s">
        <v>1329</v>
      </c>
      <c r="J88" s="542" t="s">
        <v>554</v>
      </c>
      <c r="K88" s="542" t="s">
        <v>1330</v>
      </c>
      <c r="L88" s="542">
        <v>2</v>
      </c>
      <c r="M88" s="542" t="s">
        <v>1329</v>
      </c>
      <c r="N88" s="542" t="s">
        <v>554</v>
      </c>
      <c r="O88" s="542" t="s">
        <v>1330</v>
      </c>
      <c r="P88" s="542">
        <v>3</v>
      </c>
      <c r="Q88" s="542" t="s">
        <v>1329</v>
      </c>
      <c r="R88" s="542" t="s">
        <v>554</v>
      </c>
      <c r="S88" s="542" t="s">
        <v>1330</v>
      </c>
      <c r="T88" s="542">
        <v>4</v>
      </c>
      <c r="U88" s="542" t="s">
        <v>1329</v>
      </c>
      <c r="V88" s="542" t="s">
        <v>554</v>
      </c>
      <c r="W88" s="542" t="s">
        <v>1330</v>
      </c>
      <c r="X88" s="542">
        <v>5</v>
      </c>
      <c r="Y88" s="542" t="s">
        <v>1329</v>
      </c>
      <c r="Z88" s="542" t="s">
        <v>554</v>
      </c>
      <c r="AA88" s="542" t="s">
        <v>1330</v>
      </c>
    </row>
    <row r="89" spans="2:27">
      <c r="D89" s="1" t="s">
        <v>601</v>
      </c>
      <c r="E89" s="1" t="s">
        <v>31</v>
      </c>
      <c r="F89" s="660">
        <f>INDEX($H89:$AA89,1,MATCH($E88,$H88:$AA88,0))</f>
        <v>4.5</v>
      </c>
      <c r="G89" s="551"/>
      <c r="H89" s="664">
        <v>4.5</v>
      </c>
      <c r="I89" s="662"/>
      <c r="J89" s="662"/>
      <c r="K89" s="661"/>
      <c r="L89" s="663">
        <f>H89+0.25</f>
        <v>4.75</v>
      </c>
      <c r="M89" s="662"/>
      <c r="N89" s="662"/>
      <c r="O89" s="661"/>
      <c r="P89" s="663">
        <f>L89+0.25</f>
        <v>5</v>
      </c>
      <c r="Q89" s="662"/>
      <c r="R89" s="662"/>
      <c r="S89" s="661"/>
      <c r="T89" s="663">
        <f>P89+0.25</f>
        <v>5.25</v>
      </c>
      <c r="U89" s="662"/>
      <c r="V89" s="662"/>
      <c r="W89" s="661"/>
      <c r="X89" s="663">
        <f>T89+0.25</f>
        <v>5.5</v>
      </c>
      <c r="Y89" s="662"/>
      <c r="Z89" s="662"/>
      <c r="AA89" s="661"/>
    </row>
    <row r="90" spans="2:27">
      <c r="C90" s="96" t="s">
        <v>1000</v>
      </c>
      <c r="D90" s="636" t="s">
        <v>1328</v>
      </c>
      <c r="E90" s="635">
        <v>1</v>
      </c>
      <c r="F90" s="634"/>
      <c r="G90" s="542"/>
      <c r="H90" s="542">
        <v>1</v>
      </c>
      <c r="I90" s="542" t="s">
        <v>1329</v>
      </c>
      <c r="J90" s="542" t="s">
        <v>554</v>
      </c>
      <c r="K90" s="542" t="s">
        <v>1330</v>
      </c>
      <c r="L90" s="542">
        <v>2</v>
      </c>
      <c r="M90" s="542" t="s">
        <v>1329</v>
      </c>
      <c r="N90" s="542" t="s">
        <v>554</v>
      </c>
      <c r="O90" s="542" t="s">
        <v>1330</v>
      </c>
      <c r="P90" s="542">
        <v>3</v>
      </c>
      <c r="Q90" s="542" t="s">
        <v>1329</v>
      </c>
      <c r="R90" s="542" t="s">
        <v>554</v>
      </c>
      <c r="S90" s="542" t="s">
        <v>1330</v>
      </c>
      <c r="T90" s="542">
        <v>4</v>
      </c>
      <c r="U90" s="542" t="s">
        <v>1329</v>
      </c>
      <c r="V90" s="542" t="s">
        <v>554</v>
      </c>
      <c r="W90" s="542" t="s">
        <v>1330</v>
      </c>
      <c r="X90" s="542">
        <v>5</v>
      </c>
      <c r="Y90" s="542" t="s">
        <v>1329</v>
      </c>
      <c r="Z90" s="542" t="s">
        <v>554</v>
      </c>
      <c r="AA90" s="542" t="s">
        <v>1330</v>
      </c>
    </row>
    <row r="91" spans="2:27">
      <c r="D91" s="1"/>
      <c r="E91" s="1" t="s">
        <v>1333</v>
      </c>
      <c r="F91" s="660">
        <f>INDEX($H91:$AA91,1,MATCH($E90,$H90:$AA90,0))</f>
        <v>9</v>
      </c>
      <c r="G91" s="551"/>
      <c r="H91" s="664">
        <v>9</v>
      </c>
      <c r="I91" s="662"/>
      <c r="J91" s="662"/>
      <c r="K91" s="661"/>
      <c r="L91" s="663">
        <f>H91+0.25</f>
        <v>9.25</v>
      </c>
      <c r="M91" s="662"/>
      <c r="N91" s="662"/>
      <c r="O91" s="661"/>
      <c r="P91" s="663">
        <f>L91+0.25</f>
        <v>9.5</v>
      </c>
      <c r="Q91" s="662"/>
      <c r="R91" s="662"/>
      <c r="S91" s="661"/>
      <c r="T91" s="663">
        <f>P91+0.25</f>
        <v>9.75</v>
      </c>
      <c r="U91" s="662"/>
      <c r="V91" s="662"/>
      <c r="W91" s="661"/>
      <c r="X91" s="663">
        <f>T91+0.25</f>
        <v>10</v>
      </c>
      <c r="Y91" s="662"/>
      <c r="Z91" s="662"/>
      <c r="AA91" s="661"/>
    </row>
    <row r="92" spans="2:27">
      <c r="C92" s="96" t="s">
        <v>1002</v>
      </c>
      <c r="D92" s="636" t="s">
        <v>1328</v>
      </c>
      <c r="E92" s="635">
        <v>1</v>
      </c>
      <c r="F92" s="634"/>
      <c r="G92" s="542"/>
      <c r="H92" s="542">
        <v>1</v>
      </c>
      <c r="I92" s="542" t="s">
        <v>1329</v>
      </c>
      <c r="J92" s="542" t="s">
        <v>554</v>
      </c>
      <c r="K92" s="542" t="s">
        <v>1330</v>
      </c>
      <c r="L92" s="542">
        <v>2</v>
      </c>
      <c r="M92" s="542" t="s">
        <v>1329</v>
      </c>
      <c r="N92" s="542" t="s">
        <v>554</v>
      </c>
      <c r="O92" s="542" t="s">
        <v>1330</v>
      </c>
      <c r="P92" s="542">
        <v>3</v>
      </c>
      <c r="Q92" s="542" t="s">
        <v>1329</v>
      </c>
      <c r="R92" s="542" t="s">
        <v>554</v>
      </c>
      <c r="S92" s="542" t="s">
        <v>1330</v>
      </c>
      <c r="T92" s="542">
        <v>4</v>
      </c>
      <c r="U92" s="542" t="s">
        <v>1329</v>
      </c>
      <c r="V92" s="542" t="s">
        <v>554</v>
      </c>
      <c r="W92" s="542" t="s">
        <v>1330</v>
      </c>
      <c r="X92" s="542">
        <v>5</v>
      </c>
      <c r="Y92" s="542" t="s">
        <v>1329</v>
      </c>
      <c r="Z92" s="542" t="s">
        <v>554</v>
      </c>
      <c r="AA92" s="542" t="s">
        <v>1330</v>
      </c>
    </row>
    <row r="93" spans="2:27">
      <c r="D93" s="1"/>
      <c r="E93" s="1" t="s">
        <v>1347</v>
      </c>
      <c r="F93" s="660">
        <f>INDEX($H93:$AA93,1,MATCH($E92,$H92:$AA92,0))</f>
        <v>6.5</v>
      </c>
      <c r="G93" s="551"/>
      <c r="H93" s="664">
        <v>6.5</v>
      </c>
      <c r="I93" s="662"/>
      <c r="J93" s="662"/>
      <c r="K93" s="661"/>
      <c r="L93" s="663">
        <f>H93+0.25</f>
        <v>6.75</v>
      </c>
      <c r="M93" s="662"/>
      <c r="N93" s="662"/>
      <c r="O93" s="661"/>
      <c r="P93" s="663">
        <f>L93+0.25</f>
        <v>7</v>
      </c>
      <c r="Q93" s="662"/>
      <c r="R93" s="662"/>
      <c r="S93" s="661"/>
      <c r="T93" s="663">
        <f>P93+0.25</f>
        <v>7.25</v>
      </c>
      <c r="U93" s="662"/>
      <c r="V93" s="662"/>
      <c r="W93" s="661"/>
      <c r="X93" s="663">
        <f>T93+0.25</f>
        <v>7.5</v>
      </c>
      <c r="Y93" s="662"/>
      <c r="Z93" s="662"/>
      <c r="AA93" s="661"/>
    </row>
    <row r="94" spans="2:27">
      <c r="B94" s="438" t="s">
        <v>1004</v>
      </c>
      <c r="C94" s="96" t="s">
        <v>1005</v>
      </c>
      <c r="D94" s="636" t="s">
        <v>1328</v>
      </c>
      <c r="E94" s="635">
        <v>1</v>
      </c>
      <c r="F94" s="634"/>
      <c r="G94" s="542"/>
      <c r="H94" s="542">
        <v>1</v>
      </c>
      <c r="I94" s="542" t="s">
        <v>1329</v>
      </c>
      <c r="J94" s="542" t="s">
        <v>554</v>
      </c>
      <c r="K94" s="542" t="s">
        <v>1330</v>
      </c>
      <c r="L94" s="542">
        <v>2</v>
      </c>
      <c r="M94" s="542" t="s">
        <v>1329</v>
      </c>
      <c r="N94" s="542" t="s">
        <v>554</v>
      </c>
      <c r="O94" s="542" t="s">
        <v>1330</v>
      </c>
      <c r="P94" s="542">
        <v>3</v>
      </c>
      <c r="Q94" s="542" t="s">
        <v>1329</v>
      </c>
      <c r="R94" s="542" t="s">
        <v>554</v>
      </c>
      <c r="S94" s="542" t="s">
        <v>1330</v>
      </c>
      <c r="T94" s="542">
        <v>4</v>
      </c>
      <c r="U94" s="542" t="s">
        <v>1329</v>
      </c>
      <c r="V94" s="542" t="s">
        <v>554</v>
      </c>
      <c r="W94" s="542" t="s">
        <v>1330</v>
      </c>
      <c r="X94" s="542">
        <v>5</v>
      </c>
      <c r="Y94" s="542" t="s">
        <v>1329</v>
      </c>
      <c r="Z94" s="542" t="s">
        <v>554</v>
      </c>
      <c r="AA94" s="542" t="s">
        <v>1330</v>
      </c>
    </row>
    <row r="95" spans="2:27">
      <c r="C95" s="446"/>
      <c r="D95" s="1" t="s">
        <v>1348</v>
      </c>
      <c r="E95" s="1" t="s">
        <v>1349</v>
      </c>
      <c r="F95" s="660">
        <f>INDEX($H95:$AA95,1,MATCH($E94,$H94:$AA94,0))</f>
        <v>35</v>
      </c>
      <c r="G95" s="551"/>
      <c r="H95" s="647">
        <v>35</v>
      </c>
      <c r="I95" s="645"/>
      <c r="J95" s="645"/>
      <c r="K95" s="644"/>
      <c r="L95" s="646">
        <f>H95+3</f>
        <v>38</v>
      </c>
      <c r="M95" s="645"/>
      <c r="N95" s="645"/>
      <c r="O95" s="644"/>
      <c r="P95" s="646">
        <f>L95+3</f>
        <v>41</v>
      </c>
      <c r="Q95" s="645"/>
      <c r="R95" s="645"/>
      <c r="S95" s="644"/>
      <c r="T95" s="646">
        <f>P95+3</f>
        <v>44</v>
      </c>
      <c r="U95" s="645"/>
      <c r="V95" s="645"/>
      <c r="W95" s="644"/>
      <c r="X95" s="646">
        <f>T95+3</f>
        <v>47</v>
      </c>
      <c r="Y95" s="645"/>
      <c r="Z95" s="645"/>
      <c r="AA95" s="644"/>
    </row>
    <row r="96" spans="2:27">
      <c r="C96" s="448"/>
      <c r="D96" s="1" t="s">
        <v>1348</v>
      </c>
      <c r="E96" s="1" t="s">
        <v>1350</v>
      </c>
      <c r="F96" s="660">
        <f>INDEX($H96:$AA96,1,MATCH($E94,$H94:$AA94,0))</f>
        <v>42</v>
      </c>
      <c r="G96" s="551"/>
      <c r="H96" s="640">
        <v>42</v>
      </c>
      <c r="I96" s="638"/>
      <c r="J96" s="638"/>
      <c r="K96" s="637"/>
      <c r="L96" s="639">
        <f>H96+3</f>
        <v>45</v>
      </c>
      <c r="M96" s="638"/>
      <c r="N96" s="638"/>
      <c r="O96" s="637"/>
      <c r="P96" s="639">
        <f>L96+3</f>
        <v>48</v>
      </c>
      <c r="Q96" s="638"/>
      <c r="R96" s="638"/>
      <c r="S96" s="637"/>
      <c r="T96" s="639">
        <f>P96+3</f>
        <v>51</v>
      </c>
      <c r="U96" s="638"/>
      <c r="V96" s="638"/>
      <c r="W96" s="637"/>
      <c r="X96" s="639">
        <f>T96+3</f>
        <v>54</v>
      </c>
      <c r="Y96" s="638"/>
      <c r="Z96" s="638"/>
      <c r="AA96" s="637"/>
    </row>
    <row r="97" spans="3:27">
      <c r="C97" s="96" t="s">
        <v>1011</v>
      </c>
      <c r="D97" s="636" t="s">
        <v>1328</v>
      </c>
      <c r="E97" s="635">
        <v>1</v>
      </c>
      <c r="F97" s="634"/>
      <c r="G97" s="542"/>
      <c r="H97" s="542">
        <v>1</v>
      </c>
      <c r="I97" s="542" t="s">
        <v>1329</v>
      </c>
      <c r="J97" s="542" t="s">
        <v>554</v>
      </c>
      <c r="K97" s="542" t="s">
        <v>1330</v>
      </c>
      <c r="L97" s="542">
        <v>2</v>
      </c>
      <c r="M97" s="542" t="s">
        <v>1329</v>
      </c>
      <c r="N97" s="542" t="s">
        <v>554</v>
      </c>
      <c r="O97" s="542" t="s">
        <v>1330</v>
      </c>
      <c r="P97" s="542">
        <v>3</v>
      </c>
      <c r="Q97" s="542" t="s">
        <v>1329</v>
      </c>
      <c r="R97" s="542" t="s">
        <v>554</v>
      </c>
      <c r="S97" s="542" t="s">
        <v>1330</v>
      </c>
      <c r="T97" s="542">
        <v>4</v>
      </c>
      <c r="U97" s="542" t="s">
        <v>1329</v>
      </c>
      <c r="V97" s="542" t="s">
        <v>554</v>
      </c>
      <c r="W97" s="542" t="s">
        <v>1330</v>
      </c>
      <c r="X97" s="542">
        <v>5</v>
      </c>
      <c r="Y97" s="542" t="s">
        <v>1329</v>
      </c>
      <c r="Z97" s="542" t="s">
        <v>554</v>
      </c>
      <c r="AA97" s="542" t="s">
        <v>1330</v>
      </c>
    </row>
    <row r="98" spans="3:27">
      <c r="C98" s="198" t="s">
        <v>1012</v>
      </c>
      <c r="D98" s="445">
        <v>4</v>
      </c>
      <c r="E98" s="198" t="s">
        <v>31</v>
      </c>
      <c r="F98" s="648">
        <f t="shared" ref="F98:F121" si="2">INDEX($H98:$AA98,1,MATCH($E$97,$H$97:$AA$97,0))</f>
        <v>19.5</v>
      </c>
      <c r="G98" s="595"/>
      <c r="H98" s="647">
        <v>19.5</v>
      </c>
      <c r="I98" s="645"/>
      <c r="J98" s="645"/>
      <c r="K98" s="644"/>
      <c r="L98" s="646">
        <f t="shared" ref="L98:L121" si="3">H98+3</f>
        <v>22.5</v>
      </c>
      <c r="M98" s="645"/>
      <c r="N98" s="645"/>
      <c r="O98" s="644"/>
      <c r="P98" s="646">
        <f t="shared" ref="P98:P121" si="4">L98+3</f>
        <v>25.5</v>
      </c>
      <c r="Q98" s="645"/>
      <c r="R98" s="645"/>
      <c r="S98" s="644"/>
      <c r="T98" s="646">
        <f t="shared" ref="T98:T121" si="5">P98+3</f>
        <v>28.5</v>
      </c>
      <c r="U98" s="645"/>
      <c r="V98" s="645"/>
      <c r="W98" s="644"/>
      <c r="X98" s="646">
        <f t="shared" ref="X98:X121" si="6">T98+3</f>
        <v>31.5</v>
      </c>
      <c r="Y98" s="645"/>
      <c r="Z98" s="645"/>
      <c r="AA98" s="644"/>
    </row>
    <row r="99" spans="3:27">
      <c r="C99" s="200" t="s">
        <v>1014</v>
      </c>
      <c r="D99" s="434">
        <v>5</v>
      </c>
      <c r="E99" s="200" t="s">
        <v>31</v>
      </c>
      <c r="F99" s="642">
        <f t="shared" si="2"/>
        <v>20</v>
      </c>
      <c r="G99" s="641"/>
      <c r="H99" s="640">
        <v>20</v>
      </c>
      <c r="I99" s="638"/>
      <c r="J99" s="638"/>
      <c r="K99" s="637"/>
      <c r="L99" s="639">
        <f t="shared" si="3"/>
        <v>23</v>
      </c>
      <c r="M99" s="638"/>
      <c r="N99" s="638"/>
      <c r="O99" s="637"/>
      <c r="P99" s="639">
        <f t="shared" si="4"/>
        <v>26</v>
      </c>
      <c r="Q99" s="638"/>
      <c r="R99" s="638"/>
      <c r="S99" s="637"/>
      <c r="T99" s="639">
        <f t="shared" si="5"/>
        <v>29</v>
      </c>
      <c r="U99" s="638"/>
      <c r="V99" s="638"/>
      <c r="W99" s="637"/>
      <c r="X99" s="639">
        <f t="shared" si="6"/>
        <v>32</v>
      </c>
      <c r="Y99" s="638"/>
      <c r="Z99" s="638"/>
      <c r="AA99" s="637"/>
    </row>
    <row r="100" spans="3:27">
      <c r="C100" s="200" t="s">
        <v>1016</v>
      </c>
      <c r="D100" s="434">
        <v>6</v>
      </c>
      <c r="E100" s="200" t="s">
        <v>31</v>
      </c>
      <c r="F100" s="642">
        <f t="shared" si="2"/>
        <v>22</v>
      </c>
      <c r="G100" s="641"/>
      <c r="H100" s="640">
        <v>22</v>
      </c>
      <c r="I100" s="638"/>
      <c r="J100" s="638"/>
      <c r="K100" s="637"/>
      <c r="L100" s="639">
        <f t="shared" si="3"/>
        <v>25</v>
      </c>
      <c r="M100" s="638"/>
      <c r="N100" s="638"/>
      <c r="O100" s="637"/>
      <c r="P100" s="639">
        <f t="shared" si="4"/>
        <v>28</v>
      </c>
      <c r="Q100" s="638"/>
      <c r="R100" s="638"/>
      <c r="S100" s="637"/>
      <c r="T100" s="639">
        <f t="shared" si="5"/>
        <v>31</v>
      </c>
      <c r="U100" s="638"/>
      <c r="V100" s="638"/>
      <c r="W100" s="637"/>
      <c r="X100" s="639">
        <f t="shared" si="6"/>
        <v>34</v>
      </c>
      <c r="Y100" s="638"/>
      <c r="Z100" s="638"/>
      <c r="AA100" s="637"/>
    </row>
    <row r="101" spans="3:27">
      <c r="C101" s="200" t="s">
        <v>1018</v>
      </c>
      <c r="D101" s="434">
        <v>7</v>
      </c>
      <c r="E101" s="200" t="s">
        <v>31</v>
      </c>
      <c r="F101" s="642">
        <f t="shared" si="2"/>
        <v>24</v>
      </c>
      <c r="G101" s="641"/>
      <c r="H101" s="640">
        <v>24</v>
      </c>
      <c r="I101" s="638"/>
      <c r="J101" s="638"/>
      <c r="K101" s="637"/>
      <c r="L101" s="639">
        <f t="shared" si="3"/>
        <v>27</v>
      </c>
      <c r="M101" s="638"/>
      <c r="N101" s="638"/>
      <c r="O101" s="637"/>
      <c r="P101" s="639">
        <f t="shared" si="4"/>
        <v>30</v>
      </c>
      <c r="Q101" s="638"/>
      <c r="R101" s="638"/>
      <c r="S101" s="637"/>
      <c r="T101" s="639">
        <f t="shared" si="5"/>
        <v>33</v>
      </c>
      <c r="U101" s="638"/>
      <c r="V101" s="638"/>
      <c r="W101" s="637"/>
      <c r="X101" s="639">
        <f t="shared" si="6"/>
        <v>36</v>
      </c>
      <c r="Y101" s="638"/>
      <c r="Z101" s="638"/>
      <c r="AA101" s="637"/>
    </row>
    <row r="102" spans="3:27">
      <c r="C102" s="200" t="s">
        <v>1020</v>
      </c>
      <c r="D102" s="434">
        <v>8</v>
      </c>
      <c r="E102" s="200" t="s">
        <v>31</v>
      </c>
      <c r="F102" s="642">
        <f t="shared" si="2"/>
        <v>26</v>
      </c>
      <c r="G102" s="641"/>
      <c r="H102" s="640">
        <v>26</v>
      </c>
      <c r="I102" s="638"/>
      <c r="J102" s="638"/>
      <c r="K102" s="637"/>
      <c r="L102" s="639">
        <f t="shared" si="3"/>
        <v>29</v>
      </c>
      <c r="M102" s="638"/>
      <c r="N102" s="638"/>
      <c r="O102" s="637"/>
      <c r="P102" s="639">
        <f t="shared" si="4"/>
        <v>32</v>
      </c>
      <c r="Q102" s="638"/>
      <c r="R102" s="638"/>
      <c r="S102" s="637"/>
      <c r="T102" s="639">
        <f t="shared" si="5"/>
        <v>35</v>
      </c>
      <c r="U102" s="638"/>
      <c r="V102" s="638"/>
      <c r="W102" s="637"/>
      <c r="X102" s="639">
        <f t="shared" si="6"/>
        <v>38</v>
      </c>
      <c r="Y102" s="638"/>
      <c r="Z102" s="638"/>
      <c r="AA102" s="637"/>
    </row>
    <row r="103" spans="3:27">
      <c r="C103" s="200" t="s">
        <v>1022</v>
      </c>
      <c r="D103" s="434">
        <v>9</v>
      </c>
      <c r="E103" s="200" t="s">
        <v>31</v>
      </c>
      <c r="F103" s="642">
        <f t="shared" si="2"/>
        <v>29</v>
      </c>
      <c r="G103" s="641"/>
      <c r="H103" s="640">
        <v>29</v>
      </c>
      <c r="I103" s="638"/>
      <c r="J103" s="638"/>
      <c r="K103" s="637"/>
      <c r="L103" s="639">
        <f t="shared" si="3"/>
        <v>32</v>
      </c>
      <c r="M103" s="638"/>
      <c r="N103" s="638"/>
      <c r="O103" s="637"/>
      <c r="P103" s="639">
        <f t="shared" si="4"/>
        <v>35</v>
      </c>
      <c r="Q103" s="638"/>
      <c r="R103" s="638"/>
      <c r="S103" s="637"/>
      <c r="T103" s="639">
        <f t="shared" si="5"/>
        <v>38</v>
      </c>
      <c r="U103" s="638"/>
      <c r="V103" s="638"/>
      <c r="W103" s="637"/>
      <c r="X103" s="639">
        <f t="shared" si="6"/>
        <v>41</v>
      </c>
      <c r="Y103" s="638"/>
      <c r="Z103" s="638"/>
      <c r="AA103" s="637"/>
    </row>
    <row r="104" spans="3:27">
      <c r="C104" s="200" t="s">
        <v>1024</v>
      </c>
      <c r="D104" s="434">
        <v>10</v>
      </c>
      <c r="E104" s="200" t="s">
        <v>31</v>
      </c>
      <c r="F104" s="642">
        <f t="shared" si="2"/>
        <v>32</v>
      </c>
      <c r="G104" s="641"/>
      <c r="H104" s="640">
        <v>32</v>
      </c>
      <c r="I104" s="638"/>
      <c r="J104" s="638"/>
      <c r="K104" s="637"/>
      <c r="L104" s="639">
        <f t="shared" si="3"/>
        <v>35</v>
      </c>
      <c r="M104" s="638"/>
      <c r="N104" s="638"/>
      <c r="O104" s="637"/>
      <c r="P104" s="639">
        <f t="shared" si="4"/>
        <v>38</v>
      </c>
      <c r="Q104" s="638"/>
      <c r="R104" s="638"/>
      <c r="S104" s="637"/>
      <c r="T104" s="639">
        <f t="shared" si="5"/>
        <v>41</v>
      </c>
      <c r="U104" s="638"/>
      <c r="V104" s="638"/>
      <c r="W104" s="637"/>
      <c r="X104" s="639">
        <f t="shared" si="6"/>
        <v>44</v>
      </c>
      <c r="Y104" s="638"/>
      <c r="Z104" s="638"/>
      <c r="AA104" s="637"/>
    </row>
    <row r="105" spans="3:27">
      <c r="C105" s="200" t="s">
        <v>1025</v>
      </c>
      <c r="D105" s="434">
        <v>12</v>
      </c>
      <c r="E105" s="200" t="s">
        <v>31</v>
      </c>
      <c r="F105" s="642">
        <f t="shared" si="2"/>
        <v>38</v>
      </c>
      <c r="G105" s="641"/>
      <c r="H105" s="640">
        <v>38</v>
      </c>
      <c r="I105" s="638"/>
      <c r="J105" s="638"/>
      <c r="K105" s="637"/>
      <c r="L105" s="639">
        <f t="shared" si="3"/>
        <v>41</v>
      </c>
      <c r="M105" s="638"/>
      <c r="N105" s="638"/>
      <c r="O105" s="637"/>
      <c r="P105" s="639">
        <f t="shared" si="4"/>
        <v>44</v>
      </c>
      <c r="Q105" s="638"/>
      <c r="R105" s="638"/>
      <c r="S105" s="637"/>
      <c r="T105" s="639">
        <f t="shared" si="5"/>
        <v>47</v>
      </c>
      <c r="U105" s="638"/>
      <c r="V105" s="638"/>
      <c r="W105" s="637"/>
      <c r="X105" s="639">
        <f t="shared" si="6"/>
        <v>50</v>
      </c>
      <c r="Y105" s="638"/>
      <c r="Z105" s="638"/>
      <c r="AA105" s="637"/>
    </row>
    <row r="106" spans="3:27">
      <c r="C106" s="200" t="s">
        <v>1026</v>
      </c>
      <c r="D106" s="434" t="s">
        <v>1351</v>
      </c>
      <c r="E106" s="200" t="s">
        <v>31</v>
      </c>
      <c r="F106" s="642">
        <f t="shared" si="2"/>
        <v>30</v>
      </c>
      <c r="G106" s="641"/>
      <c r="H106" s="640">
        <v>30</v>
      </c>
      <c r="I106" s="638"/>
      <c r="J106" s="638"/>
      <c r="K106" s="637"/>
      <c r="L106" s="639">
        <f t="shared" si="3"/>
        <v>33</v>
      </c>
      <c r="M106" s="638"/>
      <c r="N106" s="638"/>
      <c r="O106" s="637"/>
      <c r="P106" s="639">
        <f t="shared" si="4"/>
        <v>36</v>
      </c>
      <c r="Q106" s="638"/>
      <c r="R106" s="638"/>
      <c r="S106" s="637"/>
      <c r="T106" s="639">
        <f t="shared" si="5"/>
        <v>39</v>
      </c>
      <c r="U106" s="638"/>
      <c r="V106" s="638"/>
      <c r="W106" s="637"/>
      <c r="X106" s="639">
        <f t="shared" si="6"/>
        <v>42</v>
      </c>
      <c r="Y106" s="638"/>
      <c r="Z106" s="638"/>
      <c r="AA106" s="637"/>
    </row>
    <row r="107" spans="3:27">
      <c r="C107" s="200" t="s">
        <v>1027</v>
      </c>
      <c r="D107" s="434" t="s">
        <v>1023</v>
      </c>
      <c r="E107" s="200" t="s">
        <v>31</v>
      </c>
      <c r="F107" s="642">
        <f t="shared" si="2"/>
        <v>33</v>
      </c>
      <c r="G107" s="641"/>
      <c r="H107" s="640">
        <v>33</v>
      </c>
      <c r="I107" s="638"/>
      <c r="J107" s="638"/>
      <c r="K107" s="637"/>
      <c r="L107" s="639">
        <f t="shared" si="3"/>
        <v>36</v>
      </c>
      <c r="M107" s="638"/>
      <c r="N107" s="638"/>
      <c r="O107" s="637"/>
      <c r="P107" s="639">
        <f t="shared" si="4"/>
        <v>39</v>
      </c>
      <c r="Q107" s="638"/>
      <c r="R107" s="638"/>
      <c r="S107" s="637"/>
      <c r="T107" s="639">
        <f t="shared" si="5"/>
        <v>42</v>
      </c>
      <c r="U107" s="638"/>
      <c r="V107" s="638"/>
      <c r="W107" s="637"/>
      <c r="X107" s="639">
        <f t="shared" si="6"/>
        <v>45</v>
      </c>
      <c r="Y107" s="638"/>
      <c r="Z107" s="638"/>
      <c r="AA107" s="637"/>
    </row>
    <row r="108" spans="3:27">
      <c r="C108" s="200" t="s">
        <v>1028</v>
      </c>
      <c r="D108" s="434" t="s">
        <v>1246</v>
      </c>
      <c r="E108" s="200" t="s">
        <v>31</v>
      </c>
      <c r="F108" s="642">
        <f t="shared" si="2"/>
        <v>39.5</v>
      </c>
      <c r="G108" s="641"/>
      <c r="H108" s="640">
        <v>39.5</v>
      </c>
      <c r="I108" s="638"/>
      <c r="J108" s="638"/>
      <c r="K108" s="637"/>
      <c r="L108" s="639">
        <f t="shared" si="3"/>
        <v>42.5</v>
      </c>
      <c r="M108" s="638"/>
      <c r="N108" s="638"/>
      <c r="O108" s="637"/>
      <c r="P108" s="639">
        <f t="shared" si="4"/>
        <v>45.5</v>
      </c>
      <c r="Q108" s="638"/>
      <c r="R108" s="638"/>
      <c r="S108" s="637"/>
      <c r="T108" s="639">
        <f t="shared" si="5"/>
        <v>48.5</v>
      </c>
      <c r="U108" s="638"/>
      <c r="V108" s="638"/>
      <c r="W108" s="637"/>
      <c r="X108" s="639">
        <f t="shared" si="6"/>
        <v>51.5</v>
      </c>
      <c r="Y108" s="638"/>
      <c r="Z108" s="638"/>
      <c r="AA108" s="637"/>
    </row>
    <row r="109" spans="3:27">
      <c r="C109" s="200" t="s">
        <v>1029</v>
      </c>
      <c r="D109" s="434" t="s">
        <v>1325</v>
      </c>
      <c r="E109" s="200" t="s">
        <v>31</v>
      </c>
      <c r="F109" s="642">
        <f t="shared" si="2"/>
        <v>45</v>
      </c>
      <c r="G109" s="641"/>
      <c r="H109" s="640">
        <v>45</v>
      </c>
      <c r="I109" s="638"/>
      <c r="J109" s="638"/>
      <c r="K109" s="637"/>
      <c r="L109" s="639">
        <f t="shared" si="3"/>
        <v>48</v>
      </c>
      <c r="M109" s="638"/>
      <c r="N109" s="638"/>
      <c r="O109" s="637"/>
      <c r="P109" s="639">
        <f t="shared" si="4"/>
        <v>51</v>
      </c>
      <c r="Q109" s="638"/>
      <c r="R109" s="638"/>
      <c r="S109" s="637"/>
      <c r="T109" s="639">
        <f t="shared" si="5"/>
        <v>54</v>
      </c>
      <c r="U109" s="638"/>
      <c r="V109" s="638"/>
      <c r="W109" s="637"/>
      <c r="X109" s="639">
        <f t="shared" si="6"/>
        <v>57</v>
      </c>
      <c r="Y109" s="638"/>
      <c r="Z109" s="638"/>
      <c r="AA109" s="637"/>
    </row>
    <row r="110" spans="3:27">
      <c r="C110" s="200" t="s">
        <v>1031</v>
      </c>
      <c r="D110" s="434" t="s">
        <v>1352</v>
      </c>
      <c r="E110" s="200" t="s">
        <v>31</v>
      </c>
      <c r="F110" s="642">
        <f t="shared" si="2"/>
        <v>58</v>
      </c>
      <c r="G110" s="641"/>
      <c r="H110" s="640">
        <v>58</v>
      </c>
      <c r="I110" s="638"/>
      <c r="J110" s="638"/>
      <c r="K110" s="637"/>
      <c r="L110" s="639">
        <f t="shared" si="3"/>
        <v>61</v>
      </c>
      <c r="M110" s="638"/>
      <c r="N110" s="638"/>
      <c r="O110" s="637"/>
      <c r="P110" s="639">
        <f t="shared" si="4"/>
        <v>64</v>
      </c>
      <c r="Q110" s="638"/>
      <c r="R110" s="638"/>
      <c r="S110" s="637"/>
      <c r="T110" s="639">
        <f t="shared" si="5"/>
        <v>67</v>
      </c>
      <c r="U110" s="638"/>
      <c r="V110" s="638"/>
      <c r="W110" s="637"/>
      <c r="X110" s="639">
        <f t="shared" si="6"/>
        <v>70</v>
      </c>
      <c r="Y110" s="638"/>
      <c r="Z110" s="638"/>
      <c r="AA110" s="637"/>
    </row>
    <row r="111" spans="3:27">
      <c r="C111" s="200" t="s">
        <v>1032</v>
      </c>
      <c r="D111" s="434" t="s">
        <v>1254</v>
      </c>
      <c r="E111" s="200" t="s">
        <v>31</v>
      </c>
      <c r="F111" s="642">
        <f t="shared" si="2"/>
        <v>85</v>
      </c>
      <c r="G111" s="641"/>
      <c r="H111" s="640">
        <v>85</v>
      </c>
      <c r="I111" s="638"/>
      <c r="J111" s="638"/>
      <c r="K111" s="637"/>
      <c r="L111" s="639">
        <f t="shared" si="3"/>
        <v>88</v>
      </c>
      <c r="M111" s="638"/>
      <c r="N111" s="638"/>
      <c r="O111" s="637"/>
      <c r="P111" s="639">
        <f t="shared" si="4"/>
        <v>91</v>
      </c>
      <c r="Q111" s="638"/>
      <c r="R111" s="638"/>
      <c r="S111" s="637"/>
      <c r="T111" s="639">
        <f t="shared" si="5"/>
        <v>94</v>
      </c>
      <c r="U111" s="638"/>
      <c r="V111" s="638"/>
      <c r="W111" s="637"/>
      <c r="X111" s="639">
        <f t="shared" si="6"/>
        <v>97</v>
      </c>
      <c r="Y111" s="638"/>
      <c r="Z111" s="638"/>
      <c r="AA111" s="637"/>
    </row>
    <row r="112" spans="3:27">
      <c r="C112" s="200" t="s">
        <v>1032</v>
      </c>
      <c r="D112" s="434" t="s">
        <v>1244</v>
      </c>
      <c r="E112" s="200" t="s">
        <v>31</v>
      </c>
      <c r="F112" s="642">
        <f t="shared" si="2"/>
        <v>85</v>
      </c>
      <c r="G112" s="641"/>
      <c r="H112" s="640">
        <v>85</v>
      </c>
      <c r="I112" s="638"/>
      <c r="J112" s="638"/>
      <c r="K112" s="637"/>
      <c r="L112" s="639">
        <f t="shared" si="3"/>
        <v>88</v>
      </c>
      <c r="M112" s="638"/>
      <c r="N112" s="638"/>
      <c r="O112" s="637"/>
      <c r="P112" s="639">
        <f t="shared" si="4"/>
        <v>91</v>
      </c>
      <c r="Q112" s="638"/>
      <c r="R112" s="638"/>
      <c r="S112" s="637"/>
      <c r="T112" s="639">
        <f t="shared" si="5"/>
        <v>94</v>
      </c>
      <c r="U112" s="638"/>
      <c r="V112" s="638"/>
      <c r="W112" s="637"/>
      <c r="X112" s="639">
        <f t="shared" si="6"/>
        <v>97</v>
      </c>
      <c r="Y112" s="638"/>
      <c r="Z112" s="638"/>
      <c r="AA112" s="637"/>
    </row>
    <row r="113" spans="3:27">
      <c r="C113" s="200" t="s">
        <v>1032</v>
      </c>
      <c r="D113" s="434" t="s">
        <v>1353</v>
      </c>
      <c r="E113" s="200" t="s">
        <v>31</v>
      </c>
      <c r="F113" s="642">
        <f t="shared" si="2"/>
        <v>22.5</v>
      </c>
      <c r="G113" s="641"/>
      <c r="H113" s="640">
        <v>22.5</v>
      </c>
      <c r="I113" s="638"/>
      <c r="J113" s="638"/>
      <c r="K113" s="637"/>
      <c r="L113" s="639">
        <f t="shared" si="3"/>
        <v>25.5</v>
      </c>
      <c r="M113" s="638"/>
      <c r="N113" s="638"/>
      <c r="O113" s="637"/>
      <c r="P113" s="639">
        <f t="shared" si="4"/>
        <v>28.5</v>
      </c>
      <c r="Q113" s="638"/>
      <c r="R113" s="638"/>
      <c r="S113" s="637"/>
      <c r="T113" s="639">
        <f t="shared" si="5"/>
        <v>31.5</v>
      </c>
      <c r="U113" s="638"/>
      <c r="V113" s="638"/>
      <c r="W113" s="637"/>
      <c r="X113" s="639">
        <f t="shared" si="6"/>
        <v>34.5</v>
      </c>
      <c r="Y113" s="638"/>
      <c r="Z113" s="638"/>
      <c r="AA113" s="637"/>
    </row>
    <row r="114" spans="3:27">
      <c r="C114" s="200" t="s">
        <v>1032</v>
      </c>
      <c r="D114" s="434" t="s">
        <v>1354</v>
      </c>
      <c r="E114" s="200" t="s">
        <v>31</v>
      </c>
      <c r="F114" s="642">
        <f t="shared" si="2"/>
        <v>28.5</v>
      </c>
      <c r="G114" s="641"/>
      <c r="H114" s="640">
        <v>28.5</v>
      </c>
      <c r="I114" s="638"/>
      <c r="J114" s="638"/>
      <c r="K114" s="637"/>
      <c r="L114" s="639">
        <f t="shared" si="3"/>
        <v>31.5</v>
      </c>
      <c r="M114" s="638"/>
      <c r="N114" s="638"/>
      <c r="O114" s="637"/>
      <c r="P114" s="639">
        <f t="shared" si="4"/>
        <v>34.5</v>
      </c>
      <c r="Q114" s="638"/>
      <c r="R114" s="638"/>
      <c r="S114" s="637"/>
      <c r="T114" s="639">
        <f t="shared" si="5"/>
        <v>37.5</v>
      </c>
      <c r="U114" s="638"/>
      <c r="V114" s="638"/>
      <c r="W114" s="637"/>
      <c r="X114" s="639">
        <f t="shared" si="6"/>
        <v>40.5</v>
      </c>
      <c r="Y114" s="638"/>
      <c r="Z114" s="638"/>
      <c r="AA114" s="637"/>
    </row>
    <row r="115" spans="3:27">
      <c r="C115" s="200" t="s">
        <v>1032</v>
      </c>
      <c r="D115" s="434" t="s">
        <v>1254</v>
      </c>
      <c r="E115" s="200" t="s">
        <v>31</v>
      </c>
      <c r="F115" s="642">
        <f t="shared" si="2"/>
        <v>85</v>
      </c>
      <c r="G115" s="641"/>
      <c r="H115" s="640">
        <v>85</v>
      </c>
      <c r="I115" s="638"/>
      <c r="J115" s="638"/>
      <c r="K115" s="637"/>
      <c r="L115" s="639">
        <f t="shared" si="3"/>
        <v>88</v>
      </c>
      <c r="M115" s="638"/>
      <c r="N115" s="638"/>
      <c r="O115" s="637"/>
      <c r="P115" s="639">
        <f t="shared" si="4"/>
        <v>91</v>
      </c>
      <c r="Q115" s="638"/>
      <c r="R115" s="638"/>
      <c r="S115" s="637"/>
      <c r="T115" s="639">
        <f t="shared" si="5"/>
        <v>94</v>
      </c>
      <c r="U115" s="638"/>
      <c r="V115" s="638"/>
      <c r="W115" s="637"/>
      <c r="X115" s="639">
        <f t="shared" si="6"/>
        <v>97</v>
      </c>
      <c r="Y115" s="638"/>
      <c r="Z115" s="638"/>
      <c r="AA115" s="637"/>
    </row>
    <row r="116" spans="3:27">
      <c r="C116" s="200" t="s">
        <v>1355</v>
      </c>
      <c r="D116" s="434" t="s">
        <v>1021</v>
      </c>
      <c r="E116" s="200" t="s">
        <v>31</v>
      </c>
      <c r="F116" s="642">
        <f t="shared" si="2"/>
        <v>21.5</v>
      </c>
      <c r="G116" s="641"/>
      <c r="H116" s="640">
        <v>21.5</v>
      </c>
      <c r="I116" s="638"/>
      <c r="J116" s="638"/>
      <c r="K116" s="637"/>
      <c r="L116" s="639">
        <f t="shared" si="3"/>
        <v>24.5</v>
      </c>
      <c r="M116" s="638"/>
      <c r="N116" s="638"/>
      <c r="O116" s="637"/>
      <c r="P116" s="639">
        <f t="shared" si="4"/>
        <v>27.5</v>
      </c>
      <c r="Q116" s="638"/>
      <c r="R116" s="638"/>
      <c r="S116" s="637"/>
      <c r="T116" s="639">
        <f t="shared" si="5"/>
        <v>30.5</v>
      </c>
      <c r="U116" s="638"/>
      <c r="V116" s="638"/>
      <c r="W116" s="637"/>
      <c r="X116" s="639">
        <f t="shared" si="6"/>
        <v>33.5</v>
      </c>
      <c r="Y116" s="638"/>
      <c r="Z116" s="638"/>
      <c r="AA116" s="637"/>
    </row>
    <row r="117" spans="3:27">
      <c r="C117" s="200" t="s">
        <v>1356</v>
      </c>
      <c r="D117" s="434" t="s">
        <v>1017</v>
      </c>
      <c r="E117" s="200" t="s">
        <v>31</v>
      </c>
      <c r="F117" s="642">
        <f t="shared" si="2"/>
        <v>23</v>
      </c>
      <c r="G117" s="641"/>
      <c r="H117" s="640">
        <v>23</v>
      </c>
      <c r="I117" s="638"/>
      <c r="J117" s="638"/>
      <c r="K117" s="637"/>
      <c r="L117" s="639">
        <f t="shared" si="3"/>
        <v>26</v>
      </c>
      <c r="M117" s="638"/>
      <c r="N117" s="638"/>
      <c r="O117" s="637"/>
      <c r="P117" s="639">
        <f t="shared" si="4"/>
        <v>29</v>
      </c>
      <c r="Q117" s="638"/>
      <c r="R117" s="638"/>
      <c r="S117" s="637"/>
      <c r="T117" s="639">
        <f t="shared" si="5"/>
        <v>32</v>
      </c>
      <c r="U117" s="638"/>
      <c r="V117" s="638"/>
      <c r="W117" s="637"/>
      <c r="X117" s="639">
        <f t="shared" si="6"/>
        <v>35</v>
      </c>
      <c r="Y117" s="638"/>
      <c r="Z117" s="638"/>
      <c r="AA117" s="637"/>
    </row>
    <row r="118" spans="3:27">
      <c r="C118" s="200" t="s">
        <v>1357</v>
      </c>
      <c r="D118" s="434" t="s">
        <v>1015</v>
      </c>
      <c r="E118" s="200" t="s">
        <v>31</v>
      </c>
      <c r="F118" s="642">
        <f t="shared" si="2"/>
        <v>24.5</v>
      </c>
      <c r="G118" s="641"/>
      <c r="H118" s="640">
        <v>24.5</v>
      </c>
      <c r="I118" s="638"/>
      <c r="J118" s="638"/>
      <c r="K118" s="637"/>
      <c r="L118" s="639">
        <f t="shared" si="3"/>
        <v>27.5</v>
      </c>
      <c r="M118" s="638"/>
      <c r="N118" s="638"/>
      <c r="O118" s="637"/>
      <c r="P118" s="639">
        <f t="shared" si="4"/>
        <v>30.5</v>
      </c>
      <c r="Q118" s="638"/>
      <c r="R118" s="638"/>
      <c r="S118" s="637"/>
      <c r="T118" s="639">
        <f t="shared" si="5"/>
        <v>33.5</v>
      </c>
      <c r="U118" s="638"/>
      <c r="V118" s="638"/>
      <c r="W118" s="637"/>
      <c r="X118" s="639">
        <f t="shared" si="6"/>
        <v>36.5</v>
      </c>
      <c r="Y118" s="638"/>
      <c r="Z118" s="638"/>
      <c r="AA118" s="637"/>
    </row>
    <row r="119" spans="3:27">
      <c r="C119" s="200" t="s">
        <v>1358</v>
      </c>
      <c r="D119" s="434" t="s">
        <v>1013</v>
      </c>
      <c r="E119" s="200" t="s">
        <v>31</v>
      </c>
      <c r="F119" s="642">
        <f t="shared" si="2"/>
        <v>28.5</v>
      </c>
      <c r="G119" s="641"/>
      <c r="H119" s="640">
        <v>28.5</v>
      </c>
      <c r="I119" s="638"/>
      <c r="J119" s="638"/>
      <c r="K119" s="637"/>
      <c r="L119" s="639">
        <f t="shared" si="3"/>
        <v>31.5</v>
      </c>
      <c r="M119" s="638"/>
      <c r="N119" s="638"/>
      <c r="O119" s="637"/>
      <c r="P119" s="639">
        <f t="shared" si="4"/>
        <v>34.5</v>
      </c>
      <c r="Q119" s="638"/>
      <c r="R119" s="638"/>
      <c r="S119" s="637"/>
      <c r="T119" s="639">
        <f t="shared" si="5"/>
        <v>37.5</v>
      </c>
      <c r="U119" s="638"/>
      <c r="V119" s="638"/>
      <c r="W119" s="637"/>
      <c r="X119" s="639">
        <f t="shared" si="6"/>
        <v>40.5</v>
      </c>
      <c r="Y119" s="638"/>
      <c r="Z119" s="638"/>
      <c r="AA119" s="637"/>
    </row>
    <row r="120" spans="3:27">
      <c r="C120" s="200" t="s">
        <v>1359</v>
      </c>
      <c r="D120" s="434" t="s">
        <v>1360</v>
      </c>
      <c r="E120" s="200" t="s">
        <v>31</v>
      </c>
      <c r="F120" s="642">
        <f t="shared" si="2"/>
        <v>23</v>
      </c>
      <c r="G120" s="641"/>
      <c r="H120" s="640">
        <v>23</v>
      </c>
      <c r="I120" s="638"/>
      <c r="J120" s="638"/>
      <c r="K120" s="637"/>
      <c r="L120" s="639">
        <f t="shared" si="3"/>
        <v>26</v>
      </c>
      <c r="M120" s="638"/>
      <c r="N120" s="638"/>
      <c r="O120" s="637"/>
      <c r="P120" s="639">
        <f t="shared" si="4"/>
        <v>29</v>
      </c>
      <c r="Q120" s="638"/>
      <c r="R120" s="638"/>
      <c r="S120" s="637"/>
      <c r="T120" s="639">
        <f t="shared" si="5"/>
        <v>32</v>
      </c>
      <c r="U120" s="638"/>
      <c r="V120" s="638"/>
      <c r="W120" s="637"/>
      <c r="X120" s="639">
        <f t="shared" si="6"/>
        <v>35</v>
      </c>
      <c r="Y120" s="638"/>
      <c r="Z120" s="638"/>
      <c r="AA120" s="637"/>
    </row>
    <row r="121" spans="3:27">
      <c r="C121" s="200" t="s">
        <v>1361</v>
      </c>
      <c r="D121" s="434" t="s">
        <v>1019</v>
      </c>
      <c r="E121" s="200" t="s">
        <v>31</v>
      </c>
      <c r="F121" s="642">
        <f t="shared" si="2"/>
        <v>24.5</v>
      </c>
      <c r="G121" s="641"/>
      <c r="H121" s="640">
        <v>24.5</v>
      </c>
      <c r="I121" s="638"/>
      <c r="J121" s="638"/>
      <c r="K121" s="637"/>
      <c r="L121" s="639">
        <f t="shared" si="3"/>
        <v>27.5</v>
      </c>
      <c r="M121" s="638"/>
      <c r="N121" s="638"/>
      <c r="O121" s="637"/>
      <c r="P121" s="639">
        <f t="shared" si="4"/>
        <v>30.5</v>
      </c>
      <c r="Q121" s="638"/>
      <c r="R121" s="638"/>
      <c r="S121" s="637"/>
      <c r="T121" s="639">
        <f t="shared" si="5"/>
        <v>33.5</v>
      </c>
      <c r="U121" s="638"/>
      <c r="V121" s="638"/>
      <c r="W121" s="637"/>
      <c r="X121" s="639">
        <f t="shared" si="6"/>
        <v>36.5</v>
      </c>
      <c r="Y121" s="638"/>
      <c r="Z121" s="638"/>
      <c r="AA121" s="637"/>
    </row>
    <row r="122" spans="3:27">
      <c r="C122" s="96" t="s">
        <v>1033</v>
      </c>
      <c r="D122" s="636" t="s">
        <v>1328</v>
      </c>
      <c r="E122" s="635">
        <v>1</v>
      </c>
      <c r="F122" s="634"/>
      <c r="G122" s="542"/>
      <c r="H122" s="542">
        <v>1</v>
      </c>
      <c r="I122" s="542" t="s">
        <v>1329</v>
      </c>
      <c r="J122" s="542" t="s">
        <v>554</v>
      </c>
      <c r="K122" s="542" t="s">
        <v>1330</v>
      </c>
      <c r="L122" s="542">
        <v>2</v>
      </c>
      <c r="M122" s="542" t="s">
        <v>1329</v>
      </c>
      <c r="N122" s="542" t="s">
        <v>554</v>
      </c>
      <c r="O122" s="542" t="s">
        <v>1330</v>
      </c>
      <c r="P122" s="542">
        <v>3</v>
      </c>
      <c r="Q122" s="542" t="s">
        <v>1329</v>
      </c>
      <c r="R122" s="542" t="s">
        <v>554</v>
      </c>
      <c r="S122" s="542" t="s">
        <v>1330</v>
      </c>
      <c r="T122" s="542">
        <v>4</v>
      </c>
      <c r="U122" s="542" t="s">
        <v>1329</v>
      </c>
      <c r="V122" s="542" t="s">
        <v>554</v>
      </c>
      <c r="W122" s="542" t="s">
        <v>1330</v>
      </c>
      <c r="X122" s="542">
        <v>5</v>
      </c>
      <c r="Y122" s="542" t="s">
        <v>1329</v>
      </c>
      <c r="Z122" s="542" t="s">
        <v>554</v>
      </c>
      <c r="AA122" s="542" t="s">
        <v>1330</v>
      </c>
    </row>
    <row r="123" spans="3:27">
      <c r="D123" s="445"/>
      <c r="E123" s="198" t="s">
        <v>31</v>
      </c>
      <c r="F123" s="648">
        <f>INDEX($H123:$AA123,1,MATCH($E$122,$H$122:$AA$122,0))</f>
        <v>13</v>
      </c>
      <c r="G123" s="595"/>
      <c r="H123" s="647">
        <v>13</v>
      </c>
      <c r="I123" s="645"/>
      <c r="J123" s="645"/>
      <c r="K123" s="644"/>
      <c r="L123" s="646">
        <f>H123+3</f>
        <v>16</v>
      </c>
      <c r="M123" s="645"/>
      <c r="N123" s="645"/>
      <c r="O123" s="644"/>
      <c r="P123" s="646">
        <f>L123+3</f>
        <v>19</v>
      </c>
      <c r="Q123" s="645"/>
      <c r="R123" s="645"/>
      <c r="S123" s="644"/>
      <c r="T123" s="646">
        <f>P123+3</f>
        <v>22</v>
      </c>
      <c r="U123" s="645"/>
      <c r="V123" s="645"/>
      <c r="W123" s="644"/>
      <c r="X123" s="646">
        <f>T123+3</f>
        <v>25</v>
      </c>
      <c r="Y123" s="645"/>
      <c r="Z123" s="645"/>
      <c r="AA123" s="644"/>
    </row>
    <row r="124" spans="3:27">
      <c r="C124" s="96" t="s">
        <v>1264</v>
      </c>
      <c r="D124" s="636" t="s">
        <v>1328</v>
      </c>
      <c r="E124" s="635">
        <v>2</v>
      </c>
      <c r="F124" s="634"/>
      <c r="G124" s="542"/>
      <c r="H124" s="542">
        <v>1</v>
      </c>
      <c r="I124" s="542" t="s">
        <v>1329</v>
      </c>
      <c r="J124" s="542" t="s">
        <v>554</v>
      </c>
      <c r="K124" s="542" t="s">
        <v>1330</v>
      </c>
      <c r="L124" s="542">
        <v>2</v>
      </c>
      <c r="M124" s="542" t="s">
        <v>1329</v>
      </c>
      <c r="N124" s="542" t="s">
        <v>554</v>
      </c>
      <c r="O124" s="542" t="s">
        <v>1330</v>
      </c>
      <c r="P124" s="542">
        <v>3</v>
      </c>
      <c r="Q124" s="542" t="s">
        <v>1329</v>
      </c>
      <c r="R124" s="542" t="s">
        <v>554</v>
      </c>
      <c r="S124" s="542" t="s">
        <v>1330</v>
      </c>
      <c r="T124" s="542">
        <v>4</v>
      </c>
      <c r="U124" s="542" t="s">
        <v>1329</v>
      </c>
      <c r="V124" s="542" t="s">
        <v>554</v>
      </c>
      <c r="W124" s="542" t="s">
        <v>1330</v>
      </c>
      <c r="X124" s="542">
        <v>5</v>
      </c>
      <c r="Y124" s="542" t="s">
        <v>1329</v>
      </c>
      <c r="Z124" s="542" t="s">
        <v>554</v>
      </c>
      <c r="AA124" s="542" t="s">
        <v>1330</v>
      </c>
    </row>
    <row r="125" spans="3:27">
      <c r="C125" s="198" t="s">
        <v>1035</v>
      </c>
      <c r="D125" s="435" t="s">
        <v>1036</v>
      </c>
      <c r="E125" s="198" t="s">
        <v>1362</v>
      </c>
      <c r="F125" s="648">
        <f t="shared" ref="F125:F146" si="7">INDEX($H125:$AA125,1,MATCH($E$124,$H$124:$AA$124,0))</f>
        <v>28</v>
      </c>
      <c r="G125" s="595"/>
      <c r="H125" s="647">
        <v>25</v>
      </c>
      <c r="I125" s="645"/>
      <c r="J125" s="645"/>
      <c r="K125" s="644"/>
      <c r="L125" s="646">
        <f>H125+3</f>
        <v>28</v>
      </c>
      <c r="M125" s="645"/>
      <c r="N125" s="645"/>
      <c r="O125" s="644"/>
      <c r="P125" s="646">
        <f t="shared" ref="P125:P146" si="8">L125+3</f>
        <v>31</v>
      </c>
      <c r="Q125" s="645"/>
      <c r="R125" s="645"/>
      <c r="S125" s="644"/>
      <c r="T125" s="646">
        <f t="shared" ref="T125:T146" si="9">P125+3</f>
        <v>34</v>
      </c>
      <c r="U125" s="645"/>
      <c r="V125" s="645"/>
      <c r="W125" s="644"/>
      <c r="X125" s="646">
        <f t="shared" ref="X125:X146" si="10">T125+3</f>
        <v>37</v>
      </c>
      <c r="Y125" s="645"/>
      <c r="Z125" s="645"/>
      <c r="AA125" s="644"/>
    </row>
    <row r="126" spans="3:27">
      <c r="C126" s="200" t="s">
        <v>1038</v>
      </c>
      <c r="D126" s="433" t="s">
        <v>1039</v>
      </c>
      <c r="E126" s="200" t="s">
        <v>1362</v>
      </c>
      <c r="F126" s="642">
        <f t="shared" si="7"/>
        <v>35</v>
      </c>
      <c r="G126" s="641"/>
      <c r="H126" s="640">
        <v>28</v>
      </c>
      <c r="I126" s="638"/>
      <c r="J126" s="638"/>
      <c r="K126" s="637"/>
      <c r="L126" s="639">
        <v>35</v>
      </c>
      <c r="M126" s="638"/>
      <c r="N126" s="638"/>
      <c r="O126" s="637"/>
      <c r="P126" s="639">
        <f t="shared" si="8"/>
        <v>38</v>
      </c>
      <c r="Q126" s="638"/>
      <c r="R126" s="638"/>
      <c r="S126" s="637"/>
      <c r="T126" s="639">
        <f t="shared" si="9"/>
        <v>41</v>
      </c>
      <c r="U126" s="638"/>
      <c r="V126" s="638"/>
      <c r="W126" s="637"/>
      <c r="X126" s="639">
        <f t="shared" si="10"/>
        <v>44</v>
      </c>
      <c r="Y126" s="638"/>
      <c r="Z126" s="638"/>
      <c r="AA126" s="637"/>
    </row>
    <row r="127" spans="3:27">
      <c r="C127" s="200" t="s">
        <v>1040</v>
      </c>
      <c r="D127" s="433" t="s">
        <v>1041</v>
      </c>
      <c r="E127" s="200" t="s">
        <v>1362</v>
      </c>
      <c r="F127" s="642">
        <f t="shared" si="7"/>
        <v>35</v>
      </c>
      <c r="G127" s="641"/>
      <c r="H127" s="640">
        <v>32</v>
      </c>
      <c r="I127" s="638"/>
      <c r="J127" s="638"/>
      <c r="K127" s="637"/>
      <c r="L127" s="639">
        <f>H127+3</f>
        <v>35</v>
      </c>
      <c r="M127" s="638"/>
      <c r="N127" s="638"/>
      <c r="O127" s="637"/>
      <c r="P127" s="639">
        <f t="shared" si="8"/>
        <v>38</v>
      </c>
      <c r="Q127" s="638"/>
      <c r="R127" s="638"/>
      <c r="S127" s="637"/>
      <c r="T127" s="639">
        <f t="shared" si="9"/>
        <v>41</v>
      </c>
      <c r="U127" s="638"/>
      <c r="V127" s="638"/>
      <c r="W127" s="637"/>
      <c r="X127" s="639">
        <f t="shared" si="10"/>
        <v>44</v>
      </c>
      <c r="Y127" s="638"/>
      <c r="Z127" s="638"/>
      <c r="AA127" s="637"/>
    </row>
    <row r="128" spans="3:27">
      <c r="C128" s="200" t="s">
        <v>1042</v>
      </c>
      <c r="D128" s="433" t="s">
        <v>1043</v>
      </c>
      <c r="E128" s="200" t="s">
        <v>1362</v>
      </c>
      <c r="F128" s="642">
        <f t="shared" si="7"/>
        <v>45.25</v>
      </c>
      <c r="G128" s="641"/>
      <c r="H128" s="640">
        <v>36</v>
      </c>
      <c r="I128" s="638"/>
      <c r="J128" s="638"/>
      <c r="K128" s="637"/>
      <c r="L128" s="639">
        <v>45.25</v>
      </c>
      <c r="M128" s="638"/>
      <c r="N128" s="638"/>
      <c r="O128" s="637"/>
      <c r="P128" s="639">
        <f t="shared" si="8"/>
        <v>48.25</v>
      </c>
      <c r="Q128" s="638"/>
      <c r="R128" s="638"/>
      <c r="S128" s="637"/>
      <c r="T128" s="639">
        <f t="shared" si="9"/>
        <v>51.25</v>
      </c>
      <c r="U128" s="638"/>
      <c r="V128" s="638"/>
      <c r="W128" s="637"/>
      <c r="X128" s="639">
        <f t="shared" si="10"/>
        <v>54.25</v>
      </c>
      <c r="Y128" s="638"/>
      <c r="Z128" s="638"/>
      <c r="AA128" s="637"/>
    </row>
    <row r="129" spans="3:27">
      <c r="C129" s="200" t="s">
        <v>1044</v>
      </c>
      <c r="D129" s="433" t="s">
        <v>1045</v>
      </c>
      <c r="E129" s="200" t="s">
        <v>1362</v>
      </c>
      <c r="F129" s="642">
        <f t="shared" si="7"/>
        <v>49</v>
      </c>
      <c r="G129" s="641"/>
      <c r="H129" s="640">
        <v>42</v>
      </c>
      <c r="I129" s="638"/>
      <c r="J129" s="638"/>
      <c r="K129" s="637"/>
      <c r="L129" s="639">
        <v>49</v>
      </c>
      <c r="M129" s="638"/>
      <c r="N129" s="638"/>
      <c r="O129" s="637"/>
      <c r="P129" s="639">
        <f t="shared" si="8"/>
        <v>52</v>
      </c>
      <c r="Q129" s="638"/>
      <c r="R129" s="638"/>
      <c r="S129" s="637"/>
      <c r="T129" s="639">
        <f t="shared" si="9"/>
        <v>55</v>
      </c>
      <c r="U129" s="638"/>
      <c r="V129" s="638"/>
      <c r="W129" s="637"/>
      <c r="X129" s="639">
        <f t="shared" si="10"/>
        <v>58</v>
      </c>
      <c r="Y129" s="638"/>
      <c r="Z129" s="638"/>
      <c r="AA129" s="637"/>
    </row>
    <row r="130" spans="3:27">
      <c r="C130" s="200" t="s">
        <v>1046</v>
      </c>
      <c r="D130" s="433" t="s">
        <v>1047</v>
      </c>
      <c r="E130" s="200" t="s">
        <v>1362</v>
      </c>
      <c r="F130" s="642">
        <f t="shared" si="7"/>
        <v>47</v>
      </c>
      <c r="G130" s="641"/>
      <c r="H130" s="640">
        <v>48</v>
      </c>
      <c r="I130" s="638"/>
      <c r="J130" s="638"/>
      <c r="K130" s="637"/>
      <c r="L130" s="639">
        <v>47</v>
      </c>
      <c r="M130" s="638"/>
      <c r="N130" s="638"/>
      <c r="O130" s="637"/>
      <c r="P130" s="639">
        <f t="shared" si="8"/>
        <v>50</v>
      </c>
      <c r="Q130" s="638"/>
      <c r="R130" s="638"/>
      <c r="S130" s="637"/>
      <c r="T130" s="639">
        <f t="shared" si="9"/>
        <v>53</v>
      </c>
      <c r="U130" s="638"/>
      <c r="V130" s="638"/>
      <c r="W130" s="637"/>
      <c r="X130" s="639">
        <f t="shared" si="10"/>
        <v>56</v>
      </c>
      <c r="Y130" s="638"/>
      <c r="Z130" s="638"/>
      <c r="AA130" s="637"/>
    </row>
    <row r="131" spans="3:27">
      <c r="C131" s="200" t="s">
        <v>1048</v>
      </c>
      <c r="D131" s="433" t="s">
        <v>1049</v>
      </c>
      <c r="E131" s="200" t="s">
        <v>1362</v>
      </c>
      <c r="F131" s="642">
        <f t="shared" si="7"/>
        <v>50</v>
      </c>
      <c r="G131" s="641"/>
      <c r="H131" s="640">
        <v>58</v>
      </c>
      <c r="I131" s="638"/>
      <c r="J131" s="638"/>
      <c r="K131" s="637"/>
      <c r="L131" s="639">
        <v>50</v>
      </c>
      <c r="M131" s="638"/>
      <c r="N131" s="638"/>
      <c r="O131" s="637"/>
      <c r="P131" s="639">
        <f t="shared" si="8"/>
        <v>53</v>
      </c>
      <c r="Q131" s="638"/>
      <c r="R131" s="638"/>
      <c r="S131" s="637"/>
      <c r="T131" s="639">
        <f t="shared" si="9"/>
        <v>56</v>
      </c>
      <c r="U131" s="638"/>
      <c r="V131" s="638"/>
      <c r="W131" s="637"/>
      <c r="X131" s="639">
        <f t="shared" si="10"/>
        <v>59</v>
      </c>
      <c r="Y131" s="638"/>
      <c r="Z131" s="638"/>
      <c r="AA131" s="637"/>
    </row>
    <row r="132" spans="3:27">
      <c r="C132" s="200" t="s">
        <v>1050</v>
      </c>
      <c r="D132" s="433" t="s">
        <v>1051</v>
      </c>
      <c r="E132" s="200" t="s">
        <v>1362</v>
      </c>
      <c r="F132" s="642">
        <f t="shared" si="7"/>
        <v>66</v>
      </c>
      <c r="G132" s="641"/>
      <c r="H132" s="640">
        <v>75</v>
      </c>
      <c r="I132" s="638"/>
      <c r="J132" s="638"/>
      <c r="K132" s="637"/>
      <c r="L132" s="639">
        <v>66</v>
      </c>
      <c r="M132" s="638"/>
      <c r="N132" s="638"/>
      <c r="O132" s="637"/>
      <c r="P132" s="639">
        <f t="shared" si="8"/>
        <v>69</v>
      </c>
      <c r="Q132" s="638"/>
      <c r="R132" s="638"/>
      <c r="S132" s="637"/>
      <c r="T132" s="639">
        <f t="shared" si="9"/>
        <v>72</v>
      </c>
      <c r="U132" s="638"/>
      <c r="V132" s="638"/>
      <c r="W132" s="637"/>
      <c r="X132" s="639">
        <f t="shared" si="10"/>
        <v>75</v>
      </c>
      <c r="Y132" s="638"/>
      <c r="Z132" s="638"/>
      <c r="AA132" s="637"/>
    </row>
    <row r="133" spans="3:27">
      <c r="C133" s="200" t="s">
        <v>1052</v>
      </c>
      <c r="D133" s="433" t="s">
        <v>1053</v>
      </c>
      <c r="E133" s="200" t="s">
        <v>1362</v>
      </c>
      <c r="F133" s="642">
        <f t="shared" si="7"/>
        <v>101</v>
      </c>
      <c r="G133" s="641"/>
      <c r="H133" s="640">
        <v>98</v>
      </c>
      <c r="I133" s="638"/>
      <c r="J133" s="638"/>
      <c r="K133" s="637"/>
      <c r="L133" s="639">
        <f>H133+3</f>
        <v>101</v>
      </c>
      <c r="M133" s="638"/>
      <c r="N133" s="638"/>
      <c r="O133" s="637"/>
      <c r="P133" s="639">
        <f t="shared" si="8"/>
        <v>104</v>
      </c>
      <c r="Q133" s="638"/>
      <c r="R133" s="638"/>
      <c r="S133" s="637"/>
      <c r="T133" s="639">
        <f t="shared" si="9"/>
        <v>107</v>
      </c>
      <c r="U133" s="638"/>
      <c r="V133" s="638"/>
      <c r="W133" s="637"/>
      <c r="X133" s="639">
        <f t="shared" si="10"/>
        <v>110</v>
      </c>
      <c r="Y133" s="638"/>
      <c r="Z133" s="638"/>
      <c r="AA133" s="637"/>
    </row>
    <row r="134" spans="3:27">
      <c r="C134" s="200" t="s">
        <v>1054</v>
      </c>
      <c r="D134" s="433" t="s">
        <v>1055</v>
      </c>
      <c r="E134" s="200" t="s">
        <v>1362</v>
      </c>
      <c r="F134" s="642">
        <f t="shared" si="7"/>
        <v>123</v>
      </c>
      <c r="G134" s="641"/>
      <c r="H134" s="640">
        <v>120</v>
      </c>
      <c r="I134" s="638"/>
      <c r="J134" s="638"/>
      <c r="K134" s="637"/>
      <c r="L134" s="639">
        <f>H134+3</f>
        <v>123</v>
      </c>
      <c r="M134" s="638"/>
      <c r="N134" s="638"/>
      <c r="O134" s="637"/>
      <c r="P134" s="639">
        <f t="shared" si="8"/>
        <v>126</v>
      </c>
      <c r="Q134" s="638"/>
      <c r="R134" s="638"/>
      <c r="S134" s="637"/>
      <c r="T134" s="639">
        <f t="shared" si="9"/>
        <v>129</v>
      </c>
      <c r="U134" s="638"/>
      <c r="V134" s="638"/>
      <c r="W134" s="637"/>
      <c r="X134" s="639">
        <f t="shared" si="10"/>
        <v>132</v>
      </c>
      <c r="Y134" s="638"/>
      <c r="Z134" s="638"/>
      <c r="AA134" s="637"/>
    </row>
    <row r="135" spans="3:27">
      <c r="C135" s="452" t="s">
        <v>1056</v>
      </c>
      <c r="D135" s="453" t="s">
        <v>1057</v>
      </c>
      <c r="E135" s="452" t="s">
        <v>1362</v>
      </c>
      <c r="F135" s="659">
        <f t="shared" si="7"/>
        <v>153</v>
      </c>
      <c r="G135" s="658"/>
      <c r="H135" s="657">
        <v>150</v>
      </c>
      <c r="I135" s="655"/>
      <c r="J135" s="655"/>
      <c r="K135" s="654"/>
      <c r="L135" s="656">
        <f>H135+3</f>
        <v>153</v>
      </c>
      <c r="M135" s="655"/>
      <c r="N135" s="655"/>
      <c r="O135" s="654"/>
      <c r="P135" s="656">
        <f t="shared" si="8"/>
        <v>156</v>
      </c>
      <c r="Q135" s="655"/>
      <c r="R135" s="655"/>
      <c r="S135" s="654"/>
      <c r="T135" s="656">
        <f t="shared" si="9"/>
        <v>159</v>
      </c>
      <c r="U135" s="655"/>
      <c r="V135" s="655"/>
      <c r="W135" s="654"/>
      <c r="X135" s="656">
        <f t="shared" si="10"/>
        <v>162</v>
      </c>
      <c r="Y135" s="655"/>
      <c r="Z135" s="655"/>
      <c r="AA135" s="654"/>
    </row>
    <row r="136" spans="3:27">
      <c r="C136" s="448" t="s">
        <v>1035</v>
      </c>
      <c r="D136" s="653" t="s">
        <v>1036</v>
      </c>
      <c r="E136" s="448" t="s">
        <v>1363</v>
      </c>
      <c r="F136" s="648">
        <f t="shared" si="7"/>
        <v>33.6</v>
      </c>
      <c r="G136" s="595"/>
      <c r="H136" s="652">
        <v>34</v>
      </c>
      <c r="I136" s="645"/>
      <c r="J136" s="645"/>
      <c r="K136" s="651"/>
      <c r="L136" s="646">
        <f t="shared" ref="L136:L146" si="11">L125*1.2</f>
        <v>33.6</v>
      </c>
      <c r="M136" s="645"/>
      <c r="N136" s="645"/>
      <c r="O136" s="651"/>
      <c r="P136" s="646">
        <f t="shared" si="8"/>
        <v>36.6</v>
      </c>
      <c r="Q136" s="645"/>
      <c r="R136" s="645"/>
      <c r="S136" s="651"/>
      <c r="T136" s="646">
        <f t="shared" si="9"/>
        <v>39.6</v>
      </c>
      <c r="U136" s="645"/>
      <c r="V136" s="645"/>
      <c r="W136" s="651"/>
      <c r="X136" s="646">
        <f t="shared" si="10"/>
        <v>42.6</v>
      </c>
      <c r="Y136" s="645"/>
      <c r="Z136" s="645"/>
      <c r="AA136" s="651"/>
    </row>
    <row r="137" spans="3:27">
      <c r="C137" s="200" t="s">
        <v>1038</v>
      </c>
      <c r="D137" s="433" t="s">
        <v>1039</v>
      </c>
      <c r="E137" s="200" t="s">
        <v>1363</v>
      </c>
      <c r="F137" s="642">
        <f t="shared" si="7"/>
        <v>42</v>
      </c>
      <c r="G137" s="641"/>
      <c r="H137" s="640">
        <v>38</v>
      </c>
      <c r="I137" s="638"/>
      <c r="J137" s="638"/>
      <c r="K137" s="637"/>
      <c r="L137" s="639">
        <f t="shared" si="11"/>
        <v>42</v>
      </c>
      <c r="M137" s="638"/>
      <c r="N137" s="638"/>
      <c r="O137" s="637"/>
      <c r="P137" s="639">
        <f t="shared" si="8"/>
        <v>45</v>
      </c>
      <c r="Q137" s="638"/>
      <c r="R137" s="638"/>
      <c r="S137" s="637"/>
      <c r="T137" s="639">
        <f t="shared" si="9"/>
        <v>48</v>
      </c>
      <c r="U137" s="638"/>
      <c r="V137" s="638"/>
      <c r="W137" s="637"/>
      <c r="X137" s="639">
        <f t="shared" si="10"/>
        <v>51</v>
      </c>
      <c r="Y137" s="638"/>
      <c r="Z137" s="638"/>
      <c r="AA137" s="637"/>
    </row>
    <row r="138" spans="3:27">
      <c r="C138" s="200" t="s">
        <v>1040</v>
      </c>
      <c r="D138" s="433" t="s">
        <v>1041</v>
      </c>
      <c r="E138" s="200" t="s">
        <v>1363</v>
      </c>
      <c r="F138" s="642">
        <f t="shared" si="7"/>
        <v>42</v>
      </c>
      <c r="G138" s="641"/>
      <c r="H138" s="640">
        <v>42</v>
      </c>
      <c r="I138" s="638"/>
      <c r="J138" s="638"/>
      <c r="K138" s="637"/>
      <c r="L138" s="639">
        <f t="shared" si="11"/>
        <v>42</v>
      </c>
      <c r="M138" s="638"/>
      <c r="N138" s="638"/>
      <c r="O138" s="637"/>
      <c r="P138" s="639">
        <f t="shared" si="8"/>
        <v>45</v>
      </c>
      <c r="Q138" s="638"/>
      <c r="R138" s="638"/>
      <c r="S138" s="637"/>
      <c r="T138" s="639">
        <f t="shared" si="9"/>
        <v>48</v>
      </c>
      <c r="U138" s="638"/>
      <c r="V138" s="638"/>
      <c r="W138" s="637"/>
      <c r="X138" s="639">
        <f t="shared" si="10"/>
        <v>51</v>
      </c>
      <c r="Y138" s="638"/>
      <c r="Z138" s="638"/>
      <c r="AA138" s="637"/>
    </row>
    <row r="139" spans="3:27">
      <c r="C139" s="200" t="s">
        <v>1042</v>
      </c>
      <c r="D139" s="433" t="s">
        <v>1043</v>
      </c>
      <c r="E139" s="200" t="s">
        <v>1363</v>
      </c>
      <c r="F139" s="642">
        <f t="shared" si="7"/>
        <v>54.3</v>
      </c>
      <c r="G139" s="641"/>
      <c r="H139" s="640">
        <v>48</v>
      </c>
      <c r="I139" s="638"/>
      <c r="J139" s="638"/>
      <c r="K139" s="637"/>
      <c r="L139" s="639">
        <f t="shared" si="11"/>
        <v>54.3</v>
      </c>
      <c r="M139" s="638"/>
      <c r="N139" s="638"/>
      <c r="O139" s="637"/>
      <c r="P139" s="639">
        <f t="shared" si="8"/>
        <v>57.3</v>
      </c>
      <c r="Q139" s="638"/>
      <c r="R139" s="638"/>
      <c r="S139" s="637"/>
      <c r="T139" s="639">
        <f t="shared" si="9"/>
        <v>60.3</v>
      </c>
      <c r="U139" s="638"/>
      <c r="V139" s="638"/>
      <c r="W139" s="637"/>
      <c r="X139" s="639">
        <f t="shared" si="10"/>
        <v>63.3</v>
      </c>
      <c r="Y139" s="638"/>
      <c r="Z139" s="638"/>
      <c r="AA139" s="637"/>
    </row>
    <row r="140" spans="3:27">
      <c r="C140" s="200" t="s">
        <v>1044</v>
      </c>
      <c r="D140" s="433" t="s">
        <v>1045</v>
      </c>
      <c r="E140" s="200" t="s">
        <v>1363</v>
      </c>
      <c r="F140" s="642">
        <f t="shared" si="7"/>
        <v>58.8</v>
      </c>
      <c r="G140" s="641"/>
      <c r="H140" s="640">
        <v>52</v>
      </c>
      <c r="I140" s="638"/>
      <c r="J140" s="638"/>
      <c r="K140" s="637"/>
      <c r="L140" s="639">
        <f t="shared" si="11"/>
        <v>58.8</v>
      </c>
      <c r="M140" s="638"/>
      <c r="N140" s="638"/>
      <c r="O140" s="637"/>
      <c r="P140" s="639">
        <f t="shared" si="8"/>
        <v>61.8</v>
      </c>
      <c r="Q140" s="638"/>
      <c r="R140" s="638"/>
      <c r="S140" s="637"/>
      <c r="T140" s="639">
        <f t="shared" si="9"/>
        <v>64.8</v>
      </c>
      <c r="U140" s="638"/>
      <c r="V140" s="638"/>
      <c r="W140" s="637"/>
      <c r="X140" s="639">
        <f t="shared" si="10"/>
        <v>67.8</v>
      </c>
      <c r="Y140" s="638"/>
      <c r="Z140" s="638"/>
      <c r="AA140" s="637"/>
    </row>
    <row r="141" spans="3:27">
      <c r="C141" s="200" t="s">
        <v>1046</v>
      </c>
      <c r="D141" s="433" t="s">
        <v>1047</v>
      </c>
      <c r="E141" s="200" t="s">
        <v>1363</v>
      </c>
      <c r="F141" s="642">
        <f t="shared" si="7"/>
        <v>56.4</v>
      </c>
      <c r="G141" s="641"/>
      <c r="H141" s="640">
        <v>60</v>
      </c>
      <c r="I141" s="638"/>
      <c r="J141" s="638"/>
      <c r="K141" s="637"/>
      <c r="L141" s="639">
        <f t="shared" si="11"/>
        <v>56.4</v>
      </c>
      <c r="M141" s="638"/>
      <c r="N141" s="638"/>
      <c r="O141" s="637"/>
      <c r="P141" s="639">
        <f t="shared" si="8"/>
        <v>59.4</v>
      </c>
      <c r="Q141" s="638"/>
      <c r="R141" s="638"/>
      <c r="S141" s="637"/>
      <c r="T141" s="639">
        <f t="shared" si="9"/>
        <v>62.4</v>
      </c>
      <c r="U141" s="638"/>
      <c r="V141" s="638"/>
      <c r="W141" s="637"/>
      <c r="X141" s="639">
        <f t="shared" si="10"/>
        <v>65.400000000000006</v>
      </c>
      <c r="Y141" s="638"/>
      <c r="Z141" s="638"/>
      <c r="AA141" s="637"/>
    </row>
    <row r="142" spans="3:27">
      <c r="C142" s="200" t="s">
        <v>1048</v>
      </c>
      <c r="D142" s="433" t="s">
        <v>1049</v>
      </c>
      <c r="E142" s="200" t="s">
        <v>1363</v>
      </c>
      <c r="F142" s="642">
        <f t="shared" si="7"/>
        <v>60</v>
      </c>
      <c r="G142" s="641"/>
      <c r="H142" s="640">
        <v>68</v>
      </c>
      <c r="I142" s="638"/>
      <c r="J142" s="638"/>
      <c r="K142" s="637"/>
      <c r="L142" s="639">
        <f t="shared" si="11"/>
        <v>60</v>
      </c>
      <c r="M142" s="638"/>
      <c r="N142" s="638"/>
      <c r="O142" s="637"/>
      <c r="P142" s="639">
        <f t="shared" si="8"/>
        <v>63</v>
      </c>
      <c r="Q142" s="638"/>
      <c r="R142" s="638"/>
      <c r="S142" s="637"/>
      <c r="T142" s="639">
        <f t="shared" si="9"/>
        <v>66</v>
      </c>
      <c r="U142" s="638"/>
      <c r="V142" s="638"/>
      <c r="W142" s="637"/>
      <c r="X142" s="639">
        <f t="shared" si="10"/>
        <v>69</v>
      </c>
      <c r="Y142" s="638"/>
      <c r="Z142" s="638"/>
      <c r="AA142" s="637"/>
    </row>
    <row r="143" spans="3:27">
      <c r="C143" s="200" t="s">
        <v>1050</v>
      </c>
      <c r="D143" s="433" t="s">
        <v>1051</v>
      </c>
      <c r="E143" s="200" t="s">
        <v>1363</v>
      </c>
      <c r="F143" s="642">
        <f t="shared" si="7"/>
        <v>79.2</v>
      </c>
      <c r="G143" s="641"/>
      <c r="H143" s="640">
        <v>87</v>
      </c>
      <c r="I143" s="638"/>
      <c r="J143" s="638"/>
      <c r="K143" s="637"/>
      <c r="L143" s="639">
        <f t="shared" si="11"/>
        <v>79.2</v>
      </c>
      <c r="M143" s="638"/>
      <c r="N143" s="638"/>
      <c r="O143" s="637"/>
      <c r="P143" s="639">
        <f t="shared" si="8"/>
        <v>82.2</v>
      </c>
      <c r="Q143" s="638"/>
      <c r="R143" s="638"/>
      <c r="S143" s="637"/>
      <c r="T143" s="639">
        <f t="shared" si="9"/>
        <v>85.2</v>
      </c>
      <c r="U143" s="638"/>
      <c r="V143" s="638"/>
      <c r="W143" s="637"/>
      <c r="X143" s="639">
        <f t="shared" si="10"/>
        <v>88.2</v>
      </c>
      <c r="Y143" s="638"/>
      <c r="Z143" s="638"/>
      <c r="AA143" s="637"/>
    </row>
    <row r="144" spans="3:27">
      <c r="C144" s="200" t="s">
        <v>1052</v>
      </c>
      <c r="D144" s="433" t="s">
        <v>1053</v>
      </c>
      <c r="E144" s="200" t="s">
        <v>1363</v>
      </c>
      <c r="F144" s="642">
        <f t="shared" si="7"/>
        <v>121.19999999999999</v>
      </c>
      <c r="G144" s="641"/>
      <c r="H144" s="640">
        <v>115</v>
      </c>
      <c r="I144" s="638"/>
      <c r="J144" s="638"/>
      <c r="K144" s="637"/>
      <c r="L144" s="639">
        <f t="shared" si="11"/>
        <v>121.19999999999999</v>
      </c>
      <c r="M144" s="638"/>
      <c r="N144" s="638"/>
      <c r="O144" s="637"/>
      <c r="P144" s="639">
        <f t="shared" si="8"/>
        <v>124.19999999999999</v>
      </c>
      <c r="Q144" s="638"/>
      <c r="R144" s="638"/>
      <c r="S144" s="637"/>
      <c r="T144" s="639">
        <f t="shared" si="9"/>
        <v>127.19999999999999</v>
      </c>
      <c r="U144" s="638"/>
      <c r="V144" s="638"/>
      <c r="W144" s="637"/>
      <c r="X144" s="639">
        <f t="shared" si="10"/>
        <v>130.19999999999999</v>
      </c>
      <c r="Y144" s="638"/>
      <c r="Z144" s="638"/>
      <c r="AA144" s="637"/>
    </row>
    <row r="145" spans="3:27">
      <c r="C145" s="200" t="s">
        <v>1054</v>
      </c>
      <c r="D145" s="433" t="s">
        <v>1055</v>
      </c>
      <c r="E145" s="200" t="s">
        <v>1363</v>
      </c>
      <c r="F145" s="642">
        <f t="shared" si="7"/>
        <v>147.6</v>
      </c>
      <c r="G145" s="641"/>
      <c r="H145" s="640">
        <v>135</v>
      </c>
      <c r="I145" s="638"/>
      <c r="J145" s="638"/>
      <c r="K145" s="637"/>
      <c r="L145" s="639">
        <f t="shared" si="11"/>
        <v>147.6</v>
      </c>
      <c r="M145" s="638"/>
      <c r="N145" s="638"/>
      <c r="O145" s="637"/>
      <c r="P145" s="639">
        <f t="shared" si="8"/>
        <v>150.6</v>
      </c>
      <c r="Q145" s="638"/>
      <c r="R145" s="638"/>
      <c r="S145" s="637"/>
      <c r="T145" s="639">
        <f t="shared" si="9"/>
        <v>153.6</v>
      </c>
      <c r="U145" s="638"/>
      <c r="V145" s="638"/>
      <c r="W145" s="637"/>
      <c r="X145" s="639">
        <f t="shared" si="10"/>
        <v>156.6</v>
      </c>
      <c r="Y145" s="638"/>
      <c r="Z145" s="638"/>
      <c r="AA145" s="637"/>
    </row>
    <row r="146" spans="3:27">
      <c r="C146" s="200" t="s">
        <v>1056</v>
      </c>
      <c r="D146" s="433" t="s">
        <v>1057</v>
      </c>
      <c r="E146" s="200" t="s">
        <v>1363</v>
      </c>
      <c r="F146" s="642">
        <f t="shared" si="7"/>
        <v>183.6</v>
      </c>
      <c r="G146" s="641"/>
      <c r="H146" s="640">
        <v>165</v>
      </c>
      <c r="I146" s="638"/>
      <c r="J146" s="638"/>
      <c r="K146" s="637"/>
      <c r="L146" s="639">
        <f t="shared" si="11"/>
        <v>183.6</v>
      </c>
      <c r="M146" s="638"/>
      <c r="N146" s="638"/>
      <c r="O146" s="637"/>
      <c r="P146" s="639">
        <f t="shared" si="8"/>
        <v>186.6</v>
      </c>
      <c r="Q146" s="638"/>
      <c r="R146" s="638"/>
      <c r="S146" s="637"/>
      <c r="T146" s="639">
        <f t="shared" si="9"/>
        <v>189.6</v>
      </c>
      <c r="U146" s="638"/>
      <c r="V146" s="638"/>
      <c r="W146" s="637"/>
      <c r="X146" s="639">
        <f t="shared" si="10"/>
        <v>192.6</v>
      </c>
      <c r="Y146" s="638"/>
      <c r="Z146" s="638"/>
      <c r="AA146" s="637"/>
    </row>
    <row r="147" spans="3:27">
      <c r="C147" s="96" t="s">
        <v>996</v>
      </c>
      <c r="D147" s="636" t="s">
        <v>1328</v>
      </c>
      <c r="E147" s="635">
        <v>1</v>
      </c>
      <c r="F147" s="634"/>
      <c r="G147" s="542"/>
      <c r="H147" s="542">
        <v>1</v>
      </c>
      <c r="I147" s="542" t="s">
        <v>1329</v>
      </c>
      <c r="J147" s="542" t="s">
        <v>554</v>
      </c>
      <c r="K147" s="542" t="s">
        <v>1330</v>
      </c>
      <c r="L147" s="542">
        <v>2</v>
      </c>
      <c r="M147" s="542" t="s">
        <v>1329</v>
      </c>
      <c r="N147" s="542" t="s">
        <v>554</v>
      </c>
      <c r="O147" s="542" t="s">
        <v>1330</v>
      </c>
      <c r="P147" s="542">
        <v>3</v>
      </c>
      <c r="Q147" s="542" t="s">
        <v>1329</v>
      </c>
      <c r="R147" s="542" t="s">
        <v>554</v>
      </c>
      <c r="S147" s="542" t="s">
        <v>1330</v>
      </c>
      <c r="T147" s="542">
        <v>4</v>
      </c>
      <c r="U147" s="542" t="s">
        <v>1329</v>
      </c>
      <c r="V147" s="542" t="s">
        <v>554</v>
      </c>
      <c r="W147" s="542" t="s">
        <v>1330</v>
      </c>
      <c r="X147" s="542">
        <v>5</v>
      </c>
      <c r="Y147" s="542" t="s">
        <v>1329</v>
      </c>
      <c r="Z147" s="542" t="s">
        <v>554</v>
      </c>
      <c r="AA147" s="542" t="s">
        <v>1330</v>
      </c>
    </row>
    <row r="148" spans="3:27">
      <c r="D148" s="445"/>
      <c r="E148" s="198" t="s">
        <v>31</v>
      </c>
      <c r="F148" s="648">
        <f>INDEX($H148:$AA148,1,MATCH($E147,$H147:$AA147,0))</f>
        <v>8</v>
      </c>
      <c r="G148" s="595"/>
      <c r="H148" s="647">
        <v>8</v>
      </c>
      <c r="I148" s="645"/>
      <c r="J148" s="645"/>
      <c r="K148" s="644"/>
      <c r="L148" s="646">
        <f>H148+3</f>
        <v>11</v>
      </c>
      <c r="M148" s="645"/>
      <c r="N148" s="645"/>
      <c r="O148" s="644"/>
      <c r="P148" s="646">
        <f>L148+3</f>
        <v>14</v>
      </c>
      <c r="Q148" s="645"/>
      <c r="R148" s="645"/>
      <c r="S148" s="644"/>
      <c r="T148" s="646">
        <f>P148+3</f>
        <v>17</v>
      </c>
      <c r="U148" s="645"/>
      <c r="V148" s="645"/>
      <c r="W148" s="644"/>
      <c r="X148" s="646">
        <f>T148+3</f>
        <v>20</v>
      </c>
      <c r="Y148" s="645"/>
      <c r="Z148" s="645"/>
      <c r="AA148" s="644"/>
    </row>
    <row r="149" spans="3:27">
      <c r="C149" s="96" t="s">
        <v>1059</v>
      </c>
      <c r="D149" s="636" t="s">
        <v>1328</v>
      </c>
      <c r="E149" s="635">
        <v>1</v>
      </c>
      <c r="F149" s="634"/>
      <c r="G149" s="542"/>
      <c r="H149" s="542">
        <v>1</v>
      </c>
      <c r="I149" s="542" t="s">
        <v>1329</v>
      </c>
      <c r="J149" s="542" t="s">
        <v>554</v>
      </c>
      <c r="K149" s="542" t="s">
        <v>1330</v>
      </c>
      <c r="L149" s="542">
        <v>2</v>
      </c>
      <c r="M149" s="542" t="s">
        <v>1329</v>
      </c>
      <c r="N149" s="542" t="s">
        <v>554</v>
      </c>
      <c r="O149" s="542" t="s">
        <v>1330</v>
      </c>
      <c r="P149" s="542">
        <v>3</v>
      </c>
      <c r="Q149" s="542" t="s">
        <v>1329</v>
      </c>
      <c r="R149" s="542" t="s">
        <v>554</v>
      </c>
      <c r="S149" s="542" t="s">
        <v>1330</v>
      </c>
      <c r="T149" s="542">
        <v>4</v>
      </c>
      <c r="U149" s="542" t="s">
        <v>1329</v>
      </c>
      <c r="V149" s="542" t="s">
        <v>554</v>
      </c>
      <c r="W149" s="542" t="s">
        <v>1330</v>
      </c>
      <c r="X149" s="542">
        <v>5</v>
      </c>
      <c r="Y149" s="542" t="s">
        <v>1329</v>
      </c>
      <c r="Z149" s="542" t="s">
        <v>554</v>
      </c>
      <c r="AA149" s="542" t="s">
        <v>1330</v>
      </c>
    </row>
    <row r="150" spans="3:27">
      <c r="D150" s="445" t="s">
        <v>1364</v>
      </c>
      <c r="E150" s="198" t="s">
        <v>1365</v>
      </c>
      <c r="F150" s="648">
        <f>INDEX($H150:$AA150,1,MATCH($E149,$H149:$AA149,0))</f>
        <v>13.5</v>
      </c>
      <c r="G150" s="595"/>
      <c r="H150" s="647">
        <v>13.5</v>
      </c>
      <c r="I150" s="645"/>
      <c r="J150" s="645"/>
      <c r="K150" s="644"/>
      <c r="L150" s="646">
        <f>H150+3</f>
        <v>16.5</v>
      </c>
      <c r="M150" s="645"/>
      <c r="N150" s="645"/>
      <c r="O150" s="644"/>
      <c r="P150" s="646">
        <f>L150+3</f>
        <v>19.5</v>
      </c>
      <c r="Q150" s="645"/>
      <c r="R150" s="645"/>
      <c r="S150" s="644"/>
      <c r="T150" s="646">
        <f>P150+3</f>
        <v>22.5</v>
      </c>
      <c r="U150" s="645"/>
      <c r="V150" s="645"/>
      <c r="W150" s="644"/>
      <c r="X150" s="646">
        <f>T150+3</f>
        <v>25.5</v>
      </c>
      <c r="Y150" s="645"/>
      <c r="Z150" s="645"/>
      <c r="AA150" s="644"/>
    </row>
    <row r="151" spans="3:27">
      <c r="C151" s="96" t="s">
        <v>1061</v>
      </c>
      <c r="D151" s="636" t="s">
        <v>1328</v>
      </c>
      <c r="E151" s="635">
        <v>1</v>
      </c>
      <c r="F151" s="634"/>
      <c r="G151" s="542"/>
      <c r="H151" s="542">
        <v>1</v>
      </c>
      <c r="I151" s="542" t="s">
        <v>1329</v>
      </c>
      <c r="J151" s="542" t="s">
        <v>554</v>
      </c>
      <c r="K151" s="542" t="s">
        <v>1330</v>
      </c>
      <c r="L151" s="542">
        <v>2</v>
      </c>
      <c r="M151" s="542" t="s">
        <v>1329</v>
      </c>
      <c r="N151" s="542" t="s">
        <v>554</v>
      </c>
      <c r="O151" s="542" t="s">
        <v>1330</v>
      </c>
      <c r="P151" s="542">
        <v>3</v>
      </c>
      <c r="Q151" s="542" t="s">
        <v>1329</v>
      </c>
      <c r="R151" s="542" t="s">
        <v>554</v>
      </c>
      <c r="S151" s="542" t="s">
        <v>1330</v>
      </c>
      <c r="T151" s="542">
        <v>4</v>
      </c>
      <c r="U151" s="542" t="s">
        <v>1329</v>
      </c>
      <c r="V151" s="542" t="s">
        <v>554</v>
      </c>
      <c r="W151" s="542" t="s">
        <v>1330</v>
      </c>
      <c r="X151" s="542">
        <v>5</v>
      </c>
      <c r="Y151" s="542" t="s">
        <v>1329</v>
      </c>
      <c r="Z151" s="542" t="s">
        <v>554</v>
      </c>
      <c r="AA151" s="542" t="s">
        <v>1330</v>
      </c>
    </row>
    <row r="152" spans="3:27">
      <c r="D152" s="445" t="s">
        <v>1366</v>
      </c>
      <c r="E152" s="198" t="s">
        <v>1365</v>
      </c>
      <c r="F152" s="648">
        <f>INDEX($H152:$AA152,1,MATCH($E151,$H151:$AA151,0))</f>
        <v>195</v>
      </c>
      <c r="G152" s="595"/>
      <c r="H152" s="647">
        <v>195</v>
      </c>
      <c r="I152" s="645"/>
      <c r="J152" s="645"/>
      <c r="K152" s="644"/>
      <c r="L152" s="646">
        <f>H152+3</f>
        <v>198</v>
      </c>
      <c r="M152" s="645"/>
      <c r="N152" s="645"/>
      <c r="O152" s="644"/>
      <c r="P152" s="646">
        <f>L152+3</f>
        <v>201</v>
      </c>
      <c r="Q152" s="645"/>
      <c r="R152" s="645"/>
      <c r="S152" s="644"/>
      <c r="T152" s="646">
        <f>P152+3</f>
        <v>204</v>
      </c>
      <c r="U152" s="645"/>
      <c r="V152" s="645"/>
      <c r="W152" s="644"/>
      <c r="X152" s="646">
        <f>T152+3</f>
        <v>207</v>
      </c>
      <c r="Y152" s="645"/>
      <c r="Z152" s="645"/>
      <c r="AA152" s="644"/>
    </row>
    <row r="153" spans="3:27">
      <c r="C153" s="96" t="s">
        <v>1062</v>
      </c>
      <c r="D153" s="636" t="s">
        <v>1328</v>
      </c>
      <c r="E153" s="635">
        <v>1</v>
      </c>
      <c r="F153" s="634"/>
      <c r="G153" s="542"/>
      <c r="H153" s="542">
        <v>1</v>
      </c>
      <c r="I153" s="542" t="s">
        <v>1329</v>
      </c>
      <c r="J153" s="542" t="s">
        <v>554</v>
      </c>
      <c r="K153" s="542" t="s">
        <v>1330</v>
      </c>
      <c r="L153" s="542">
        <v>2</v>
      </c>
      <c r="M153" s="542" t="s">
        <v>1329</v>
      </c>
      <c r="N153" s="542" t="s">
        <v>554</v>
      </c>
      <c r="O153" s="542" t="s">
        <v>1330</v>
      </c>
      <c r="P153" s="542">
        <v>3</v>
      </c>
      <c r="Q153" s="542" t="s">
        <v>1329</v>
      </c>
      <c r="R153" s="542" t="s">
        <v>554</v>
      </c>
      <c r="S153" s="542" t="s">
        <v>1330</v>
      </c>
      <c r="T153" s="542">
        <v>4</v>
      </c>
      <c r="U153" s="542" t="s">
        <v>1329</v>
      </c>
      <c r="V153" s="542" t="s">
        <v>554</v>
      </c>
      <c r="W153" s="542" t="s">
        <v>1330</v>
      </c>
      <c r="X153" s="542">
        <v>5</v>
      </c>
      <c r="Y153" s="542" t="s">
        <v>1329</v>
      </c>
      <c r="Z153" s="542" t="s">
        <v>554</v>
      </c>
      <c r="AA153" s="542" t="s">
        <v>1330</v>
      </c>
    </row>
    <row r="154" spans="3:27">
      <c r="D154" s="445" t="s">
        <v>1367</v>
      </c>
      <c r="E154" s="198" t="s">
        <v>1333</v>
      </c>
      <c r="F154" s="648">
        <f>INDEX($H154:$AA154,1,MATCH($E153,$H153:$AA153,0))</f>
        <v>14</v>
      </c>
      <c r="G154" s="595"/>
      <c r="H154" s="647">
        <v>14</v>
      </c>
      <c r="I154" s="645"/>
      <c r="J154" s="645"/>
      <c r="K154" s="644"/>
      <c r="L154" s="646">
        <f>H154+1.5</f>
        <v>15.5</v>
      </c>
      <c r="M154" s="645"/>
      <c r="N154" s="645"/>
      <c r="O154" s="644"/>
      <c r="P154" s="646">
        <f>L154+1.5</f>
        <v>17</v>
      </c>
      <c r="Q154" s="645"/>
      <c r="R154" s="645"/>
      <c r="S154" s="644"/>
      <c r="T154" s="646">
        <f>P154+1.5</f>
        <v>18.5</v>
      </c>
      <c r="U154" s="645"/>
      <c r="V154" s="645"/>
      <c r="W154" s="644"/>
      <c r="X154" s="646">
        <f>T154+1.5</f>
        <v>20</v>
      </c>
      <c r="Y154" s="645"/>
      <c r="Z154" s="645"/>
      <c r="AA154" s="644"/>
    </row>
    <row r="155" spans="3:27">
      <c r="C155" s="96" t="s">
        <v>1063</v>
      </c>
      <c r="D155" s="636" t="s">
        <v>1328</v>
      </c>
      <c r="E155" s="635">
        <v>1</v>
      </c>
      <c r="F155" s="634"/>
      <c r="G155" s="542"/>
      <c r="H155" s="542">
        <v>1</v>
      </c>
      <c r="I155" s="542" t="s">
        <v>1329</v>
      </c>
      <c r="J155" s="542" t="s">
        <v>554</v>
      </c>
      <c r="K155" s="542" t="s">
        <v>1330</v>
      </c>
      <c r="L155" s="542">
        <v>2</v>
      </c>
      <c r="M155" s="542" t="s">
        <v>1329</v>
      </c>
      <c r="N155" s="542" t="s">
        <v>554</v>
      </c>
      <c r="O155" s="542" t="s">
        <v>1330</v>
      </c>
      <c r="P155" s="542">
        <v>3</v>
      </c>
      <c r="Q155" s="542" t="s">
        <v>1329</v>
      </c>
      <c r="R155" s="542" t="s">
        <v>554</v>
      </c>
      <c r="S155" s="542" t="s">
        <v>1330</v>
      </c>
      <c r="T155" s="542">
        <v>4</v>
      </c>
      <c r="U155" s="542" t="s">
        <v>1329</v>
      </c>
      <c r="V155" s="542" t="s">
        <v>554</v>
      </c>
      <c r="W155" s="542" t="s">
        <v>1330</v>
      </c>
      <c r="X155" s="542">
        <v>5</v>
      </c>
      <c r="Y155" s="542" t="s">
        <v>1329</v>
      </c>
      <c r="Z155" s="542" t="s">
        <v>554</v>
      </c>
      <c r="AA155" s="542" t="s">
        <v>1330</v>
      </c>
    </row>
    <row r="156" spans="3:27">
      <c r="D156" s="445" t="s">
        <v>1368</v>
      </c>
      <c r="E156" s="198" t="s">
        <v>1369</v>
      </c>
      <c r="F156" s="648">
        <f>INDEX($H156:$AA156,1,MATCH($E155,$H155:$AA155,0))</f>
        <v>17</v>
      </c>
      <c r="G156" s="595"/>
      <c r="H156" s="647">
        <v>17</v>
      </c>
      <c r="I156" s="645"/>
      <c r="J156" s="645"/>
      <c r="K156" s="644"/>
      <c r="L156" s="646">
        <f>H156+1.5</f>
        <v>18.5</v>
      </c>
      <c r="M156" s="645"/>
      <c r="N156" s="645"/>
      <c r="O156" s="644"/>
      <c r="P156" s="646">
        <f>L156+1.5</f>
        <v>20</v>
      </c>
      <c r="Q156" s="645"/>
      <c r="R156" s="645"/>
      <c r="S156" s="644"/>
      <c r="T156" s="646">
        <f>P156+1.5</f>
        <v>21.5</v>
      </c>
      <c r="U156" s="645"/>
      <c r="V156" s="645"/>
      <c r="W156" s="644"/>
      <c r="X156" s="646">
        <f>T156+1.5</f>
        <v>23</v>
      </c>
      <c r="Y156" s="645"/>
      <c r="Z156" s="645"/>
      <c r="AA156" s="644"/>
    </row>
    <row r="157" spans="3:27">
      <c r="C157" s="96" t="s">
        <v>1064</v>
      </c>
      <c r="D157" s="636" t="s">
        <v>1328</v>
      </c>
      <c r="E157" s="635">
        <v>1</v>
      </c>
      <c r="F157" s="634"/>
      <c r="G157" s="542"/>
      <c r="H157" s="542">
        <v>1</v>
      </c>
      <c r="I157" s="542" t="s">
        <v>1329</v>
      </c>
      <c r="J157" s="542" t="s">
        <v>554</v>
      </c>
      <c r="K157" s="542" t="s">
        <v>1330</v>
      </c>
      <c r="L157" s="542">
        <v>2</v>
      </c>
      <c r="M157" s="542" t="s">
        <v>1329</v>
      </c>
      <c r="N157" s="542" t="s">
        <v>554</v>
      </c>
      <c r="O157" s="542" t="s">
        <v>1330</v>
      </c>
      <c r="P157" s="542">
        <v>3</v>
      </c>
      <c r="Q157" s="542" t="s">
        <v>1329</v>
      </c>
      <c r="R157" s="542" t="s">
        <v>554</v>
      </c>
      <c r="S157" s="542" t="s">
        <v>1330</v>
      </c>
      <c r="T157" s="542">
        <v>4</v>
      </c>
      <c r="U157" s="542" t="s">
        <v>1329</v>
      </c>
      <c r="V157" s="542" t="s">
        <v>554</v>
      </c>
      <c r="W157" s="542" t="s">
        <v>1330</v>
      </c>
      <c r="X157" s="542">
        <v>5</v>
      </c>
      <c r="Y157" s="542" t="s">
        <v>1329</v>
      </c>
      <c r="Z157" s="542" t="s">
        <v>554</v>
      </c>
      <c r="AA157" s="542" t="s">
        <v>1330</v>
      </c>
    </row>
    <row r="158" spans="3:27">
      <c r="D158" s="445" t="s">
        <v>1065</v>
      </c>
      <c r="E158" s="198" t="s">
        <v>1333</v>
      </c>
      <c r="F158" s="648">
        <f>INDEX($H158:$AA158,1,MATCH($E157,$H157:$AA157,0))</f>
        <v>14.5</v>
      </c>
      <c r="G158" s="595"/>
      <c r="H158" s="647">
        <v>14.5</v>
      </c>
      <c r="I158" s="645"/>
      <c r="J158" s="645"/>
      <c r="K158" s="644"/>
      <c r="L158" s="646">
        <f>H158+1.5</f>
        <v>16</v>
      </c>
      <c r="M158" s="645"/>
      <c r="N158" s="645"/>
      <c r="O158" s="644"/>
      <c r="P158" s="646">
        <f>L158+1.5</f>
        <v>17.5</v>
      </c>
      <c r="Q158" s="645"/>
      <c r="R158" s="645"/>
      <c r="S158" s="644"/>
      <c r="T158" s="646">
        <f>P158+1.5</f>
        <v>19</v>
      </c>
      <c r="U158" s="645"/>
      <c r="V158" s="645"/>
      <c r="W158" s="644"/>
      <c r="X158" s="646">
        <f>T158+1.5</f>
        <v>20.5</v>
      </c>
      <c r="Y158" s="645"/>
      <c r="Z158" s="645"/>
      <c r="AA158" s="644"/>
    </row>
    <row r="159" spans="3:27">
      <c r="C159" s="96" t="s">
        <v>1066</v>
      </c>
      <c r="D159" s="636" t="s">
        <v>1328</v>
      </c>
      <c r="E159" s="635">
        <v>1</v>
      </c>
      <c r="F159" s="634"/>
      <c r="G159" s="542"/>
      <c r="H159" s="542">
        <v>1</v>
      </c>
      <c r="I159" s="542" t="s">
        <v>1329</v>
      </c>
      <c r="J159" s="542" t="s">
        <v>554</v>
      </c>
      <c r="K159" s="542" t="s">
        <v>1330</v>
      </c>
      <c r="L159" s="542">
        <v>2</v>
      </c>
      <c r="M159" s="542" t="s">
        <v>1329</v>
      </c>
      <c r="N159" s="542" t="s">
        <v>554</v>
      </c>
      <c r="O159" s="542" t="s">
        <v>1330</v>
      </c>
      <c r="P159" s="542">
        <v>3</v>
      </c>
      <c r="Q159" s="542" t="s">
        <v>1329</v>
      </c>
      <c r="R159" s="542" t="s">
        <v>554</v>
      </c>
      <c r="S159" s="542" t="s">
        <v>1330</v>
      </c>
      <c r="T159" s="542">
        <v>4</v>
      </c>
      <c r="U159" s="542" t="s">
        <v>1329</v>
      </c>
      <c r="V159" s="542" t="s">
        <v>554</v>
      </c>
      <c r="W159" s="542" t="s">
        <v>1330</v>
      </c>
      <c r="X159" s="542">
        <v>5</v>
      </c>
      <c r="Y159" s="542" t="s">
        <v>1329</v>
      </c>
      <c r="Z159" s="542" t="s">
        <v>554</v>
      </c>
      <c r="AA159" s="542" t="s">
        <v>1330</v>
      </c>
    </row>
    <row r="160" spans="3:27">
      <c r="C160" s="198" t="s">
        <v>1035</v>
      </c>
      <c r="D160" s="445" t="str">
        <f t="shared" ref="D160:D170" si="12">D125</f>
        <v>4</v>
      </c>
      <c r="E160" s="198" t="s">
        <v>968</v>
      </c>
      <c r="F160" s="648">
        <f t="shared" ref="F160:F170" si="13">INDEX($H160:$AA160,1,MATCH($E$159,$H$159:$AA$159,0))</f>
        <v>1.8</v>
      </c>
      <c r="G160" s="595"/>
      <c r="H160" s="647">
        <v>1.8</v>
      </c>
      <c r="I160" s="645"/>
      <c r="J160" s="645"/>
      <c r="K160" s="644"/>
      <c r="L160" s="646">
        <f t="shared" ref="L160:L170" si="14">H160+0.25</f>
        <v>2.0499999999999998</v>
      </c>
      <c r="M160" s="645"/>
      <c r="N160" s="645"/>
      <c r="O160" s="644"/>
      <c r="P160" s="646">
        <f t="shared" ref="P160:P170" si="15">L160+0.25</f>
        <v>2.2999999999999998</v>
      </c>
      <c r="Q160" s="645"/>
      <c r="R160" s="645"/>
      <c r="S160" s="644"/>
      <c r="T160" s="646">
        <f t="shared" ref="T160:T170" si="16">P160+0.25</f>
        <v>2.5499999999999998</v>
      </c>
      <c r="U160" s="645"/>
      <c r="V160" s="645"/>
      <c r="W160" s="644"/>
      <c r="X160" s="646">
        <f t="shared" ref="X160:X170" si="17">T160+0.25</f>
        <v>2.8</v>
      </c>
      <c r="Y160" s="645"/>
      <c r="Z160" s="645"/>
      <c r="AA160" s="644"/>
    </row>
    <row r="161" spans="3:27">
      <c r="C161" s="200" t="s">
        <v>1038</v>
      </c>
      <c r="D161" s="434" t="str">
        <f t="shared" si="12"/>
        <v>5</v>
      </c>
      <c r="E161" s="200" t="s">
        <v>968</v>
      </c>
      <c r="F161" s="642">
        <f t="shared" si="13"/>
        <v>1.95</v>
      </c>
      <c r="G161" s="641"/>
      <c r="H161" s="640">
        <v>1.95</v>
      </c>
      <c r="I161" s="638"/>
      <c r="J161" s="638"/>
      <c r="K161" s="637"/>
      <c r="L161" s="639">
        <f t="shared" si="14"/>
        <v>2.2000000000000002</v>
      </c>
      <c r="M161" s="638"/>
      <c r="N161" s="638"/>
      <c r="O161" s="637"/>
      <c r="P161" s="639">
        <f t="shared" si="15"/>
        <v>2.4500000000000002</v>
      </c>
      <c r="Q161" s="638"/>
      <c r="R161" s="638"/>
      <c r="S161" s="637"/>
      <c r="T161" s="639">
        <f t="shared" si="16"/>
        <v>2.7</v>
      </c>
      <c r="U161" s="638"/>
      <c r="V161" s="638"/>
      <c r="W161" s="637"/>
      <c r="X161" s="639">
        <f t="shared" si="17"/>
        <v>2.95</v>
      </c>
      <c r="Y161" s="638"/>
      <c r="Z161" s="638"/>
      <c r="AA161" s="637"/>
    </row>
    <row r="162" spans="3:27">
      <c r="C162" s="200" t="s">
        <v>1040</v>
      </c>
      <c r="D162" s="434" t="str">
        <f t="shared" si="12"/>
        <v>6</v>
      </c>
      <c r="E162" s="200" t="s">
        <v>968</v>
      </c>
      <c r="F162" s="642">
        <f t="shared" si="13"/>
        <v>2.15</v>
      </c>
      <c r="G162" s="641"/>
      <c r="H162" s="640">
        <v>2.15</v>
      </c>
      <c r="I162" s="638"/>
      <c r="J162" s="638"/>
      <c r="K162" s="637"/>
      <c r="L162" s="639">
        <f t="shared" si="14"/>
        <v>2.4</v>
      </c>
      <c r="M162" s="638"/>
      <c r="N162" s="638"/>
      <c r="O162" s="637"/>
      <c r="P162" s="639">
        <f t="shared" si="15"/>
        <v>2.65</v>
      </c>
      <c r="Q162" s="638"/>
      <c r="R162" s="638"/>
      <c r="S162" s="637"/>
      <c r="T162" s="639">
        <f t="shared" si="16"/>
        <v>2.9</v>
      </c>
      <c r="U162" s="638"/>
      <c r="V162" s="638"/>
      <c r="W162" s="637"/>
      <c r="X162" s="639">
        <f t="shared" si="17"/>
        <v>3.15</v>
      </c>
      <c r="Y162" s="638"/>
      <c r="Z162" s="638"/>
      <c r="AA162" s="637"/>
    </row>
    <row r="163" spans="3:27">
      <c r="C163" s="200" t="s">
        <v>1042</v>
      </c>
      <c r="D163" s="434" t="str">
        <f t="shared" si="12"/>
        <v>7</v>
      </c>
      <c r="E163" s="200" t="s">
        <v>968</v>
      </c>
      <c r="F163" s="642">
        <f t="shared" si="13"/>
        <v>2.58</v>
      </c>
      <c r="G163" s="641"/>
      <c r="H163" s="640">
        <v>2.58</v>
      </c>
      <c r="I163" s="638"/>
      <c r="J163" s="638"/>
      <c r="K163" s="637"/>
      <c r="L163" s="639">
        <f t="shared" si="14"/>
        <v>2.83</v>
      </c>
      <c r="M163" s="638"/>
      <c r="N163" s="638"/>
      <c r="O163" s="637"/>
      <c r="P163" s="639">
        <f t="shared" si="15"/>
        <v>3.08</v>
      </c>
      <c r="Q163" s="638"/>
      <c r="R163" s="638"/>
      <c r="S163" s="637"/>
      <c r="T163" s="639">
        <f t="shared" si="16"/>
        <v>3.33</v>
      </c>
      <c r="U163" s="638"/>
      <c r="V163" s="638"/>
      <c r="W163" s="637"/>
      <c r="X163" s="639">
        <f t="shared" si="17"/>
        <v>3.58</v>
      </c>
      <c r="Y163" s="638"/>
      <c r="Z163" s="638"/>
      <c r="AA163" s="637"/>
    </row>
    <row r="164" spans="3:27">
      <c r="C164" s="200" t="s">
        <v>1044</v>
      </c>
      <c r="D164" s="434" t="str">
        <f t="shared" si="12"/>
        <v>8</v>
      </c>
      <c r="E164" s="200" t="s">
        <v>968</v>
      </c>
      <c r="F164" s="642">
        <f t="shared" si="13"/>
        <v>3.15</v>
      </c>
      <c r="G164" s="641"/>
      <c r="H164" s="640">
        <v>3.15</v>
      </c>
      <c r="I164" s="638"/>
      <c r="J164" s="638"/>
      <c r="K164" s="637"/>
      <c r="L164" s="639">
        <f t="shared" si="14"/>
        <v>3.4</v>
      </c>
      <c r="M164" s="638"/>
      <c r="N164" s="638"/>
      <c r="O164" s="637"/>
      <c r="P164" s="639">
        <f t="shared" si="15"/>
        <v>3.65</v>
      </c>
      <c r="Q164" s="638"/>
      <c r="R164" s="638"/>
      <c r="S164" s="637"/>
      <c r="T164" s="639">
        <f t="shared" si="16"/>
        <v>3.9</v>
      </c>
      <c r="U164" s="638"/>
      <c r="V164" s="638"/>
      <c r="W164" s="637"/>
      <c r="X164" s="639">
        <f t="shared" si="17"/>
        <v>4.1500000000000004</v>
      </c>
      <c r="Y164" s="638"/>
      <c r="Z164" s="638"/>
      <c r="AA164" s="637"/>
    </row>
    <row r="165" spans="3:27">
      <c r="C165" s="200" t="s">
        <v>1046</v>
      </c>
      <c r="D165" s="434" t="str">
        <f t="shared" si="12"/>
        <v>9</v>
      </c>
      <c r="E165" s="200" t="s">
        <v>968</v>
      </c>
      <c r="F165" s="642">
        <f t="shared" si="13"/>
        <v>3.5</v>
      </c>
      <c r="G165" s="641"/>
      <c r="H165" s="640">
        <v>3.5</v>
      </c>
      <c r="I165" s="638"/>
      <c r="J165" s="638"/>
      <c r="K165" s="637"/>
      <c r="L165" s="639">
        <f t="shared" si="14"/>
        <v>3.75</v>
      </c>
      <c r="M165" s="638"/>
      <c r="N165" s="638"/>
      <c r="O165" s="637"/>
      <c r="P165" s="639">
        <f t="shared" si="15"/>
        <v>4</v>
      </c>
      <c r="Q165" s="638"/>
      <c r="R165" s="638"/>
      <c r="S165" s="637"/>
      <c r="T165" s="639">
        <f t="shared" si="16"/>
        <v>4.25</v>
      </c>
      <c r="U165" s="638"/>
      <c r="V165" s="638"/>
      <c r="W165" s="637"/>
      <c r="X165" s="639">
        <f t="shared" si="17"/>
        <v>4.5</v>
      </c>
      <c r="Y165" s="638"/>
      <c r="Z165" s="638"/>
      <c r="AA165" s="637"/>
    </row>
    <row r="166" spans="3:27">
      <c r="C166" s="200" t="s">
        <v>1048</v>
      </c>
      <c r="D166" s="434" t="str">
        <f t="shared" si="12"/>
        <v>10</v>
      </c>
      <c r="E166" s="200" t="s">
        <v>968</v>
      </c>
      <c r="F166" s="642">
        <f t="shared" si="13"/>
        <v>4.25</v>
      </c>
      <c r="G166" s="641"/>
      <c r="H166" s="640">
        <v>4.25</v>
      </c>
      <c r="I166" s="638"/>
      <c r="J166" s="638"/>
      <c r="K166" s="637"/>
      <c r="L166" s="639">
        <f t="shared" si="14"/>
        <v>4.5</v>
      </c>
      <c r="M166" s="638"/>
      <c r="N166" s="638"/>
      <c r="O166" s="637"/>
      <c r="P166" s="639">
        <f t="shared" si="15"/>
        <v>4.75</v>
      </c>
      <c r="Q166" s="638"/>
      <c r="R166" s="638"/>
      <c r="S166" s="637"/>
      <c r="T166" s="639">
        <f t="shared" si="16"/>
        <v>5</v>
      </c>
      <c r="U166" s="638"/>
      <c r="V166" s="638"/>
      <c r="W166" s="637"/>
      <c r="X166" s="639">
        <f t="shared" si="17"/>
        <v>5.25</v>
      </c>
      <c r="Y166" s="638"/>
      <c r="Z166" s="638"/>
      <c r="AA166" s="637"/>
    </row>
    <row r="167" spans="3:27">
      <c r="C167" s="200" t="s">
        <v>1050</v>
      </c>
      <c r="D167" s="434" t="str">
        <f t="shared" si="12"/>
        <v>12</v>
      </c>
      <c r="E167" s="200" t="s">
        <v>968</v>
      </c>
      <c r="F167" s="642">
        <f t="shared" si="13"/>
        <v>5</v>
      </c>
      <c r="G167" s="641"/>
      <c r="H167" s="640">
        <v>5</v>
      </c>
      <c r="I167" s="638"/>
      <c r="J167" s="638"/>
      <c r="K167" s="637"/>
      <c r="L167" s="639">
        <f t="shared" si="14"/>
        <v>5.25</v>
      </c>
      <c r="M167" s="638"/>
      <c r="N167" s="638"/>
      <c r="O167" s="637"/>
      <c r="P167" s="639">
        <f t="shared" si="15"/>
        <v>5.5</v>
      </c>
      <c r="Q167" s="638"/>
      <c r="R167" s="638"/>
      <c r="S167" s="637"/>
      <c r="T167" s="639">
        <f t="shared" si="16"/>
        <v>5.75</v>
      </c>
      <c r="U167" s="638"/>
      <c r="V167" s="638"/>
      <c r="W167" s="637"/>
      <c r="X167" s="639">
        <f t="shared" si="17"/>
        <v>6</v>
      </c>
      <c r="Y167" s="638"/>
      <c r="Z167" s="638"/>
      <c r="AA167" s="637"/>
    </row>
    <row r="168" spans="3:27">
      <c r="C168" s="200" t="s">
        <v>1052</v>
      </c>
      <c r="D168" s="434" t="str">
        <f t="shared" si="12"/>
        <v>14</v>
      </c>
      <c r="E168" s="200" t="s">
        <v>968</v>
      </c>
      <c r="F168" s="642">
        <f t="shared" si="13"/>
        <v>6</v>
      </c>
      <c r="G168" s="641"/>
      <c r="H168" s="640">
        <v>6</v>
      </c>
      <c r="I168" s="638"/>
      <c r="J168" s="638"/>
      <c r="K168" s="637"/>
      <c r="L168" s="639">
        <f t="shared" si="14"/>
        <v>6.25</v>
      </c>
      <c r="M168" s="638"/>
      <c r="N168" s="638"/>
      <c r="O168" s="637"/>
      <c r="P168" s="639">
        <f t="shared" si="15"/>
        <v>6.5</v>
      </c>
      <c r="Q168" s="638"/>
      <c r="R168" s="638"/>
      <c r="S168" s="637"/>
      <c r="T168" s="639">
        <f t="shared" si="16"/>
        <v>6.75</v>
      </c>
      <c r="U168" s="638"/>
      <c r="V168" s="638"/>
      <c r="W168" s="637"/>
      <c r="X168" s="639">
        <f t="shared" si="17"/>
        <v>7</v>
      </c>
      <c r="Y168" s="638"/>
      <c r="Z168" s="638"/>
      <c r="AA168" s="637"/>
    </row>
    <row r="169" spans="3:27">
      <c r="C169" s="200" t="s">
        <v>1054</v>
      </c>
      <c r="D169" s="434" t="str">
        <f t="shared" si="12"/>
        <v>16</v>
      </c>
      <c r="E169" s="200" t="s">
        <v>968</v>
      </c>
      <c r="F169" s="642">
        <f t="shared" si="13"/>
        <v>7</v>
      </c>
      <c r="G169" s="641"/>
      <c r="H169" s="640">
        <v>7</v>
      </c>
      <c r="I169" s="638"/>
      <c r="J169" s="638"/>
      <c r="K169" s="637"/>
      <c r="L169" s="639">
        <f t="shared" si="14"/>
        <v>7.25</v>
      </c>
      <c r="M169" s="638"/>
      <c r="N169" s="638"/>
      <c r="O169" s="637"/>
      <c r="P169" s="639">
        <f t="shared" si="15"/>
        <v>7.5</v>
      </c>
      <c r="Q169" s="638"/>
      <c r="R169" s="638"/>
      <c r="S169" s="637"/>
      <c r="T169" s="639">
        <f t="shared" si="16"/>
        <v>7.75</v>
      </c>
      <c r="U169" s="638"/>
      <c r="V169" s="638"/>
      <c r="W169" s="637"/>
      <c r="X169" s="639">
        <f t="shared" si="17"/>
        <v>8</v>
      </c>
      <c r="Y169" s="638"/>
      <c r="Z169" s="638"/>
      <c r="AA169" s="637"/>
    </row>
    <row r="170" spans="3:27">
      <c r="C170" s="200" t="s">
        <v>1056</v>
      </c>
      <c r="D170" s="434" t="str">
        <f t="shared" si="12"/>
        <v>18</v>
      </c>
      <c r="E170" s="200" t="s">
        <v>968</v>
      </c>
      <c r="F170" s="642">
        <f t="shared" si="13"/>
        <v>8</v>
      </c>
      <c r="G170" s="641"/>
      <c r="H170" s="640">
        <v>8</v>
      </c>
      <c r="I170" s="638"/>
      <c r="J170" s="638"/>
      <c r="K170" s="637"/>
      <c r="L170" s="639">
        <f t="shared" si="14"/>
        <v>8.25</v>
      </c>
      <c r="M170" s="638"/>
      <c r="N170" s="638"/>
      <c r="O170" s="637"/>
      <c r="P170" s="639">
        <f t="shared" si="15"/>
        <v>8.5</v>
      </c>
      <c r="Q170" s="638"/>
      <c r="R170" s="638"/>
      <c r="S170" s="637"/>
      <c r="T170" s="639">
        <f t="shared" si="16"/>
        <v>8.75</v>
      </c>
      <c r="U170" s="638"/>
      <c r="V170" s="638"/>
      <c r="W170" s="637"/>
      <c r="X170" s="639">
        <f t="shared" si="17"/>
        <v>9</v>
      </c>
      <c r="Y170" s="638"/>
      <c r="Z170" s="638"/>
      <c r="AA170" s="637"/>
    </row>
    <row r="171" spans="3:27">
      <c r="C171" s="96" t="s">
        <v>1067</v>
      </c>
      <c r="D171" s="636" t="s">
        <v>1328</v>
      </c>
      <c r="E171" s="635">
        <v>1</v>
      </c>
      <c r="F171" s="634"/>
      <c r="G171" s="542"/>
      <c r="H171" s="542">
        <v>1</v>
      </c>
      <c r="I171" s="542" t="s">
        <v>1329</v>
      </c>
      <c r="J171" s="542" t="s">
        <v>554</v>
      </c>
      <c r="K171" s="542" t="s">
        <v>1330</v>
      </c>
      <c r="L171" s="542">
        <v>2</v>
      </c>
      <c r="M171" s="542" t="s">
        <v>1329</v>
      </c>
      <c r="N171" s="542" t="s">
        <v>554</v>
      </c>
      <c r="O171" s="542" t="s">
        <v>1330</v>
      </c>
      <c r="P171" s="542">
        <v>3</v>
      </c>
      <c r="Q171" s="542" t="s">
        <v>1329</v>
      </c>
      <c r="R171" s="542" t="s">
        <v>554</v>
      </c>
      <c r="S171" s="542" t="s">
        <v>1330</v>
      </c>
      <c r="T171" s="542">
        <v>4</v>
      </c>
      <c r="U171" s="542" t="s">
        <v>1329</v>
      </c>
      <c r="V171" s="542" t="s">
        <v>554</v>
      </c>
      <c r="W171" s="542" t="s">
        <v>1330</v>
      </c>
      <c r="X171" s="542">
        <v>5</v>
      </c>
      <c r="Y171" s="542" t="s">
        <v>1329</v>
      </c>
      <c r="Z171" s="542" t="s">
        <v>554</v>
      </c>
      <c r="AA171" s="542" t="s">
        <v>1330</v>
      </c>
    </row>
    <row r="172" spans="3:27">
      <c r="C172" s="198" t="s">
        <v>1012</v>
      </c>
      <c r="D172" s="435" t="s">
        <v>1072</v>
      </c>
      <c r="E172" s="198" t="s">
        <v>968</v>
      </c>
      <c r="F172" s="648">
        <f t="shared" ref="F172:F186" si="18">INDEX($H172:$AA172,1,MATCH($E$171,$H$171:$AA$171,0))</f>
        <v>2.5</v>
      </c>
      <c r="G172" s="595"/>
      <c r="H172" s="647">
        <v>2.5</v>
      </c>
      <c r="I172" s="645"/>
      <c r="J172" s="645"/>
      <c r="K172" s="644"/>
      <c r="L172" s="646">
        <f t="shared" ref="L172:L186" si="19">H172+0.25</f>
        <v>2.75</v>
      </c>
      <c r="M172" s="645"/>
      <c r="N172" s="645"/>
      <c r="O172" s="644"/>
      <c r="P172" s="646">
        <f t="shared" ref="P172:P186" si="20">L172+0.25</f>
        <v>3</v>
      </c>
      <c r="Q172" s="645"/>
      <c r="R172" s="645"/>
      <c r="S172" s="644"/>
      <c r="T172" s="646">
        <f t="shared" ref="T172:T186" si="21">P172+0.25</f>
        <v>3.25</v>
      </c>
      <c r="U172" s="645"/>
      <c r="V172" s="645"/>
      <c r="W172" s="644"/>
      <c r="X172" s="646">
        <f t="shared" ref="X172:X186" si="22">T172+0.25</f>
        <v>3.5</v>
      </c>
      <c r="Y172" s="645"/>
      <c r="Z172" s="645"/>
      <c r="AA172" s="644"/>
    </row>
    <row r="173" spans="3:27">
      <c r="C173" s="200" t="s">
        <v>1014</v>
      </c>
      <c r="D173" s="433" t="s">
        <v>1071</v>
      </c>
      <c r="E173" s="200" t="s">
        <v>968</v>
      </c>
      <c r="F173" s="642">
        <f t="shared" si="18"/>
        <v>2.7</v>
      </c>
      <c r="G173" s="641"/>
      <c r="H173" s="640">
        <v>2.7</v>
      </c>
      <c r="I173" s="638"/>
      <c r="J173" s="638"/>
      <c r="K173" s="637"/>
      <c r="L173" s="639">
        <f t="shared" si="19"/>
        <v>2.95</v>
      </c>
      <c r="M173" s="638"/>
      <c r="N173" s="638"/>
      <c r="O173" s="637"/>
      <c r="P173" s="639">
        <f t="shared" si="20"/>
        <v>3.2</v>
      </c>
      <c r="Q173" s="638"/>
      <c r="R173" s="638"/>
      <c r="S173" s="637"/>
      <c r="T173" s="639">
        <f t="shared" si="21"/>
        <v>3.45</v>
      </c>
      <c r="U173" s="638"/>
      <c r="V173" s="638"/>
      <c r="W173" s="637"/>
      <c r="X173" s="639">
        <f t="shared" si="22"/>
        <v>3.7</v>
      </c>
      <c r="Y173" s="638"/>
      <c r="Z173" s="638"/>
      <c r="AA173" s="637"/>
    </row>
    <row r="174" spans="3:27">
      <c r="C174" s="200" t="s">
        <v>1016</v>
      </c>
      <c r="D174" s="433" t="s">
        <v>1070</v>
      </c>
      <c r="E174" s="200" t="s">
        <v>968</v>
      </c>
      <c r="F174" s="642">
        <f t="shared" si="18"/>
        <v>2.95</v>
      </c>
      <c r="G174" s="641"/>
      <c r="H174" s="640">
        <v>2.95</v>
      </c>
      <c r="I174" s="638"/>
      <c r="J174" s="638"/>
      <c r="K174" s="637"/>
      <c r="L174" s="639">
        <f t="shared" si="19"/>
        <v>3.2</v>
      </c>
      <c r="M174" s="638"/>
      <c r="N174" s="638"/>
      <c r="O174" s="637"/>
      <c r="P174" s="639">
        <f t="shared" si="20"/>
        <v>3.45</v>
      </c>
      <c r="Q174" s="638"/>
      <c r="R174" s="638"/>
      <c r="S174" s="637"/>
      <c r="T174" s="639">
        <f t="shared" si="21"/>
        <v>3.7</v>
      </c>
      <c r="U174" s="638"/>
      <c r="V174" s="638"/>
      <c r="W174" s="637"/>
      <c r="X174" s="639">
        <f t="shared" si="22"/>
        <v>3.95</v>
      </c>
      <c r="Y174" s="638"/>
      <c r="Z174" s="638"/>
      <c r="AA174" s="637"/>
    </row>
    <row r="175" spans="3:27">
      <c r="C175" s="200" t="s">
        <v>1018</v>
      </c>
      <c r="D175" s="433" t="s">
        <v>1069</v>
      </c>
      <c r="E175" s="200" t="s">
        <v>968</v>
      </c>
      <c r="F175" s="642">
        <f t="shared" si="18"/>
        <v>3.25</v>
      </c>
      <c r="G175" s="641"/>
      <c r="H175" s="640">
        <v>3.25</v>
      </c>
      <c r="I175" s="638"/>
      <c r="J175" s="638"/>
      <c r="K175" s="637"/>
      <c r="L175" s="639">
        <f t="shared" si="19"/>
        <v>3.5</v>
      </c>
      <c r="M175" s="638"/>
      <c r="N175" s="638"/>
      <c r="O175" s="637"/>
      <c r="P175" s="639">
        <f t="shared" si="20"/>
        <v>3.75</v>
      </c>
      <c r="Q175" s="638"/>
      <c r="R175" s="638"/>
      <c r="S175" s="637"/>
      <c r="T175" s="639">
        <f t="shared" si="21"/>
        <v>4</v>
      </c>
      <c r="U175" s="638"/>
      <c r="V175" s="638"/>
      <c r="W175" s="637"/>
      <c r="X175" s="639">
        <f t="shared" si="22"/>
        <v>4.25</v>
      </c>
      <c r="Y175" s="638"/>
      <c r="Z175" s="638"/>
      <c r="AA175" s="637"/>
    </row>
    <row r="176" spans="3:27">
      <c r="C176" s="200" t="s">
        <v>1020</v>
      </c>
      <c r="D176" s="433" t="s">
        <v>1068</v>
      </c>
      <c r="E176" s="200" t="s">
        <v>968</v>
      </c>
      <c r="F176" s="642">
        <f t="shared" si="18"/>
        <v>3.5</v>
      </c>
      <c r="G176" s="641"/>
      <c r="H176" s="640">
        <v>3.5</v>
      </c>
      <c r="I176" s="638"/>
      <c r="J176" s="638"/>
      <c r="K176" s="637"/>
      <c r="L176" s="639">
        <f t="shared" si="19"/>
        <v>3.75</v>
      </c>
      <c r="M176" s="638"/>
      <c r="N176" s="638"/>
      <c r="O176" s="637"/>
      <c r="P176" s="639">
        <f t="shared" si="20"/>
        <v>4</v>
      </c>
      <c r="Q176" s="638"/>
      <c r="R176" s="638"/>
      <c r="S176" s="637"/>
      <c r="T176" s="639">
        <f t="shared" si="21"/>
        <v>4.25</v>
      </c>
      <c r="U176" s="638"/>
      <c r="V176" s="638"/>
      <c r="W176" s="637"/>
      <c r="X176" s="639">
        <f t="shared" si="22"/>
        <v>4.5</v>
      </c>
      <c r="Y176" s="638"/>
      <c r="Z176" s="638"/>
      <c r="AA176" s="637"/>
    </row>
    <row r="177" spans="3:27">
      <c r="C177" s="200" t="s">
        <v>1022</v>
      </c>
      <c r="D177" s="433" t="s">
        <v>1252</v>
      </c>
      <c r="E177" s="200" t="s">
        <v>968</v>
      </c>
      <c r="F177" s="642">
        <f t="shared" si="18"/>
        <v>3.25</v>
      </c>
      <c r="G177" s="641"/>
      <c r="H177" s="640">
        <v>3.25</v>
      </c>
      <c r="I177" s="638"/>
      <c r="J177" s="638"/>
      <c r="K177" s="637"/>
      <c r="L177" s="639">
        <f t="shared" si="19"/>
        <v>3.5</v>
      </c>
      <c r="M177" s="638"/>
      <c r="N177" s="638"/>
      <c r="O177" s="637"/>
      <c r="P177" s="639">
        <f t="shared" si="20"/>
        <v>3.75</v>
      </c>
      <c r="Q177" s="638"/>
      <c r="R177" s="638"/>
      <c r="S177" s="637"/>
      <c r="T177" s="639">
        <f t="shared" si="21"/>
        <v>4</v>
      </c>
      <c r="U177" s="638"/>
      <c r="V177" s="638"/>
      <c r="W177" s="637"/>
      <c r="X177" s="639">
        <f t="shared" si="22"/>
        <v>4.25</v>
      </c>
      <c r="Y177" s="638"/>
      <c r="Z177" s="638"/>
      <c r="AA177" s="637"/>
    </row>
    <row r="178" spans="3:27">
      <c r="C178" s="200" t="s">
        <v>1024</v>
      </c>
      <c r="D178" s="643" t="s">
        <v>1315</v>
      </c>
      <c r="E178" s="200" t="s">
        <v>968</v>
      </c>
      <c r="F178" s="642">
        <f t="shared" si="18"/>
        <v>6</v>
      </c>
      <c r="G178" s="641"/>
      <c r="H178" s="640">
        <v>6</v>
      </c>
      <c r="I178" s="638"/>
      <c r="J178" s="638"/>
      <c r="K178" s="637"/>
      <c r="L178" s="639">
        <f t="shared" si="19"/>
        <v>6.25</v>
      </c>
      <c r="M178" s="638"/>
      <c r="N178" s="638"/>
      <c r="O178" s="637"/>
      <c r="P178" s="639">
        <f t="shared" si="20"/>
        <v>6.5</v>
      </c>
      <c r="Q178" s="638"/>
      <c r="R178" s="638"/>
      <c r="S178" s="637"/>
      <c r="T178" s="639">
        <f t="shared" si="21"/>
        <v>6.75</v>
      </c>
      <c r="U178" s="638"/>
      <c r="V178" s="638"/>
      <c r="W178" s="637"/>
      <c r="X178" s="639">
        <f t="shared" si="22"/>
        <v>7</v>
      </c>
      <c r="Y178" s="638"/>
      <c r="Z178" s="638"/>
      <c r="AA178" s="637"/>
    </row>
    <row r="179" spans="3:27">
      <c r="C179" s="200" t="s">
        <v>1025</v>
      </c>
      <c r="D179" s="643"/>
      <c r="E179" s="200" t="s">
        <v>968</v>
      </c>
      <c r="F179" s="642">
        <f t="shared" si="18"/>
        <v>0</v>
      </c>
      <c r="G179" s="641"/>
      <c r="H179" s="640"/>
      <c r="I179" s="638"/>
      <c r="J179" s="638"/>
      <c r="K179" s="637"/>
      <c r="L179" s="639">
        <f t="shared" si="19"/>
        <v>0.25</v>
      </c>
      <c r="M179" s="638"/>
      <c r="N179" s="638"/>
      <c r="O179" s="637"/>
      <c r="P179" s="639">
        <f t="shared" si="20"/>
        <v>0.5</v>
      </c>
      <c r="Q179" s="638"/>
      <c r="R179" s="638"/>
      <c r="S179" s="637"/>
      <c r="T179" s="639">
        <f t="shared" si="21"/>
        <v>0.75</v>
      </c>
      <c r="U179" s="638"/>
      <c r="V179" s="638"/>
      <c r="W179" s="637"/>
      <c r="X179" s="639">
        <f t="shared" si="22"/>
        <v>1</v>
      </c>
      <c r="Y179" s="638"/>
      <c r="Z179" s="638"/>
      <c r="AA179" s="637"/>
    </row>
    <row r="180" spans="3:27">
      <c r="C180" s="200" t="s">
        <v>1026</v>
      </c>
      <c r="D180" s="643"/>
      <c r="E180" s="200" t="s">
        <v>968</v>
      </c>
      <c r="F180" s="642">
        <f t="shared" si="18"/>
        <v>0</v>
      </c>
      <c r="G180" s="641"/>
      <c r="H180" s="640"/>
      <c r="I180" s="638"/>
      <c r="J180" s="638"/>
      <c r="K180" s="637"/>
      <c r="L180" s="639">
        <f t="shared" si="19"/>
        <v>0.25</v>
      </c>
      <c r="M180" s="638"/>
      <c r="N180" s="638"/>
      <c r="O180" s="637"/>
      <c r="P180" s="639">
        <f t="shared" si="20"/>
        <v>0.5</v>
      </c>
      <c r="Q180" s="638"/>
      <c r="R180" s="638"/>
      <c r="S180" s="637"/>
      <c r="T180" s="639">
        <f t="shared" si="21"/>
        <v>0.75</v>
      </c>
      <c r="U180" s="638"/>
      <c r="V180" s="638"/>
      <c r="W180" s="637"/>
      <c r="X180" s="639">
        <f t="shared" si="22"/>
        <v>1</v>
      </c>
      <c r="Y180" s="638"/>
      <c r="Z180" s="638"/>
      <c r="AA180" s="637"/>
    </row>
    <row r="181" spans="3:27">
      <c r="C181" s="200" t="s">
        <v>1027</v>
      </c>
      <c r="D181" s="643"/>
      <c r="E181" s="200" t="s">
        <v>968</v>
      </c>
      <c r="F181" s="642">
        <f t="shared" si="18"/>
        <v>0</v>
      </c>
      <c r="G181" s="641"/>
      <c r="H181" s="640"/>
      <c r="I181" s="638"/>
      <c r="J181" s="638"/>
      <c r="K181" s="637"/>
      <c r="L181" s="639">
        <f t="shared" si="19"/>
        <v>0.25</v>
      </c>
      <c r="M181" s="638"/>
      <c r="N181" s="638"/>
      <c r="O181" s="637"/>
      <c r="P181" s="639">
        <f t="shared" si="20"/>
        <v>0.5</v>
      </c>
      <c r="Q181" s="638"/>
      <c r="R181" s="638"/>
      <c r="S181" s="637"/>
      <c r="T181" s="639">
        <f t="shared" si="21"/>
        <v>0.75</v>
      </c>
      <c r="U181" s="638"/>
      <c r="V181" s="638"/>
      <c r="W181" s="637"/>
      <c r="X181" s="639">
        <f t="shared" si="22"/>
        <v>1</v>
      </c>
      <c r="Y181" s="638"/>
      <c r="Z181" s="638"/>
      <c r="AA181" s="637"/>
    </row>
    <row r="182" spans="3:27">
      <c r="C182" s="200" t="s">
        <v>1028</v>
      </c>
      <c r="D182" s="643"/>
      <c r="E182" s="200" t="s">
        <v>968</v>
      </c>
      <c r="F182" s="642">
        <f t="shared" si="18"/>
        <v>0</v>
      </c>
      <c r="G182" s="641"/>
      <c r="H182" s="640"/>
      <c r="I182" s="638"/>
      <c r="J182" s="638"/>
      <c r="K182" s="637"/>
      <c r="L182" s="639">
        <f t="shared" si="19"/>
        <v>0.25</v>
      </c>
      <c r="M182" s="638"/>
      <c r="N182" s="638"/>
      <c r="O182" s="637"/>
      <c r="P182" s="639">
        <f t="shared" si="20"/>
        <v>0.5</v>
      </c>
      <c r="Q182" s="638"/>
      <c r="R182" s="638"/>
      <c r="S182" s="637"/>
      <c r="T182" s="639">
        <f t="shared" si="21"/>
        <v>0.75</v>
      </c>
      <c r="U182" s="638"/>
      <c r="V182" s="638"/>
      <c r="W182" s="637"/>
      <c r="X182" s="639">
        <f t="shared" si="22"/>
        <v>1</v>
      </c>
      <c r="Y182" s="638"/>
      <c r="Z182" s="638"/>
      <c r="AA182" s="637"/>
    </row>
    <row r="183" spans="3:27">
      <c r="C183" s="200" t="s">
        <v>1029</v>
      </c>
      <c r="D183" s="643"/>
      <c r="E183" s="200" t="s">
        <v>968</v>
      </c>
      <c r="F183" s="642">
        <f t="shared" si="18"/>
        <v>0</v>
      </c>
      <c r="G183" s="641"/>
      <c r="H183" s="640"/>
      <c r="I183" s="638"/>
      <c r="J183" s="638"/>
      <c r="K183" s="637"/>
      <c r="L183" s="639">
        <f t="shared" si="19"/>
        <v>0.25</v>
      </c>
      <c r="M183" s="638"/>
      <c r="N183" s="638"/>
      <c r="O183" s="637"/>
      <c r="P183" s="639">
        <f t="shared" si="20"/>
        <v>0.5</v>
      </c>
      <c r="Q183" s="638"/>
      <c r="R183" s="638"/>
      <c r="S183" s="637"/>
      <c r="T183" s="639">
        <f t="shared" si="21"/>
        <v>0.75</v>
      </c>
      <c r="U183" s="638"/>
      <c r="V183" s="638"/>
      <c r="W183" s="637"/>
      <c r="X183" s="639">
        <f t="shared" si="22"/>
        <v>1</v>
      </c>
      <c r="Y183" s="638"/>
      <c r="Z183" s="638"/>
      <c r="AA183" s="637"/>
    </row>
    <row r="184" spans="3:27">
      <c r="C184" s="200" t="s">
        <v>1030</v>
      </c>
      <c r="D184" s="643"/>
      <c r="E184" s="200" t="s">
        <v>968</v>
      </c>
      <c r="F184" s="642">
        <f t="shared" si="18"/>
        <v>0</v>
      </c>
      <c r="G184" s="641"/>
      <c r="H184" s="640"/>
      <c r="I184" s="638"/>
      <c r="J184" s="638"/>
      <c r="K184" s="637"/>
      <c r="L184" s="639">
        <f t="shared" si="19"/>
        <v>0.25</v>
      </c>
      <c r="M184" s="638"/>
      <c r="N184" s="638"/>
      <c r="O184" s="637"/>
      <c r="P184" s="639">
        <f t="shared" si="20"/>
        <v>0.5</v>
      </c>
      <c r="Q184" s="638"/>
      <c r="R184" s="638"/>
      <c r="S184" s="637"/>
      <c r="T184" s="639">
        <f t="shared" si="21"/>
        <v>0.75</v>
      </c>
      <c r="U184" s="638"/>
      <c r="V184" s="638"/>
      <c r="W184" s="637"/>
      <c r="X184" s="639">
        <f t="shared" si="22"/>
        <v>1</v>
      </c>
      <c r="Y184" s="638"/>
      <c r="Z184" s="638"/>
      <c r="AA184" s="637"/>
    </row>
    <row r="185" spans="3:27">
      <c r="C185" s="200" t="s">
        <v>1031</v>
      </c>
      <c r="D185" s="643"/>
      <c r="E185" s="200" t="s">
        <v>968</v>
      </c>
      <c r="F185" s="642">
        <f t="shared" si="18"/>
        <v>0</v>
      </c>
      <c r="G185" s="641"/>
      <c r="H185" s="640"/>
      <c r="I185" s="638"/>
      <c r="J185" s="638"/>
      <c r="K185" s="637"/>
      <c r="L185" s="639">
        <f t="shared" si="19"/>
        <v>0.25</v>
      </c>
      <c r="M185" s="638"/>
      <c r="N185" s="638"/>
      <c r="O185" s="637"/>
      <c r="P185" s="639">
        <f t="shared" si="20"/>
        <v>0.5</v>
      </c>
      <c r="Q185" s="638"/>
      <c r="R185" s="638"/>
      <c r="S185" s="637"/>
      <c r="T185" s="639">
        <f t="shared" si="21"/>
        <v>0.75</v>
      </c>
      <c r="U185" s="638"/>
      <c r="V185" s="638"/>
      <c r="W185" s="637"/>
      <c r="X185" s="639">
        <f t="shared" si="22"/>
        <v>1</v>
      </c>
      <c r="Y185" s="638"/>
      <c r="Z185" s="638"/>
      <c r="AA185" s="637"/>
    </row>
    <row r="186" spans="3:27">
      <c r="C186" s="200" t="s">
        <v>1032</v>
      </c>
      <c r="D186" s="643"/>
      <c r="E186" s="200" t="s">
        <v>968</v>
      </c>
      <c r="F186" s="642">
        <f t="shared" si="18"/>
        <v>0</v>
      </c>
      <c r="G186" s="641"/>
      <c r="H186" s="640"/>
      <c r="I186" s="638"/>
      <c r="J186" s="638"/>
      <c r="K186" s="637"/>
      <c r="L186" s="639">
        <f t="shared" si="19"/>
        <v>0.25</v>
      </c>
      <c r="M186" s="638"/>
      <c r="N186" s="638"/>
      <c r="O186" s="637"/>
      <c r="P186" s="639">
        <f t="shared" si="20"/>
        <v>0.5</v>
      </c>
      <c r="Q186" s="638"/>
      <c r="R186" s="638"/>
      <c r="S186" s="637"/>
      <c r="T186" s="639">
        <f t="shared" si="21"/>
        <v>0.75</v>
      </c>
      <c r="U186" s="638"/>
      <c r="V186" s="638"/>
      <c r="W186" s="637"/>
      <c r="X186" s="639">
        <f t="shared" si="22"/>
        <v>1</v>
      </c>
      <c r="Y186" s="638"/>
      <c r="Z186" s="638"/>
      <c r="AA186" s="637"/>
    </row>
    <row r="187" spans="3:27">
      <c r="C187" s="96" t="s">
        <v>1073</v>
      </c>
      <c r="D187" s="636" t="s">
        <v>1328</v>
      </c>
      <c r="E187" s="635">
        <v>1</v>
      </c>
      <c r="F187" s="634"/>
      <c r="G187" s="542"/>
      <c r="H187" s="542">
        <v>1</v>
      </c>
      <c r="I187" s="542" t="s">
        <v>1329</v>
      </c>
      <c r="J187" s="542" t="s">
        <v>554</v>
      </c>
      <c r="K187" s="542" t="s">
        <v>1330</v>
      </c>
      <c r="L187" s="542">
        <v>2</v>
      </c>
      <c r="M187" s="542" t="s">
        <v>1329</v>
      </c>
      <c r="N187" s="542" t="s">
        <v>554</v>
      </c>
      <c r="O187" s="542" t="s">
        <v>1330</v>
      </c>
      <c r="P187" s="542">
        <v>3</v>
      </c>
      <c r="Q187" s="542" t="s">
        <v>1329</v>
      </c>
      <c r="R187" s="542" t="s">
        <v>554</v>
      </c>
      <c r="S187" s="542" t="s">
        <v>1330</v>
      </c>
      <c r="T187" s="542">
        <v>4</v>
      </c>
      <c r="U187" s="542" t="s">
        <v>1329</v>
      </c>
      <c r="V187" s="542" t="s">
        <v>554</v>
      </c>
      <c r="W187" s="542" t="s">
        <v>1330</v>
      </c>
      <c r="X187" s="542">
        <v>5</v>
      </c>
      <c r="Y187" s="542" t="s">
        <v>1329</v>
      </c>
      <c r="Z187" s="542" t="s">
        <v>554</v>
      </c>
      <c r="AA187" s="542" t="s">
        <v>1330</v>
      </c>
    </row>
    <row r="188" spans="3:27">
      <c r="C188" s="198" t="s">
        <v>1012</v>
      </c>
      <c r="D188" s="649" t="s">
        <v>1077</v>
      </c>
      <c r="E188" s="198" t="s">
        <v>968</v>
      </c>
      <c r="F188" s="648">
        <f>INDEX($H188:$AA188,1,MATCH($E$187,$H$187:$AA$187,0))</f>
        <v>13</v>
      </c>
      <c r="G188" s="595"/>
      <c r="H188" s="647">
        <v>13</v>
      </c>
      <c r="I188" s="645"/>
      <c r="J188" s="645"/>
      <c r="K188" s="644"/>
      <c r="L188" s="646">
        <f t="shared" ref="L188:L202" si="23">H188+0.25</f>
        <v>13.25</v>
      </c>
      <c r="M188" s="645"/>
      <c r="N188" s="645"/>
      <c r="O188" s="644"/>
      <c r="P188" s="646">
        <f t="shared" ref="P188:P202" si="24">L188+0.25</f>
        <v>13.5</v>
      </c>
      <c r="Q188" s="645"/>
      <c r="R188" s="645"/>
      <c r="S188" s="644"/>
      <c r="T188" s="646">
        <f t="shared" ref="T188:T202" si="25">P188+0.25</f>
        <v>13.75</v>
      </c>
      <c r="U188" s="645"/>
      <c r="V188" s="645"/>
      <c r="W188" s="644"/>
      <c r="X188" s="646">
        <f t="shared" ref="X188:X202" si="26">T188+0.25</f>
        <v>14</v>
      </c>
      <c r="Y188" s="645"/>
      <c r="Z188" s="645"/>
      <c r="AA188" s="644"/>
    </row>
    <row r="189" spans="3:27">
      <c r="C189" s="200" t="s">
        <v>1014</v>
      </c>
      <c r="D189" s="643" t="s">
        <v>1074</v>
      </c>
      <c r="E189" s="200" t="s">
        <v>968</v>
      </c>
      <c r="F189" s="642">
        <v>9</v>
      </c>
      <c r="G189" s="641"/>
      <c r="H189" s="640">
        <v>9</v>
      </c>
      <c r="I189" s="638"/>
      <c r="J189" s="638"/>
      <c r="K189" s="637"/>
      <c r="L189" s="639">
        <f t="shared" si="23"/>
        <v>9.25</v>
      </c>
      <c r="M189" s="638"/>
      <c r="N189" s="638"/>
      <c r="O189" s="637"/>
      <c r="P189" s="639">
        <f t="shared" si="24"/>
        <v>9.5</v>
      </c>
      <c r="Q189" s="638"/>
      <c r="R189" s="638"/>
      <c r="S189" s="637"/>
      <c r="T189" s="639">
        <f t="shared" si="25"/>
        <v>9.75</v>
      </c>
      <c r="U189" s="638"/>
      <c r="V189" s="638"/>
      <c r="W189" s="637"/>
      <c r="X189" s="639">
        <f t="shared" si="26"/>
        <v>10</v>
      </c>
      <c r="Y189" s="638"/>
      <c r="Z189" s="638"/>
      <c r="AA189" s="637"/>
    </row>
    <row r="190" spans="3:27">
      <c r="C190" s="200" t="s">
        <v>1016</v>
      </c>
      <c r="D190" s="643" t="s">
        <v>1076</v>
      </c>
      <c r="E190" s="200" t="s">
        <v>968</v>
      </c>
      <c r="F190" s="642">
        <v>12.25</v>
      </c>
      <c r="G190" s="641"/>
      <c r="H190" s="640">
        <v>12.25</v>
      </c>
      <c r="I190" s="638"/>
      <c r="J190" s="638"/>
      <c r="K190" s="637"/>
      <c r="L190" s="639">
        <f t="shared" si="23"/>
        <v>12.5</v>
      </c>
      <c r="M190" s="638"/>
      <c r="N190" s="638"/>
      <c r="O190" s="637"/>
      <c r="P190" s="639">
        <f t="shared" si="24"/>
        <v>12.75</v>
      </c>
      <c r="Q190" s="638"/>
      <c r="R190" s="638"/>
      <c r="S190" s="637"/>
      <c r="T190" s="639">
        <f t="shared" si="25"/>
        <v>13</v>
      </c>
      <c r="U190" s="638"/>
      <c r="V190" s="638"/>
      <c r="W190" s="637"/>
      <c r="X190" s="639">
        <f t="shared" si="26"/>
        <v>13.25</v>
      </c>
      <c r="Y190" s="638"/>
      <c r="Z190" s="638"/>
      <c r="AA190" s="637"/>
    </row>
    <row r="191" spans="3:27">
      <c r="C191" s="200" t="s">
        <v>1018</v>
      </c>
      <c r="D191" s="643" t="s">
        <v>1075</v>
      </c>
      <c r="E191" s="200" t="s">
        <v>968</v>
      </c>
      <c r="F191" s="642">
        <f t="shared" ref="F191:F196" si="27">INDEX($H191:$AA191,1,MATCH($E$187,$H$187:$AA$187,0))</f>
        <v>11</v>
      </c>
      <c r="G191" s="641"/>
      <c r="H191" s="640">
        <v>11</v>
      </c>
      <c r="I191" s="638"/>
      <c r="J191" s="638"/>
      <c r="K191" s="637"/>
      <c r="L191" s="639">
        <f t="shared" si="23"/>
        <v>11.25</v>
      </c>
      <c r="M191" s="638"/>
      <c r="N191" s="638"/>
      <c r="O191" s="637"/>
      <c r="P191" s="639">
        <f t="shared" si="24"/>
        <v>11.5</v>
      </c>
      <c r="Q191" s="638"/>
      <c r="R191" s="638"/>
      <c r="S191" s="637"/>
      <c r="T191" s="639">
        <f t="shared" si="25"/>
        <v>11.75</v>
      </c>
      <c r="U191" s="638"/>
      <c r="V191" s="638"/>
      <c r="W191" s="637"/>
      <c r="X191" s="639">
        <f t="shared" si="26"/>
        <v>12</v>
      </c>
      <c r="Y191" s="638"/>
      <c r="Z191" s="638"/>
      <c r="AA191" s="637"/>
    </row>
    <row r="192" spans="3:27">
      <c r="C192" s="200" t="s">
        <v>1020</v>
      </c>
      <c r="D192" s="643" t="s">
        <v>1078</v>
      </c>
      <c r="E192" s="200" t="s">
        <v>968</v>
      </c>
      <c r="F192" s="642">
        <f t="shared" si="27"/>
        <v>10</v>
      </c>
      <c r="G192" s="641"/>
      <c r="H192" s="640">
        <v>10</v>
      </c>
      <c r="I192" s="638"/>
      <c r="J192" s="638"/>
      <c r="K192" s="637"/>
      <c r="L192" s="639">
        <f t="shared" si="23"/>
        <v>10.25</v>
      </c>
      <c r="M192" s="638"/>
      <c r="N192" s="638"/>
      <c r="O192" s="637"/>
      <c r="P192" s="639">
        <f t="shared" si="24"/>
        <v>10.5</v>
      </c>
      <c r="Q192" s="638"/>
      <c r="R192" s="638"/>
      <c r="S192" s="637"/>
      <c r="T192" s="639">
        <f t="shared" si="25"/>
        <v>10.75</v>
      </c>
      <c r="U192" s="638"/>
      <c r="V192" s="638"/>
      <c r="W192" s="637"/>
      <c r="X192" s="639">
        <f t="shared" si="26"/>
        <v>11</v>
      </c>
      <c r="Y192" s="638"/>
      <c r="Z192" s="638"/>
      <c r="AA192" s="637"/>
    </row>
    <row r="193" spans="3:27">
      <c r="C193" s="200" t="s">
        <v>1022</v>
      </c>
      <c r="D193" s="643"/>
      <c r="E193" s="200" t="s">
        <v>968</v>
      </c>
      <c r="F193" s="642">
        <f t="shared" si="27"/>
        <v>0</v>
      </c>
      <c r="G193" s="641"/>
      <c r="H193" s="640">
        <v>0</v>
      </c>
      <c r="I193" s="638"/>
      <c r="J193" s="638"/>
      <c r="K193" s="637"/>
      <c r="L193" s="639">
        <f t="shared" si="23"/>
        <v>0.25</v>
      </c>
      <c r="M193" s="638"/>
      <c r="N193" s="638"/>
      <c r="O193" s="637"/>
      <c r="P193" s="639">
        <f t="shared" si="24"/>
        <v>0.5</v>
      </c>
      <c r="Q193" s="638"/>
      <c r="R193" s="638"/>
      <c r="S193" s="637"/>
      <c r="T193" s="639">
        <f t="shared" si="25"/>
        <v>0.75</v>
      </c>
      <c r="U193" s="638"/>
      <c r="V193" s="638"/>
      <c r="W193" s="637"/>
      <c r="X193" s="639">
        <f t="shared" si="26"/>
        <v>1</v>
      </c>
      <c r="Y193" s="638"/>
      <c r="Z193" s="638"/>
      <c r="AA193" s="637"/>
    </row>
    <row r="194" spans="3:27">
      <c r="C194" s="200" t="s">
        <v>1024</v>
      </c>
      <c r="D194" s="643"/>
      <c r="E194" s="200" t="s">
        <v>968</v>
      </c>
      <c r="F194" s="642">
        <f t="shared" si="27"/>
        <v>0</v>
      </c>
      <c r="G194" s="641"/>
      <c r="H194" s="640">
        <v>0</v>
      </c>
      <c r="I194" s="638"/>
      <c r="J194" s="638"/>
      <c r="K194" s="637"/>
      <c r="L194" s="639">
        <f t="shared" si="23"/>
        <v>0.25</v>
      </c>
      <c r="M194" s="638"/>
      <c r="N194" s="638"/>
      <c r="O194" s="637"/>
      <c r="P194" s="639">
        <f t="shared" si="24"/>
        <v>0.5</v>
      </c>
      <c r="Q194" s="638"/>
      <c r="R194" s="638"/>
      <c r="S194" s="637"/>
      <c r="T194" s="639">
        <f t="shared" si="25"/>
        <v>0.75</v>
      </c>
      <c r="U194" s="638"/>
      <c r="V194" s="638"/>
      <c r="W194" s="637"/>
      <c r="X194" s="639">
        <f t="shared" si="26"/>
        <v>1</v>
      </c>
      <c r="Y194" s="638"/>
      <c r="Z194" s="638"/>
      <c r="AA194" s="637"/>
    </row>
    <row r="195" spans="3:27">
      <c r="C195" s="200" t="s">
        <v>1025</v>
      </c>
      <c r="D195" s="643"/>
      <c r="E195" s="200" t="s">
        <v>968</v>
      </c>
      <c r="F195" s="642">
        <f t="shared" si="27"/>
        <v>0</v>
      </c>
      <c r="G195" s="641"/>
      <c r="H195" s="640">
        <v>0</v>
      </c>
      <c r="I195" s="638"/>
      <c r="J195" s="638"/>
      <c r="K195" s="637"/>
      <c r="L195" s="639">
        <f t="shared" si="23"/>
        <v>0.25</v>
      </c>
      <c r="M195" s="638"/>
      <c r="N195" s="638"/>
      <c r="O195" s="637"/>
      <c r="P195" s="639">
        <f t="shared" si="24"/>
        <v>0.5</v>
      </c>
      <c r="Q195" s="638"/>
      <c r="R195" s="638"/>
      <c r="S195" s="637"/>
      <c r="T195" s="639">
        <f t="shared" si="25"/>
        <v>0.75</v>
      </c>
      <c r="U195" s="638"/>
      <c r="V195" s="638"/>
      <c r="W195" s="637"/>
      <c r="X195" s="639">
        <f t="shared" si="26"/>
        <v>1</v>
      </c>
      <c r="Y195" s="638"/>
      <c r="Z195" s="638"/>
      <c r="AA195" s="637"/>
    </row>
    <row r="196" spans="3:27">
      <c r="C196" s="200" t="s">
        <v>1026</v>
      </c>
      <c r="D196" s="643"/>
      <c r="E196" s="200" t="s">
        <v>968</v>
      </c>
      <c r="F196" s="642">
        <f t="shared" si="27"/>
        <v>0</v>
      </c>
      <c r="G196" s="641"/>
      <c r="H196" s="640">
        <v>0</v>
      </c>
      <c r="I196" s="638"/>
      <c r="J196" s="638"/>
      <c r="K196" s="637"/>
      <c r="L196" s="639">
        <f t="shared" si="23"/>
        <v>0.25</v>
      </c>
      <c r="M196" s="638"/>
      <c r="N196" s="638"/>
      <c r="O196" s="637"/>
      <c r="P196" s="639">
        <f t="shared" si="24"/>
        <v>0.5</v>
      </c>
      <c r="Q196" s="638"/>
      <c r="R196" s="638"/>
      <c r="S196" s="637"/>
      <c r="T196" s="639">
        <f t="shared" si="25"/>
        <v>0.75</v>
      </c>
      <c r="U196" s="638"/>
      <c r="V196" s="638"/>
      <c r="W196" s="637"/>
      <c r="X196" s="639">
        <f t="shared" si="26"/>
        <v>1</v>
      </c>
      <c r="Y196" s="638"/>
      <c r="Z196" s="638"/>
      <c r="AA196" s="637"/>
    </row>
    <row r="197" spans="3:27">
      <c r="C197" s="200" t="s">
        <v>1027</v>
      </c>
      <c r="D197" s="643" t="s">
        <v>1370</v>
      </c>
      <c r="E197" s="200" t="s">
        <v>968</v>
      </c>
      <c r="F197" s="642">
        <v>7</v>
      </c>
      <c r="G197" s="641"/>
      <c r="H197" s="640">
        <v>7</v>
      </c>
      <c r="I197" s="638"/>
      <c r="J197" s="638"/>
      <c r="K197" s="637"/>
      <c r="L197" s="639">
        <f t="shared" si="23"/>
        <v>7.25</v>
      </c>
      <c r="M197" s="638"/>
      <c r="N197" s="638"/>
      <c r="O197" s="637"/>
      <c r="P197" s="639">
        <f t="shared" si="24"/>
        <v>7.5</v>
      </c>
      <c r="Q197" s="638"/>
      <c r="R197" s="638"/>
      <c r="S197" s="637"/>
      <c r="T197" s="639">
        <f t="shared" si="25"/>
        <v>7.75</v>
      </c>
      <c r="U197" s="638"/>
      <c r="V197" s="638"/>
      <c r="W197" s="637"/>
      <c r="X197" s="639">
        <f t="shared" si="26"/>
        <v>8</v>
      </c>
      <c r="Y197" s="638"/>
      <c r="Z197" s="638"/>
      <c r="AA197" s="637"/>
    </row>
    <row r="198" spans="3:27">
      <c r="C198" s="650" t="s">
        <v>1028</v>
      </c>
      <c r="D198" s="643" t="s">
        <v>1079</v>
      </c>
      <c r="E198" s="200" t="s">
        <v>968</v>
      </c>
      <c r="F198" s="642">
        <f>INDEX($H198:$AA198,1,MATCH($E$187,$H$187:$AA$187,0))</f>
        <v>11</v>
      </c>
      <c r="G198" s="641"/>
      <c r="H198" s="640">
        <v>11</v>
      </c>
      <c r="I198" s="638"/>
      <c r="J198" s="638"/>
      <c r="K198" s="637"/>
      <c r="L198" s="639">
        <f t="shared" si="23"/>
        <v>11.25</v>
      </c>
      <c r="M198" s="638"/>
      <c r="N198" s="638"/>
      <c r="O198" s="637"/>
      <c r="P198" s="639">
        <f t="shared" si="24"/>
        <v>11.5</v>
      </c>
      <c r="Q198" s="638"/>
      <c r="R198" s="638"/>
      <c r="S198" s="637"/>
      <c r="T198" s="639">
        <f t="shared" si="25"/>
        <v>11.75</v>
      </c>
      <c r="U198" s="638"/>
      <c r="V198" s="638"/>
      <c r="W198" s="637"/>
      <c r="X198" s="639">
        <f t="shared" si="26"/>
        <v>12</v>
      </c>
      <c r="Y198" s="638"/>
      <c r="Z198" s="638"/>
      <c r="AA198" s="637"/>
    </row>
    <row r="199" spans="3:27">
      <c r="C199" s="200" t="s">
        <v>1029</v>
      </c>
      <c r="D199" s="643" t="s">
        <v>1371</v>
      </c>
      <c r="E199" s="200" t="s">
        <v>968</v>
      </c>
      <c r="F199" s="642">
        <f>INDEX($H199:$AA199,1,MATCH($E$187,$H$187:$AA$187,0))</f>
        <v>11</v>
      </c>
      <c r="G199" s="641"/>
      <c r="H199" s="640">
        <v>11</v>
      </c>
      <c r="I199" s="638"/>
      <c r="J199" s="638"/>
      <c r="K199" s="637"/>
      <c r="L199" s="639">
        <f t="shared" si="23"/>
        <v>11.25</v>
      </c>
      <c r="M199" s="638"/>
      <c r="N199" s="638"/>
      <c r="O199" s="637"/>
      <c r="P199" s="639">
        <f t="shared" si="24"/>
        <v>11.5</v>
      </c>
      <c r="Q199" s="638"/>
      <c r="R199" s="638"/>
      <c r="S199" s="637"/>
      <c r="T199" s="639">
        <f t="shared" si="25"/>
        <v>11.75</v>
      </c>
      <c r="U199" s="638"/>
      <c r="V199" s="638"/>
      <c r="W199" s="637"/>
      <c r="X199" s="639">
        <f t="shared" si="26"/>
        <v>12</v>
      </c>
      <c r="Y199" s="638"/>
      <c r="Z199" s="638"/>
      <c r="AA199" s="637"/>
    </row>
    <row r="200" spans="3:27">
      <c r="C200" s="200" t="s">
        <v>1030</v>
      </c>
      <c r="D200" s="643"/>
      <c r="E200" s="200" t="s">
        <v>968</v>
      </c>
      <c r="F200" s="642">
        <f>INDEX($H200:$AA200,1,MATCH($E$187,$H$187:$AA$187,0))</f>
        <v>0</v>
      </c>
      <c r="G200" s="641"/>
      <c r="H200" s="640">
        <v>0</v>
      </c>
      <c r="I200" s="638"/>
      <c r="J200" s="638"/>
      <c r="K200" s="637"/>
      <c r="L200" s="639">
        <f t="shared" si="23"/>
        <v>0.25</v>
      </c>
      <c r="M200" s="638"/>
      <c r="N200" s="638"/>
      <c r="O200" s="637"/>
      <c r="P200" s="639">
        <f t="shared" si="24"/>
        <v>0.5</v>
      </c>
      <c r="Q200" s="638"/>
      <c r="R200" s="638"/>
      <c r="S200" s="637"/>
      <c r="T200" s="639">
        <f t="shared" si="25"/>
        <v>0.75</v>
      </c>
      <c r="U200" s="638"/>
      <c r="V200" s="638"/>
      <c r="W200" s="637"/>
      <c r="X200" s="639">
        <f t="shared" si="26"/>
        <v>1</v>
      </c>
      <c r="Y200" s="638"/>
      <c r="Z200" s="638"/>
      <c r="AA200" s="637"/>
    </row>
    <row r="201" spans="3:27">
      <c r="C201" s="200" t="s">
        <v>1031</v>
      </c>
      <c r="D201" s="643"/>
      <c r="E201" s="200" t="s">
        <v>968</v>
      </c>
      <c r="F201" s="642">
        <f>INDEX($H201:$AA201,1,MATCH($E$187,$H$187:$AA$187,0))</f>
        <v>0</v>
      </c>
      <c r="G201" s="641"/>
      <c r="H201" s="640">
        <v>0</v>
      </c>
      <c r="I201" s="638"/>
      <c r="J201" s="638"/>
      <c r="K201" s="637"/>
      <c r="L201" s="639">
        <f t="shared" si="23"/>
        <v>0.25</v>
      </c>
      <c r="M201" s="638"/>
      <c r="N201" s="638"/>
      <c r="O201" s="637"/>
      <c r="P201" s="639">
        <f t="shared" si="24"/>
        <v>0.5</v>
      </c>
      <c r="Q201" s="638"/>
      <c r="R201" s="638"/>
      <c r="S201" s="637"/>
      <c r="T201" s="639">
        <f t="shared" si="25"/>
        <v>0.75</v>
      </c>
      <c r="U201" s="638"/>
      <c r="V201" s="638"/>
      <c r="W201" s="637"/>
      <c r="X201" s="639">
        <f t="shared" si="26"/>
        <v>1</v>
      </c>
      <c r="Y201" s="638"/>
      <c r="Z201" s="638"/>
      <c r="AA201" s="637"/>
    </row>
    <row r="202" spans="3:27">
      <c r="C202" s="200" t="s">
        <v>1032</v>
      </c>
      <c r="D202" s="643"/>
      <c r="E202" s="200" t="s">
        <v>968</v>
      </c>
      <c r="F202" s="642">
        <f>INDEX($H202:$AA202,1,MATCH($E$187,$H$187:$AA$187,0))</f>
        <v>0</v>
      </c>
      <c r="G202" s="641"/>
      <c r="H202" s="640">
        <v>0</v>
      </c>
      <c r="I202" s="638"/>
      <c r="J202" s="638"/>
      <c r="K202" s="637"/>
      <c r="L202" s="639">
        <f t="shared" si="23"/>
        <v>0.25</v>
      </c>
      <c r="M202" s="638"/>
      <c r="N202" s="638"/>
      <c r="O202" s="637"/>
      <c r="P202" s="639">
        <f t="shared" si="24"/>
        <v>0.5</v>
      </c>
      <c r="Q202" s="638"/>
      <c r="R202" s="638"/>
      <c r="S202" s="637"/>
      <c r="T202" s="639">
        <f t="shared" si="25"/>
        <v>0.75</v>
      </c>
      <c r="U202" s="638"/>
      <c r="V202" s="638"/>
      <c r="W202" s="637"/>
      <c r="X202" s="639">
        <f t="shared" si="26"/>
        <v>1</v>
      </c>
      <c r="Y202" s="638"/>
      <c r="Z202" s="638"/>
      <c r="AA202" s="637"/>
    </row>
    <row r="203" spans="3:27">
      <c r="C203" s="96" t="s">
        <v>1080</v>
      </c>
      <c r="D203" s="636" t="s">
        <v>1328</v>
      </c>
      <c r="E203" s="635">
        <v>1</v>
      </c>
      <c r="F203" s="634"/>
      <c r="G203" s="542"/>
      <c r="H203" s="542">
        <v>1</v>
      </c>
      <c r="I203" s="542" t="s">
        <v>1329</v>
      </c>
      <c r="J203" s="542" t="s">
        <v>554</v>
      </c>
      <c r="K203" s="542" t="s">
        <v>1330</v>
      </c>
      <c r="L203" s="542">
        <v>2</v>
      </c>
      <c r="M203" s="542" t="s">
        <v>1329</v>
      </c>
      <c r="N203" s="542" t="s">
        <v>554</v>
      </c>
      <c r="O203" s="542" t="s">
        <v>1330</v>
      </c>
      <c r="P203" s="542">
        <v>3</v>
      </c>
      <c r="Q203" s="542" t="s">
        <v>1329</v>
      </c>
      <c r="R203" s="542" t="s">
        <v>554</v>
      </c>
      <c r="S203" s="542" t="s">
        <v>1330</v>
      </c>
      <c r="T203" s="542">
        <v>4</v>
      </c>
      <c r="U203" s="542" t="s">
        <v>1329</v>
      </c>
      <c r="V203" s="542" t="s">
        <v>554</v>
      </c>
      <c r="W203" s="542" t="s">
        <v>1330</v>
      </c>
      <c r="X203" s="542">
        <v>5</v>
      </c>
      <c r="Y203" s="542" t="s">
        <v>1329</v>
      </c>
      <c r="Z203" s="542" t="s">
        <v>554</v>
      </c>
      <c r="AA203" s="542" t="s">
        <v>1330</v>
      </c>
    </row>
    <row r="204" spans="3:27">
      <c r="C204" s="198" t="s">
        <v>1012</v>
      </c>
      <c r="D204" s="440" t="str">
        <f t="shared" ref="D204:D218" si="28">D172</f>
        <v>8*4</v>
      </c>
      <c r="E204" s="198" t="s">
        <v>968</v>
      </c>
      <c r="F204" s="648">
        <f t="shared" ref="F204:F218" si="29">INDEX($H204:$AA204,1,MATCH($E$203,$H$203:$AA$203,0))</f>
        <v>11.75</v>
      </c>
      <c r="G204" s="595"/>
      <c r="H204" s="647">
        <v>11.75</v>
      </c>
      <c r="I204" s="645"/>
      <c r="J204" s="645"/>
      <c r="K204" s="644"/>
      <c r="L204" s="646">
        <f t="shared" ref="L204:L218" si="30">H204+0.25</f>
        <v>12</v>
      </c>
      <c r="M204" s="645"/>
      <c r="N204" s="645"/>
      <c r="O204" s="644"/>
      <c r="P204" s="646">
        <f t="shared" ref="P204:P218" si="31">L204+0.25</f>
        <v>12.25</v>
      </c>
      <c r="Q204" s="645"/>
      <c r="R204" s="645"/>
      <c r="S204" s="644"/>
      <c r="T204" s="646">
        <f t="shared" ref="T204:T218" si="32">P204+0.25</f>
        <v>12.5</v>
      </c>
      <c r="U204" s="645"/>
      <c r="V204" s="645"/>
      <c r="W204" s="644"/>
      <c r="X204" s="646">
        <f t="shared" ref="X204:X218" si="33">T204+0.25</f>
        <v>12.75</v>
      </c>
      <c r="Y204" s="645"/>
      <c r="Z204" s="645"/>
      <c r="AA204" s="644"/>
    </row>
    <row r="205" spans="3:27">
      <c r="C205" s="200" t="s">
        <v>1014</v>
      </c>
      <c r="D205" s="439" t="str">
        <f t="shared" si="28"/>
        <v>8*6</v>
      </c>
      <c r="E205" s="200" t="s">
        <v>968</v>
      </c>
      <c r="F205" s="642">
        <f t="shared" si="29"/>
        <v>11.9</v>
      </c>
      <c r="G205" s="641"/>
      <c r="H205" s="640">
        <v>11.9</v>
      </c>
      <c r="I205" s="638"/>
      <c r="J205" s="638"/>
      <c r="K205" s="637"/>
      <c r="L205" s="639">
        <f t="shared" si="30"/>
        <v>12.15</v>
      </c>
      <c r="M205" s="638"/>
      <c r="N205" s="638"/>
      <c r="O205" s="637"/>
      <c r="P205" s="639">
        <f t="shared" si="31"/>
        <v>12.4</v>
      </c>
      <c r="Q205" s="638"/>
      <c r="R205" s="638"/>
      <c r="S205" s="637"/>
      <c r="T205" s="639">
        <f t="shared" si="32"/>
        <v>12.65</v>
      </c>
      <c r="U205" s="638"/>
      <c r="V205" s="638"/>
      <c r="W205" s="637"/>
      <c r="X205" s="639">
        <f t="shared" si="33"/>
        <v>12.9</v>
      </c>
      <c r="Y205" s="638"/>
      <c r="Z205" s="638"/>
      <c r="AA205" s="637"/>
    </row>
    <row r="206" spans="3:27">
      <c r="C206" s="200" t="s">
        <v>1016</v>
      </c>
      <c r="D206" s="439" t="str">
        <f t="shared" si="28"/>
        <v>10*6</v>
      </c>
      <c r="E206" s="200" t="s">
        <v>968</v>
      </c>
      <c r="F206" s="642">
        <f t="shared" si="29"/>
        <v>12.25</v>
      </c>
      <c r="G206" s="641"/>
      <c r="H206" s="640">
        <v>12.25</v>
      </c>
      <c r="I206" s="638"/>
      <c r="J206" s="638"/>
      <c r="K206" s="637"/>
      <c r="L206" s="639">
        <f t="shared" si="30"/>
        <v>12.5</v>
      </c>
      <c r="M206" s="638"/>
      <c r="N206" s="638"/>
      <c r="O206" s="637"/>
      <c r="P206" s="639">
        <f t="shared" si="31"/>
        <v>12.75</v>
      </c>
      <c r="Q206" s="638"/>
      <c r="R206" s="638"/>
      <c r="S206" s="637"/>
      <c r="T206" s="639">
        <f t="shared" si="32"/>
        <v>13</v>
      </c>
      <c r="U206" s="638"/>
      <c r="V206" s="638"/>
      <c r="W206" s="637"/>
      <c r="X206" s="639">
        <f t="shared" si="33"/>
        <v>13.25</v>
      </c>
      <c r="Y206" s="638"/>
      <c r="Z206" s="638"/>
      <c r="AA206" s="637"/>
    </row>
    <row r="207" spans="3:27">
      <c r="C207" s="200" t="s">
        <v>1018</v>
      </c>
      <c r="D207" s="439" t="str">
        <f t="shared" si="28"/>
        <v>12*6</v>
      </c>
      <c r="E207" s="200" t="s">
        <v>968</v>
      </c>
      <c r="F207" s="642">
        <f t="shared" si="29"/>
        <v>13.5</v>
      </c>
      <c r="G207" s="641"/>
      <c r="H207" s="640">
        <v>13.5</v>
      </c>
      <c r="I207" s="638"/>
      <c r="J207" s="638"/>
      <c r="K207" s="637"/>
      <c r="L207" s="639">
        <f t="shared" si="30"/>
        <v>13.75</v>
      </c>
      <c r="M207" s="638"/>
      <c r="N207" s="638"/>
      <c r="O207" s="637"/>
      <c r="P207" s="639">
        <f t="shared" si="31"/>
        <v>14</v>
      </c>
      <c r="Q207" s="638"/>
      <c r="R207" s="638"/>
      <c r="S207" s="637"/>
      <c r="T207" s="639">
        <f t="shared" si="32"/>
        <v>14.25</v>
      </c>
      <c r="U207" s="638"/>
      <c r="V207" s="638"/>
      <c r="W207" s="637"/>
      <c r="X207" s="639">
        <f t="shared" si="33"/>
        <v>14.5</v>
      </c>
      <c r="Y207" s="638"/>
      <c r="Z207" s="638"/>
      <c r="AA207" s="637"/>
    </row>
    <row r="208" spans="3:27">
      <c r="C208" s="200" t="s">
        <v>1020</v>
      </c>
      <c r="D208" s="439" t="str">
        <f t="shared" si="28"/>
        <v>14*6</v>
      </c>
      <c r="E208" s="200" t="s">
        <v>968</v>
      </c>
      <c r="F208" s="642">
        <f t="shared" si="29"/>
        <v>12</v>
      </c>
      <c r="G208" s="641"/>
      <c r="H208" s="640">
        <v>12</v>
      </c>
      <c r="I208" s="638"/>
      <c r="J208" s="638"/>
      <c r="K208" s="637"/>
      <c r="L208" s="639">
        <f t="shared" si="30"/>
        <v>12.25</v>
      </c>
      <c r="M208" s="638"/>
      <c r="N208" s="638"/>
      <c r="O208" s="637"/>
      <c r="P208" s="639">
        <f t="shared" si="31"/>
        <v>12.5</v>
      </c>
      <c r="Q208" s="638"/>
      <c r="R208" s="638"/>
      <c r="S208" s="637"/>
      <c r="T208" s="639">
        <f t="shared" si="32"/>
        <v>12.75</v>
      </c>
      <c r="U208" s="638"/>
      <c r="V208" s="638"/>
      <c r="W208" s="637"/>
      <c r="X208" s="639">
        <f t="shared" si="33"/>
        <v>13</v>
      </c>
      <c r="Y208" s="638"/>
      <c r="Z208" s="638"/>
      <c r="AA208" s="637"/>
    </row>
    <row r="209" spans="2:27">
      <c r="C209" s="200" t="s">
        <v>1022</v>
      </c>
      <c r="D209" s="439" t="str">
        <f t="shared" si="28"/>
        <v>10*8</v>
      </c>
      <c r="E209" s="200" t="s">
        <v>968</v>
      </c>
      <c r="F209" s="642">
        <f t="shared" si="29"/>
        <v>0</v>
      </c>
      <c r="G209" s="641"/>
      <c r="H209" s="640">
        <v>0</v>
      </c>
      <c r="I209" s="638"/>
      <c r="J209" s="638"/>
      <c r="K209" s="637"/>
      <c r="L209" s="639">
        <f t="shared" si="30"/>
        <v>0.25</v>
      </c>
      <c r="M209" s="638"/>
      <c r="N209" s="638"/>
      <c r="O209" s="637"/>
      <c r="P209" s="639">
        <f t="shared" si="31"/>
        <v>0.5</v>
      </c>
      <c r="Q209" s="638"/>
      <c r="R209" s="638"/>
      <c r="S209" s="637"/>
      <c r="T209" s="639">
        <f t="shared" si="32"/>
        <v>0.75</v>
      </c>
      <c r="U209" s="638"/>
      <c r="V209" s="638"/>
      <c r="W209" s="637"/>
      <c r="X209" s="639">
        <f t="shared" si="33"/>
        <v>1</v>
      </c>
      <c r="Y209" s="638"/>
      <c r="Z209" s="638"/>
      <c r="AA209" s="637"/>
    </row>
    <row r="210" spans="2:27">
      <c r="C210" s="200" t="s">
        <v>1024</v>
      </c>
      <c r="D210" s="439" t="str">
        <f t="shared" si="28"/>
        <v>14*8</v>
      </c>
      <c r="E210" s="200" t="s">
        <v>968</v>
      </c>
      <c r="F210" s="642">
        <f t="shared" si="29"/>
        <v>0</v>
      </c>
      <c r="G210" s="641"/>
      <c r="H210" s="640">
        <v>0</v>
      </c>
      <c r="I210" s="638"/>
      <c r="J210" s="638"/>
      <c r="K210" s="637"/>
      <c r="L210" s="639">
        <f t="shared" si="30"/>
        <v>0.25</v>
      </c>
      <c r="M210" s="638"/>
      <c r="N210" s="638"/>
      <c r="O210" s="637"/>
      <c r="P210" s="639">
        <f t="shared" si="31"/>
        <v>0.5</v>
      </c>
      <c r="Q210" s="638"/>
      <c r="R210" s="638"/>
      <c r="S210" s="637"/>
      <c r="T210" s="639">
        <f t="shared" si="32"/>
        <v>0.75</v>
      </c>
      <c r="U210" s="638"/>
      <c r="V210" s="638"/>
      <c r="W210" s="637"/>
      <c r="X210" s="639">
        <f t="shared" si="33"/>
        <v>1</v>
      </c>
      <c r="Y210" s="638"/>
      <c r="Z210" s="638"/>
      <c r="AA210" s="637"/>
    </row>
    <row r="211" spans="2:27">
      <c r="C211" s="200" t="s">
        <v>1025</v>
      </c>
      <c r="D211" s="439">
        <f t="shared" si="28"/>
        <v>0</v>
      </c>
      <c r="E211" s="200" t="s">
        <v>968</v>
      </c>
      <c r="F211" s="642">
        <f t="shared" si="29"/>
        <v>0</v>
      </c>
      <c r="G211" s="641"/>
      <c r="H211" s="640">
        <v>0</v>
      </c>
      <c r="I211" s="638"/>
      <c r="J211" s="638"/>
      <c r="K211" s="637"/>
      <c r="L211" s="639">
        <f t="shared" si="30"/>
        <v>0.25</v>
      </c>
      <c r="M211" s="638"/>
      <c r="N211" s="638"/>
      <c r="O211" s="637"/>
      <c r="P211" s="639">
        <f t="shared" si="31"/>
        <v>0.5</v>
      </c>
      <c r="Q211" s="638"/>
      <c r="R211" s="638"/>
      <c r="S211" s="637"/>
      <c r="T211" s="639">
        <f t="shared" si="32"/>
        <v>0.75</v>
      </c>
      <c r="U211" s="638"/>
      <c r="V211" s="638"/>
      <c r="W211" s="637"/>
      <c r="X211" s="639">
        <f t="shared" si="33"/>
        <v>1</v>
      </c>
      <c r="Y211" s="638"/>
      <c r="Z211" s="638"/>
      <c r="AA211" s="637"/>
    </row>
    <row r="212" spans="2:27">
      <c r="C212" s="200" t="s">
        <v>1026</v>
      </c>
      <c r="D212" s="439">
        <f t="shared" si="28"/>
        <v>0</v>
      </c>
      <c r="E212" s="200" t="s">
        <v>968</v>
      </c>
      <c r="F212" s="642">
        <f t="shared" si="29"/>
        <v>0</v>
      </c>
      <c r="G212" s="641"/>
      <c r="H212" s="640">
        <v>0</v>
      </c>
      <c r="I212" s="638"/>
      <c r="J212" s="638"/>
      <c r="K212" s="637"/>
      <c r="L212" s="639">
        <f t="shared" si="30"/>
        <v>0.25</v>
      </c>
      <c r="M212" s="638"/>
      <c r="N212" s="638"/>
      <c r="O212" s="637"/>
      <c r="P212" s="639">
        <f t="shared" si="31"/>
        <v>0.5</v>
      </c>
      <c r="Q212" s="638"/>
      <c r="R212" s="638"/>
      <c r="S212" s="637"/>
      <c r="T212" s="639">
        <f t="shared" si="32"/>
        <v>0.75</v>
      </c>
      <c r="U212" s="638"/>
      <c r="V212" s="638"/>
      <c r="W212" s="637"/>
      <c r="X212" s="639">
        <f t="shared" si="33"/>
        <v>1</v>
      </c>
      <c r="Y212" s="638"/>
      <c r="Z212" s="638"/>
      <c r="AA212" s="637"/>
    </row>
    <row r="213" spans="2:27">
      <c r="C213" s="200" t="s">
        <v>1027</v>
      </c>
      <c r="D213" s="439">
        <f t="shared" si="28"/>
        <v>0</v>
      </c>
      <c r="E213" s="200" t="s">
        <v>968</v>
      </c>
      <c r="F213" s="642">
        <f t="shared" si="29"/>
        <v>0</v>
      </c>
      <c r="G213" s="641"/>
      <c r="H213" s="640">
        <v>0</v>
      </c>
      <c r="I213" s="638"/>
      <c r="J213" s="638"/>
      <c r="K213" s="637"/>
      <c r="L213" s="639">
        <f t="shared" si="30"/>
        <v>0.25</v>
      </c>
      <c r="M213" s="638"/>
      <c r="N213" s="638"/>
      <c r="O213" s="637"/>
      <c r="P213" s="639">
        <f t="shared" si="31"/>
        <v>0.5</v>
      </c>
      <c r="Q213" s="638"/>
      <c r="R213" s="638"/>
      <c r="S213" s="637"/>
      <c r="T213" s="639">
        <f t="shared" si="32"/>
        <v>0.75</v>
      </c>
      <c r="U213" s="638"/>
      <c r="V213" s="638"/>
      <c r="W213" s="637"/>
      <c r="X213" s="639">
        <f t="shared" si="33"/>
        <v>1</v>
      </c>
      <c r="Y213" s="638"/>
      <c r="Z213" s="638"/>
      <c r="AA213" s="637"/>
    </row>
    <row r="214" spans="2:27">
      <c r="C214" s="200" t="s">
        <v>1028</v>
      </c>
      <c r="D214" s="439">
        <f t="shared" si="28"/>
        <v>0</v>
      </c>
      <c r="E214" s="200" t="s">
        <v>968</v>
      </c>
      <c r="F214" s="642">
        <f t="shared" si="29"/>
        <v>0</v>
      </c>
      <c r="G214" s="641"/>
      <c r="H214" s="640">
        <v>0</v>
      </c>
      <c r="I214" s="638"/>
      <c r="J214" s="638"/>
      <c r="K214" s="637"/>
      <c r="L214" s="639">
        <f t="shared" si="30"/>
        <v>0.25</v>
      </c>
      <c r="M214" s="638"/>
      <c r="N214" s="638"/>
      <c r="O214" s="637"/>
      <c r="P214" s="639">
        <f t="shared" si="31"/>
        <v>0.5</v>
      </c>
      <c r="Q214" s="638"/>
      <c r="R214" s="638"/>
      <c r="S214" s="637"/>
      <c r="T214" s="639">
        <f t="shared" si="32"/>
        <v>0.75</v>
      </c>
      <c r="U214" s="638"/>
      <c r="V214" s="638"/>
      <c r="W214" s="637"/>
      <c r="X214" s="639">
        <f t="shared" si="33"/>
        <v>1</v>
      </c>
      <c r="Y214" s="638"/>
      <c r="Z214" s="638"/>
      <c r="AA214" s="637"/>
    </row>
    <row r="215" spans="2:27">
      <c r="C215" s="200" t="s">
        <v>1029</v>
      </c>
      <c r="D215" s="439">
        <f t="shared" si="28"/>
        <v>0</v>
      </c>
      <c r="E215" s="200" t="s">
        <v>968</v>
      </c>
      <c r="F215" s="642">
        <f t="shared" si="29"/>
        <v>0</v>
      </c>
      <c r="G215" s="641"/>
      <c r="H215" s="640">
        <v>0</v>
      </c>
      <c r="I215" s="638"/>
      <c r="J215" s="638"/>
      <c r="K215" s="637"/>
      <c r="L215" s="639">
        <f t="shared" si="30"/>
        <v>0.25</v>
      </c>
      <c r="M215" s="638"/>
      <c r="N215" s="638"/>
      <c r="O215" s="637"/>
      <c r="P215" s="639">
        <f t="shared" si="31"/>
        <v>0.5</v>
      </c>
      <c r="Q215" s="638"/>
      <c r="R215" s="638"/>
      <c r="S215" s="637"/>
      <c r="T215" s="639">
        <f t="shared" si="32"/>
        <v>0.75</v>
      </c>
      <c r="U215" s="638"/>
      <c r="V215" s="638"/>
      <c r="W215" s="637"/>
      <c r="X215" s="639">
        <f t="shared" si="33"/>
        <v>1</v>
      </c>
      <c r="Y215" s="638"/>
      <c r="Z215" s="638"/>
      <c r="AA215" s="637"/>
    </row>
    <row r="216" spans="2:27">
      <c r="C216" s="200" t="s">
        <v>1030</v>
      </c>
      <c r="D216" s="439">
        <f t="shared" si="28"/>
        <v>0</v>
      </c>
      <c r="E216" s="200" t="s">
        <v>968</v>
      </c>
      <c r="F216" s="642">
        <f t="shared" si="29"/>
        <v>0</v>
      </c>
      <c r="G216" s="641"/>
      <c r="H216" s="640">
        <v>0</v>
      </c>
      <c r="I216" s="638"/>
      <c r="J216" s="638"/>
      <c r="K216" s="637"/>
      <c r="L216" s="639">
        <f t="shared" si="30"/>
        <v>0.25</v>
      </c>
      <c r="M216" s="638"/>
      <c r="N216" s="638"/>
      <c r="O216" s="637"/>
      <c r="P216" s="639">
        <f t="shared" si="31"/>
        <v>0.5</v>
      </c>
      <c r="Q216" s="638"/>
      <c r="R216" s="638"/>
      <c r="S216" s="637"/>
      <c r="T216" s="639">
        <f t="shared" si="32"/>
        <v>0.75</v>
      </c>
      <c r="U216" s="638"/>
      <c r="V216" s="638"/>
      <c r="W216" s="637"/>
      <c r="X216" s="639">
        <f t="shared" si="33"/>
        <v>1</v>
      </c>
      <c r="Y216" s="638"/>
      <c r="Z216" s="638"/>
      <c r="AA216" s="637"/>
    </row>
    <row r="217" spans="2:27">
      <c r="C217" s="200" t="s">
        <v>1031</v>
      </c>
      <c r="D217" s="439">
        <f t="shared" si="28"/>
        <v>0</v>
      </c>
      <c r="E217" s="200" t="s">
        <v>968</v>
      </c>
      <c r="F217" s="642">
        <f t="shared" si="29"/>
        <v>0</v>
      </c>
      <c r="G217" s="641"/>
      <c r="H217" s="640">
        <v>0</v>
      </c>
      <c r="I217" s="638"/>
      <c r="J217" s="638"/>
      <c r="K217" s="637"/>
      <c r="L217" s="639">
        <f t="shared" si="30"/>
        <v>0.25</v>
      </c>
      <c r="M217" s="638"/>
      <c r="N217" s="638"/>
      <c r="O217" s="637"/>
      <c r="P217" s="639">
        <f t="shared" si="31"/>
        <v>0.5</v>
      </c>
      <c r="Q217" s="638"/>
      <c r="R217" s="638"/>
      <c r="S217" s="637"/>
      <c r="T217" s="639">
        <f t="shared" si="32"/>
        <v>0.75</v>
      </c>
      <c r="U217" s="638"/>
      <c r="V217" s="638"/>
      <c r="W217" s="637"/>
      <c r="X217" s="639">
        <f t="shared" si="33"/>
        <v>1</v>
      </c>
      <c r="Y217" s="638"/>
      <c r="Z217" s="638"/>
      <c r="AA217" s="637"/>
    </row>
    <row r="218" spans="2:27">
      <c r="C218" s="200" t="s">
        <v>1032</v>
      </c>
      <c r="D218" s="439">
        <f t="shared" si="28"/>
        <v>0</v>
      </c>
      <c r="E218" s="200" t="s">
        <v>968</v>
      </c>
      <c r="F218" s="642">
        <f t="shared" si="29"/>
        <v>0</v>
      </c>
      <c r="G218" s="641"/>
      <c r="H218" s="640">
        <v>0</v>
      </c>
      <c r="I218" s="638"/>
      <c r="J218" s="638"/>
      <c r="K218" s="637"/>
      <c r="L218" s="639">
        <f t="shared" si="30"/>
        <v>0.25</v>
      </c>
      <c r="M218" s="638"/>
      <c r="N218" s="638"/>
      <c r="O218" s="637"/>
      <c r="P218" s="639">
        <f t="shared" si="31"/>
        <v>0.5</v>
      </c>
      <c r="Q218" s="638"/>
      <c r="R218" s="638"/>
      <c r="S218" s="637"/>
      <c r="T218" s="639">
        <f t="shared" si="32"/>
        <v>0.75</v>
      </c>
      <c r="U218" s="638"/>
      <c r="V218" s="638"/>
      <c r="W218" s="637"/>
      <c r="X218" s="639">
        <f t="shared" si="33"/>
        <v>1</v>
      </c>
      <c r="Y218" s="638"/>
      <c r="Z218" s="638"/>
      <c r="AA218" s="637"/>
    </row>
    <row r="219" spans="2:27">
      <c r="B219" s="438" t="s">
        <v>1081</v>
      </c>
      <c r="C219" s="96" t="s">
        <v>1082</v>
      </c>
      <c r="D219" s="636" t="s">
        <v>1328</v>
      </c>
      <c r="E219" s="635">
        <v>1</v>
      </c>
      <c r="F219" s="634"/>
      <c r="G219" s="542"/>
      <c r="H219" s="542">
        <v>1</v>
      </c>
      <c r="I219" s="542" t="s">
        <v>1329</v>
      </c>
      <c r="J219" s="542" t="s">
        <v>554</v>
      </c>
      <c r="K219" s="542" t="s">
        <v>1330</v>
      </c>
      <c r="L219" s="542">
        <v>2</v>
      </c>
      <c r="M219" s="542" t="s">
        <v>1329</v>
      </c>
      <c r="N219" s="542" t="s">
        <v>554</v>
      </c>
      <c r="O219" s="542" t="s">
        <v>1330</v>
      </c>
      <c r="P219" s="542">
        <v>3</v>
      </c>
      <c r="Q219" s="542" t="s">
        <v>1329</v>
      </c>
      <c r="R219" s="542" t="s">
        <v>554</v>
      </c>
      <c r="S219" s="542" t="s">
        <v>1330</v>
      </c>
      <c r="T219" s="542">
        <v>4</v>
      </c>
      <c r="U219" s="542" t="s">
        <v>1329</v>
      </c>
      <c r="V219" s="542" t="s">
        <v>554</v>
      </c>
      <c r="W219" s="542" t="s">
        <v>1330</v>
      </c>
      <c r="X219" s="542">
        <v>5</v>
      </c>
      <c r="Y219" s="542" t="s">
        <v>1329</v>
      </c>
      <c r="Z219" s="542" t="s">
        <v>554</v>
      </c>
      <c r="AA219" s="542" t="s">
        <v>1330</v>
      </c>
    </row>
    <row r="220" spans="2:27">
      <c r="C220" s="649" t="s">
        <v>1372</v>
      </c>
      <c r="D220" s="649"/>
      <c r="E220" s="198" t="s">
        <v>31</v>
      </c>
      <c r="F220" s="648">
        <f>INDEX($H220:$AA220,1,MATCH($E$219,$H$219:$AA$219,0))</f>
        <v>25</v>
      </c>
      <c r="G220" s="595"/>
      <c r="H220" s="647">
        <v>25</v>
      </c>
      <c r="I220" s="645"/>
      <c r="J220" s="645"/>
      <c r="K220" s="644"/>
      <c r="L220" s="646">
        <f>H220+0.25</f>
        <v>25.25</v>
      </c>
      <c r="M220" s="645"/>
      <c r="N220" s="645"/>
      <c r="O220" s="644"/>
      <c r="P220" s="646">
        <f>L220+0.25</f>
        <v>25.5</v>
      </c>
      <c r="Q220" s="645"/>
      <c r="R220" s="645"/>
      <c r="S220" s="644"/>
      <c r="T220" s="646">
        <f>P220+0.25</f>
        <v>25.75</v>
      </c>
      <c r="U220" s="645"/>
      <c r="V220" s="645"/>
      <c r="W220" s="644"/>
      <c r="X220" s="646">
        <f>T220+0.25</f>
        <v>26</v>
      </c>
      <c r="Y220" s="645"/>
      <c r="Z220" s="645"/>
      <c r="AA220" s="644"/>
    </row>
    <row r="221" spans="2:27">
      <c r="C221" s="643"/>
      <c r="D221" s="643"/>
      <c r="E221" s="200" t="s">
        <v>968</v>
      </c>
      <c r="F221" s="642">
        <f>INDEX($H221:$AA221,1,MATCH($E$219,$H$219:$AA$219,0))</f>
        <v>0</v>
      </c>
      <c r="G221" s="641"/>
      <c r="H221" s="640">
        <v>0</v>
      </c>
      <c r="I221" s="638"/>
      <c r="J221" s="638"/>
      <c r="K221" s="637"/>
      <c r="L221" s="639">
        <f>H221+0.25</f>
        <v>0.25</v>
      </c>
      <c r="M221" s="638"/>
      <c r="N221" s="638"/>
      <c r="O221" s="637"/>
      <c r="P221" s="639">
        <f>L221+0.25</f>
        <v>0.5</v>
      </c>
      <c r="Q221" s="638"/>
      <c r="R221" s="638"/>
      <c r="S221" s="637"/>
      <c r="T221" s="639">
        <f>P221+0.25</f>
        <v>0.75</v>
      </c>
      <c r="U221" s="638"/>
      <c r="V221" s="638"/>
      <c r="W221" s="637"/>
      <c r="X221" s="639">
        <f>T221+0.25</f>
        <v>1</v>
      </c>
      <c r="Y221" s="638"/>
      <c r="Z221" s="638"/>
      <c r="AA221" s="637"/>
    </row>
    <row r="222" spans="2:27">
      <c r="C222" s="643"/>
      <c r="D222" s="643"/>
      <c r="E222" s="200" t="s">
        <v>968</v>
      </c>
      <c r="F222" s="642">
        <f>INDEX($H222:$AA222,1,MATCH($E$219,$H$219:$AA$219,0))</f>
        <v>0</v>
      </c>
      <c r="G222" s="641"/>
      <c r="H222" s="640">
        <v>0</v>
      </c>
      <c r="I222" s="638"/>
      <c r="J222" s="638"/>
      <c r="K222" s="637"/>
      <c r="L222" s="639">
        <f>H222+0.25</f>
        <v>0.25</v>
      </c>
      <c r="M222" s="638"/>
      <c r="N222" s="638"/>
      <c r="O222" s="637"/>
      <c r="P222" s="639">
        <f>L222+0.25</f>
        <v>0.5</v>
      </c>
      <c r="Q222" s="638"/>
      <c r="R222" s="638"/>
      <c r="S222" s="637"/>
      <c r="T222" s="639">
        <f>P222+0.25</f>
        <v>0.75</v>
      </c>
      <c r="U222" s="638"/>
      <c r="V222" s="638"/>
      <c r="W222" s="637"/>
      <c r="X222" s="639">
        <f>T222+0.25</f>
        <v>1</v>
      </c>
      <c r="Y222" s="638"/>
      <c r="Z222" s="638"/>
      <c r="AA222" s="637"/>
    </row>
    <row r="223" spans="2:27">
      <c r="C223" s="643"/>
      <c r="D223" s="643"/>
      <c r="E223" s="200" t="s">
        <v>968</v>
      </c>
      <c r="F223" s="642">
        <f>INDEX($H223:$AA223,1,MATCH($E$219,$H$219:$AA$219,0))</f>
        <v>0</v>
      </c>
      <c r="G223" s="641"/>
      <c r="H223" s="640">
        <v>0</v>
      </c>
      <c r="I223" s="638"/>
      <c r="J223" s="638"/>
      <c r="K223" s="637"/>
      <c r="L223" s="639">
        <f>H223+0.25</f>
        <v>0.25</v>
      </c>
      <c r="M223" s="638"/>
      <c r="N223" s="638"/>
      <c r="O223" s="637"/>
      <c r="P223" s="639">
        <f>L223+0.25</f>
        <v>0.5</v>
      </c>
      <c r="Q223" s="638"/>
      <c r="R223" s="638"/>
      <c r="S223" s="637"/>
      <c r="T223" s="639">
        <f>P223+0.25</f>
        <v>0.75</v>
      </c>
      <c r="U223" s="638"/>
      <c r="V223" s="638"/>
      <c r="W223" s="637"/>
      <c r="X223" s="639">
        <f>T223+0.25</f>
        <v>1</v>
      </c>
      <c r="Y223" s="638"/>
      <c r="Z223" s="638"/>
      <c r="AA223" s="637"/>
    </row>
    <row r="224" spans="2:27">
      <c r="C224" s="643"/>
      <c r="D224" s="643"/>
      <c r="E224" s="200" t="s">
        <v>968</v>
      </c>
      <c r="F224" s="642">
        <f>INDEX($H224:$AA224,1,MATCH($E$219,$H$219:$AA$219,0))</f>
        <v>0</v>
      </c>
      <c r="G224" s="641"/>
      <c r="H224" s="640">
        <v>0</v>
      </c>
      <c r="I224" s="638"/>
      <c r="J224" s="638"/>
      <c r="K224" s="637"/>
      <c r="L224" s="639">
        <f>H224+0.25</f>
        <v>0.25</v>
      </c>
      <c r="M224" s="638"/>
      <c r="N224" s="638"/>
      <c r="O224" s="637"/>
      <c r="P224" s="639">
        <f>L224+0.25</f>
        <v>0.5</v>
      </c>
      <c r="Q224" s="638"/>
      <c r="R224" s="638"/>
      <c r="S224" s="637"/>
      <c r="T224" s="639">
        <f>P224+0.25</f>
        <v>0.75</v>
      </c>
      <c r="U224" s="638"/>
      <c r="V224" s="638"/>
      <c r="W224" s="637"/>
      <c r="X224" s="639">
        <f>T224+0.25</f>
        <v>1</v>
      </c>
      <c r="Y224" s="638"/>
      <c r="Z224" s="638"/>
      <c r="AA224" s="637"/>
    </row>
    <row r="225" spans="3:27">
      <c r="C225" s="461" t="s">
        <v>74</v>
      </c>
      <c r="D225" s="636" t="s">
        <v>1328</v>
      </c>
      <c r="E225" s="635">
        <v>1</v>
      </c>
      <c r="F225" s="634"/>
      <c r="G225" s="542"/>
      <c r="H225" s="542">
        <v>1</v>
      </c>
      <c r="I225" s="542" t="s">
        <v>1329</v>
      </c>
      <c r="J225" s="542" t="s">
        <v>554</v>
      </c>
      <c r="K225" s="542" t="s">
        <v>1330</v>
      </c>
      <c r="L225" s="542">
        <v>2</v>
      </c>
      <c r="M225" s="542" t="s">
        <v>1329</v>
      </c>
      <c r="N225" s="542" t="s">
        <v>554</v>
      </c>
      <c r="O225" s="542" t="s">
        <v>1330</v>
      </c>
      <c r="P225" s="542">
        <v>3</v>
      </c>
      <c r="Q225" s="542" t="s">
        <v>1329</v>
      </c>
      <c r="R225" s="542" t="s">
        <v>554</v>
      </c>
      <c r="S225" s="542" t="s">
        <v>1330</v>
      </c>
      <c r="T225" s="542">
        <v>4</v>
      </c>
      <c r="U225" s="542" t="s">
        <v>1329</v>
      </c>
      <c r="V225" s="542" t="s">
        <v>554</v>
      </c>
      <c r="W225" s="542" t="s">
        <v>1330</v>
      </c>
      <c r="X225" s="542">
        <v>5</v>
      </c>
      <c r="Y225" s="542" t="s">
        <v>1329</v>
      </c>
      <c r="Z225" s="542" t="s">
        <v>554</v>
      </c>
      <c r="AA225" s="542" t="s">
        <v>1330</v>
      </c>
    </row>
    <row r="226" spans="3:27">
      <c r="C226" s="60"/>
      <c r="D226" s="75" t="s">
        <v>140</v>
      </c>
      <c r="E226" s="75" t="s">
        <v>1373</v>
      </c>
      <c r="F226" s="633">
        <f>INDEX($H226:$AA226,1,MATCH($E$225,$H$225:$AA$225,0))</f>
        <v>23</v>
      </c>
      <c r="G226" s="575"/>
      <c r="H226" s="632">
        <v>23</v>
      </c>
      <c r="I226" s="630"/>
      <c r="J226" s="630"/>
      <c r="K226" s="629"/>
      <c r="L226" s="631">
        <f>H226+0.25</f>
        <v>23.25</v>
      </c>
      <c r="M226" s="630"/>
      <c r="N226" s="630"/>
      <c r="O226" s="629"/>
      <c r="P226" s="631">
        <f>L226+0.25</f>
        <v>23.5</v>
      </c>
      <c r="Q226" s="630"/>
      <c r="R226" s="630"/>
      <c r="S226" s="629"/>
      <c r="T226" s="631">
        <f>P226+0.25</f>
        <v>23.75</v>
      </c>
      <c r="U226" s="630"/>
      <c r="V226" s="630"/>
      <c r="W226" s="629"/>
      <c r="X226" s="631">
        <f>T226+0.25</f>
        <v>24</v>
      </c>
      <c r="Y226" s="630"/>
      <c r="Z226" s="630"/>
      <c r="AA226" s="629"/>
    </row>
  </sheetData>
  <conditionalFormatting sqref="F6:AA12 F14:AA15 F17:AA17 F19:AA19 F21:AA21 F23:AA23 F25:AA25">
    <cfRule type="cellIs" dxfId="46" priority="47" operator="equal">
      <formula>0</formula>
    </cfRule>
  </conditionalFormatting>
  <conditionalFormatting sqref="F27:AA27">
    <cfRule type="cellIs" dxfId="45" priority="46" operator="equal">
      <formula>0</formula>
    </cfRule>
  </conditionalFormatting>
  <conditionalFormatting sqref="F29:AA29">
    <cfRule type="cellIs" dxfId="44" priority="45" operator="equal">
      <formula>0</formula>
    </cfRule>
  </conditionalFormatting>
  <conditionalFormatting sqref="F31:AA31">
    <cfRule type="cellIs" dxfId="43" priority="44" operator="equal">
      <formula>0</formula>
    </cfRule>
  </conditionalFormatting>
  <conditionalFormatting sqref="F33:AA33 F35:AA35 F37:AA37">
    <cfRule type="cellIs" dxfId="42" priority="43" operator="equal">
      <formula>0</formula>
    </cfRule>
  </conditionalFormatting>
  <conditionalFormatting sqref="F39:AA39">
    <cfRule type="cellIs" dxfId="41" priority="42" operator="equal">
      <formula>0</formula>
    </cfRule>
  </conditionalFormatting>
  <conditionalFormatting sqref="F41:AA41">
    <cfRule type="cellIs" dxfId="40" priority="41" operator="equal">
      <formula>0</formula>
    </cfRule>
  </conditionalFormatting>
  <conditionalFormatting sqref="F43:AA43 F45:AA45 F47:AA47">
    <cfRule type="cellIs" dxfId="39" priority="40" operator="equal">
      <formula>0</formula>
    </cfRule>
  </conditionalFormatting>
  <conditionalFormatting sqref="F49:AA49">
    <cfRule type="cellIs" dxfId="38" priority="39" operator="equal">
      <formula>0</formula>
    </cfRule>
  </conditionalFormatting>
  <conditionalFormatting sqref="F51:AA51">
    <cfRule type="cellIs" dxfId="37" priority="38" operator="equal">
      <formula>0</formula>
    </cfRule>
  </conditionalFormatting>
  <conditionalFormatting sqref="F53:AA53">
    <cfRule type="cellIs" dxfId="36" priority="37" operator="equal">
      <formula>0</formula>
    </cfRule>
  </conditionalFormatting>
  <conditionalFormatting sqref="F55:AA55">
    <cfRule type="cellIs" dxfId="35" priority="36" operator="equal">
      <formula>0</formula>
    </cfRule>
  </conditionalFormatting>
  <conditionalFormatting sqref="F57:AA57">
    <cfRule type="cellIs" dxfId="34" priority="35" operator="equal">
      <formula>0</formula>
    </cfRule>
  </conditionalFormatting>
  <conditionalFormatting sqref="F59:AA59">
    <cfRule type="cellIs" dxfId="33" priority="34" operator="equal">
      <formula>0</formula>
    </cfRule>
  </conditionalFormatting>
  <conditionalFormatting sqref="F61:AA61">
    <cfRule type="cellIs" dxfId="32" priority="33" operator="equal">
      <formula>0</formula>
    </cfRule>
  </conditionalFormatting>
  <conditionalFormatting sqref="F63:AA63">
    <cfRule type="cellIs" dxfId="31" priority="32" operator="equal">
      <formula>0</formula>
    </cfRule>
  </conditionalFormatting>
  <conditionalFormatting sqref="F65:AA65">
    <cfRule type="cellIs" dxfId="30" priority="31" operator="equal">
      <formula>0</formula>
    </cfRule>
  </conditionalFormatting>
  <conditionalFormatting sqref="F67:AA67">
    <cfRule type="cellIs" dxfId="29" priority="30" operator="equal">
      <formula>0</formula>
    </cfRule>
  </conditionalFormatting>
  <conditionalFormatting sqref="F69:AA69">
    <cfRule type="cellIs" dxfId="28" priority="29" operator="equal">
      <formula>0</formula>
    </cfRule>
  </conditionalFormatting>
  <conditionalFormatting sqref="F71:AA71">
    <cfRule type="cellIs" dxfId="27" priority="28" operator="equal">
      <formula>0</formula>
    </cfRule>
  </conditionalFormatting>
  <conditionalFormatting sqref="F73:AA73">
    <cfRule type="cellIs" dxfId="26" priority="27" operator="equal">
      <formula>0</formula>
    </cfRule>
  </conditionalFormatting>
  <conditionalFormatting sqref="F75:AA75">
    <cfRule type="cellIs" dxfId="25" priority="26" operator="equal">
      <formula>0</formula>
    </cfRule>
  </conditionalFormatting>
  <conditionalFormatting sqref="F77:AA77">
    <cfRule type="cellIs" dxfId="24" priority="25" operator="equal">
      <formula>0</formula>
    </cfRule>
  </conditionalFormatting>
  <conditionalFormatting sqref="F79:AA79">
    <cfRule type="cellIs" dxfId="23" priority="24" operator="equal">
      <formula>0</formula>
    </cfRule>
  </conditionalFormatting>
  <conditionalFormatting sqref="F81:AA81">
    <cfRule type="cellIs" dxfId="22" priority="23" operator="equal">
      <formula>0</formula>
    </cfRule>
  </conditionalFormatting>
  <conditionalFormatting sqref="F83:AA83">
    <cfRule type="cellIs" dxfId="21" priority="22" operator="equal">
      <formula>0</formula>
    </cfRule>
  </conditionalFormatting>
  <conditionalFormatting sqref="F85:AA85">
    <cfRule type="cellIs" dxfId="20" priority="21" operator="equal">
      <formula>0</formula>
    </cfRule>
  </conditionalFormatting>
  <conditionalFormatting sqref="F87:AA87">
    <cfRule type="cellIs" dxfId="19" priority="20" operator="equal">
      <formula>0</formula>
    </cfRule>
  </conditionalFormatting>
  <conditionalFormatting sqref="F89:AA89">
    <cfRule type="cellIs" dxfId="18" priority="19" operator="equal">
      <formula>0</formula>
    </cfRule>
  </conditionalFormatting>
  <conditionalFormatting sqref="F91:AA91">
    <cfRule type="cellIs" dxfId="17" priority="18" operator="equal">
      <formula>0</formula>
    </cfRule>
  </conditionalFormatting>
  <conditionalFormatting sqref="F93:AA93">
    <cfRule type="cellIs" dxfId="16" priority="17" operator="equal">
      <formula>0</formula>
    </cfRule>
  </conditionalFormatting>
  <conditionalFormatting sqref="F95:AA96">
    <cfRule type="cellIs" dxfId="15" priority="16" operator="equal">
      <formula>0</formula>
    </cfRule>
  </conditionalFormatting>
  <conditionalFormatting sqref="F98:AA121">
    <cfRule type="cellIs" dxfId="14" priority="15" operator="equal">
      <formula>0</formula>
    </cfRule>
  </conditionalFormatting>
  <conditionalFormatting sqref="F123:AA123">
    <cfRule type="cellIs" dxfId="13" priority="14" operator="equal">
      <formula>0</formula>
    </cfRule>
  </conditionalFormatting>
  <conditionalFormatting sqref="F125:AA146">
    <cfRule type="cellIs" dxfId="12" priority="13" operator="equal">
      <formula>0</formula>
    </cfRule>
  </conditionalFormatting>
  <conditionalFormatting sqref="F148:AA148">
    <cfRule type="cellIs" dxfId="11" priority="12" operator="equal">
      <formula>0</formula>
    </cfRule>
  </conditionalFormatting>
  <conditionalFormatting sqref="F150:AA150">
    <cfRule type="cellIs" dxfId="10" priority="11" operator="equal">
      <formula>0</formula>
    </cfRule>
  </conditionalFormatting>
  <conditionalFormatting sqref="F152:AA152">
    <cfRule type="cellIs" dxfId="9" priority="10" operator="equal">
      <formula>0</formula>
    </cfRule>
  </conditionalFormatting>
  <conditionalFormatting sqref="F154:AA154">
    <cfRule type="cellIs" dxfId="8" priority="9" operator="equal">
      <formula>0</formula>
    </cfRule>
  </conditionalFormatting>
  <conditionalFormatting sqref="F156:AA156">
    <cfRule type="cellIs" dxfId="7" priority="8" operator="equal">
      <formula>0</formula>
    </cfRule>
  </conditionalFormatting>
  <conditionalFormatting sqref="F158:AA158">
    <cfRule type="cellIs" dxfId="6" priority="7" operator="equal">
      <formula>0</formula>
    </cfRule>
  </conditionalFormatting>
  <conditionalFormatting sqref="F160:AA170">
    <cfRule type="cellIs" dxfId="5" priority="6" operator="equal">
      <formula>0</formula>
    </cfRule>
  </conditionalFormatting>
  <conditionalFormatting sqref="F172:AA186">
    <cfRule type="cellIs" dxfId="4" priority="5" operator="equal">
      <formula>0</formula>
    </cfRule>
  </conditionalFormatting>
  <conditionalFormatting sqref="F188:AA202">
    <cfRule type="cellIs" dxfId="3" priority="4" operator="equal">
      <formula>0</formula>
    </cfRule>
  </conditionalFormatting>
  <conditionalFormatting sqref="F204:AA218">
    <cfRule type="cellIs" dxfId="2" priority="3" operator="equal">
      <formula>0</formula>
    </cfRule>
  </conditionalFormatting>
  <conditionalFormatting sqref="F220:AA224">
    <cfRule type="cellIs" dxfId="1" priority="2" operator="equal">
      <formula>0</formula>
    </cfRule>
  </conditionalFormatting>
  <conditionalFormatting sqref="F226:AA226">
    <cfRule type="cellIs" dxfId="0" priority="1" operator="equal">
      <formula>0</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72D55-C650-458A-8119-95ABA3E6DC5A}">
  <sheetPr codeName="Sheet11"/>
  <dimension ref="A2:A3"/>
  <sheetViews>
    <sheetView workbookViewId="0">
      <selection activeCell="A4" sqref="A4"/>
    </sheetView>
  </sheetViews>
  <sheetFormatPr defaultRowHeight="15"/>
  <cols>
    <col min="1" max="1" width="57" customWidth="1"/>
  </cols>
  <sheetData>
    <row r="2" spans="1:1">
      <c r="A2" t="s">
        <v>1374</v>
      </c>
    </row>
    <row r="3" spans="1:1">
      <c r="A3" t="s">
        <v>1375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Ian</dc:creator>
  <cp:keywords/>
  <dc:description/>
  <cp:lastModifiedBy>Guest User</cp:lastModifiedBy>
  <cp:revision/>
  <dcterms:created xsi:type="dcterms:W3CDTF">2019-04-03T03:00:08Z</dcterms:created>
  <dcterms:modified xsi:type="dcterms:W3CDTF">2026-03-11T18:53:55Z</dcterms:modified>
  <cp:category/>
  <cp:contentStatus/>
</cp:coreProperties>
</file>