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/>
  <mc:AlternateContent xmlns:mc="http://schemas.openxmlformats.org/markup-compatibility/2006">
    <mc:Choice Requires="x15">
      <x15ac:absPath xmlns:x15ac="http://schemas.microsoft.com/office/spreadsheetml/2010/11/ac" url="D:\Downloads\Accounting\Training\"/>
    </mc:Choice>
  </mc:AlternateContent>
  <xr:revisionPtr revIDLastSave="0" documentId="13_ncr:1_{0DE763B4-9DAE-457D-B8D8-4C44F1E9DF3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HOME" sheetId="12" r:id="rId1"/>
    <sheet name="Income - Accounts" sheetId="1" r:id="rId2"/>
    <sheet name="Balance sheet" sheetId="3" r:id="rId3"/>
    <sheet name="P&amp;L" sheetId="2" r:id="rId4"/>
    <sheet name="BS" sheetId="4" r:id="rId5"/>
    <sheet name="Fixed Asset forward" sheetId="5" r:id="rId6"/>
    <sheet name="Finanical liabilities schedule" sheetId="6" r:id="rId7"/>
    <sheet name="Equity schuedule" sheetId="7" r:id="rId8"/>
    <sheet name="Cash Flow " sheetId="8" r:id="rId9"/>
  </sheets>
  <definedNames>
    <definedName name="_xlnm._FilterDatabase" localSheetId="1" hidden="1">'Income - Accounts'!$B$1:$D$107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3" i="8" l="1"/>
  <c r="G23" i="8"/>
  <c r="H23" i="8"/>
  <c r="I23" i="8"/>
  <c r="E23" i="8"/>
  <c r="F24" i="8"/>
  <c r="G24" i="8"/>
  <c r="H24" i="8"/>
  <c r="I24" i="8"/>
  <c r="E24" i="8"/>
  <c r="F8" i="8"/>
  <c r="G8" i="8"/>
  <c r="H8" i="8"/>
  <c r="I8" i="8"/>
  <c r="E8" i="8"/>
  <c r="E4" i="8"/>
  <c r="F3" i="7"/>
  <c r="E3" i="7"/>
  <c r="D3" i="7"/>
  <c r="D7" i="7"/>
  <c r="E7" i="7"/>
  <c r="C7" i="7"/>
  <c r="K14" i="2"/>
  <c r="L14" i="2"/>
  <c r="M14" i="2"/>
  <c r="N14" i="2"/>
  <c r="J14" i="2"/>
  <c r="G14" i="4"/>
  <c r="H14" i="4"/>
  <c r="I14" i="4"/>
  <c r="J14" i="4"/>
  <c r="F14" i="4"/>
  <c r="G5" i="6"/>
  <c r="H5" i="6"/>
  <c r="I5" i="6"/>
  <c r="J5" i="6"/>
  <c r="G6" i="6"/>
  <c r="F6" i="6"/>
  <c r="G3" i="6" s="1"/>
  <c r="F5" i="6"/>
  <c r="D19" i="6"/>
  <c r="E17" i="6"/>
  <c r="F17" i="6"/>
  <c r="G17" i="6"/>
  <c r="H17" i="6"/>
  <c r="I17" i="6"/>
  <c r="J17" i="6"/>
  <c r="K17" i="6"/>
  <c r="L17" i="6"/>
  <c r="E18" i="6"/>
  <c r="F18" i="6"/>
  <c r="G18" i="6"/>
  <c r="H18" i="6"/>
  <c r="I18" i="6"/>
  <c r="J18" i="6"/>
  <c r="K18" i="6"/>
  <c r="L18" i="6"/>
  <c r="E19" i="6"/>
  <c r="F19" i="6"/>
  <c r="G19" i="6" s="1"/>
  <c r="H19" i="6" s="1"/>
  <c r="I19" i="6" s="1"/>
  <c r="J19" i="6" s="1"/>
  <c r="K19" i="6" s="1"/>
  <c r="L19" i="6" s="1"/>
  <c r="D17" i="6"/>
  <c r="D18" i="6"/>
  <c r="C18" i="6"/>
  <c r="C19" i="6" s="1"/>
  <c r="C17" i="6"/>
  <c r="D16" i="6"/>
  <c r="E16" i="6"/>
  <c r="F16" i="6"/>
  <c r="G16" i="6"/>
  <c r="H16" i="6"/>
  <c r="I16" i="6"/>
  <c r="J16" i="6"/>
  <c r="K16" i="6"/>
  <c r="L16" i="6"/>
  <c r="C16" i="6"/>
  <c r="C12" i="6"/>
  <c r="E5" i="6"/>
  <c r="D6" i="6"/>
  <c r="E3" i="6" s="1"/>
  <c r="E6" i="6"/>
  <c r="F3" i="6" s="1"/>
  <c r="H3" i="6"/>
  <c r="H6" i="6" s="1"/>
  <c r="I3" i="6" s="1"/>
  <c r="I6" i="6" s="1"/>
  <c r="J3" i="6" s="1"/>
  <c r="J6" i="6" s="1"/>
  <c r="D5" i="6"/>
  <c r="D3" i="6"/>
  <c r="C6" i="6"/>
  <c r="F4" i="5"/>
  <c r="E7" i="5"/>
  <c r="E4" i="5"/>
  <c r="D7" i="5"/>
  <c r="D4" i="5"/>
  <c r="C7" i="5"/>
  <c r="G24" i="4"/>
  <c r="H24" i="4"/>
  <c r="I24" i="4"/>
  <c r="J24" i="4"/>
  <c r="E16" i="4"/>
  <c r="D16" i="4"/>
  <c r="C16" i="4"/>
  <c r="E15" i="4"/>
  <c r="D15" i="4"/>
  <c r="C15" i="4"/>
  <c r="E14" i="4"/>
  <c r="D14" i="4"/>
  <c r="C14" i="4"/>
  <c r="E13" i="4"/>
  <c r="D13" i="4"/>
  <c r="C13" i="4"/>
  <c r="E12" i="4"/>
  <c r="D12" i="4"/>
  <c r="C12" i="4"/>
  <c r="E9" i="4"/>
  <c r="D9" i="4"/>
  <c r="C9" i="4"/>
  <c r="E8" i="4"/>
  <c r="D8" i="4"/>
  <c r="C8" i="4"/>
  <c r="E7" i="4"/>
  <c r="D7" i="4"/>
  <c r="C7" i="4"/>
  <c r="E6" i="4"/>
  <c r="D6" i="4"/>
  <c r="C6" i="4"/>
  <c r="E5" i="4"/>
  <c r="D5" i="4"/>
  <c r="C5" i="4"/>
  <c r="J35" i="2"/>
  <c r="K35" i="2"/>
  <c r="L35" i="2"/>
  <c r="M35" i="2"/>
  <c r="N35" i="2"/>
  <c r="N28" i="2"/>
  <c r="M28" i="2"/>
  <c r="L28" i="2"/>
  <c r="K28" i="2"/>
  <c r="J28" i="2"/>
  <c r="N21" i="2"/>
  <c r="M21" i="2"/>
  <c r="L21" i="2"/>
  <c r="K21" i="2"/>
  <c r="J21" i="2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9" i="1"/>
  <c r="E3" i="1"/>
  <c r="E4" i="1"/>
  <c r="E5" i="1"/>
  <c r="E6" i="1"/>
  <c r="E7" i="1"/>
  <c r="E8" i="1"/>
  <c r="E9" i="1"/>
  <c r="E10" i="1"/>
  <c r="E14" i="2" s="1"/>
  <c r="E11" i="1"/>
  <c r="E12" i="1"/>
  <c r="E13" i="1"/>
  <c r="E14" i="1"/>
  <c r="E15" i="1"/>
  <c r="E16" i="1"/>
  <c r="E17" i="1"/>
  <c r="E18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C14" i="2" s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2" i="1"/>
  <c r="C10" i="2" l="1"/>
  <c r="D14" i="2"/>
  <c r="G14" i="2" s="1"/>
  <c r="D10" i="4"/>
  <c r="C10" i="4"/>
  <c r="E10" i="4"/>
  <c r="D10" i="2"/>
  <c r="E10" i="2"/>
  <c r="C8" i="2"/>
  <c r="C22" i="4" s="1"/>
  <c r="E16" i="2"/>
  <c r="C12" i="2"/>
  <c r="D12" i="2"/>
  <c r="D5" i="5" s="1"/>
  <c r="E12" i="2"/>
  <c r="E5" i="5" s="1"/>
  <c r="E8" i="2"/>
  <c r="E23" i="4" s="1"/>
  <c r="C16" i="2"/>
  <c r="E7" i="2"/>
  <c r="E21" i="4" s="1"/>
  <c r="D16" i="2"/>
  <c r="D8" i="2"/>
  <c r="D22" i="4" s="1"/>
  <c r="C7" i="2"/>
  <c r="D7" i="2"/>
  <c r="D21" i="4" s="1"/>
  <c r="H14" i="2" l="1"/>
  <c r="C34" i="2"/>
  <c r="C27" i="4"/>
  <c r="D23" i="4"/>
  <c r="D24" i="4" s="1"/>
  <c r="C23" i="4"/>
  <c r="J7" i="2"/>
  <c r="J10" i="2" s="1"/>
  <c r="E26" i="4"/>
  <c r="E27" i="4"/>
  <c r="E22" i="4"/>
  <c r="E24" i="4" s="1"/>
  <c r="D27" i="4"/>
  <c r="D26" i="4"/>
  <c r="E8" i="5"/>
  <c r="E6" i="5"/>
  <c r="E9" i="5" s="1"/>
  <c r="D6" i="5"/>
  <c r="D9" i="5" s="1"/>
  <c r="D8" i="5"/>
  <c r="F8" i="5" s="1"/>
  <c r="F5" i="5" s="1"/>
  <c r="C26" i="4"/>
  <c r="C21" i="4"/>
  <c r="F21" i="4" s="1"/>
  <c r="D27" i="2"/>
  <c r="G16" i="2"/>
  <c r="C27" i="2"/>
  <c r="E34" i="2"/>
  <c r="G10" i="2"/>
  <c r="D34" i="2"/>
  <c r="E27" i="2"/>
  <c r="H12" i="2"/>
  <c r="H7" i="2"/>
  <c r="E19" i="2" s="1"/>
  <c r="H10" i="2"/>
  <c r="H8" i="2"/>
  <c r="G7" i="2"/>
  <c r="D19" i="2" s="1"/>
  <c r="G12" i="2"/>
  <c r="G8" i="2"/>
  <c r="H16" i="2"/>
  <c r="E9" i="2"/>
  <c r="C9" i="2"/>
  <c r="C11" i="2" s="1"/>
  <c r="C13" i="2" s="1"/>
  <c r="C15" i="2" s="1"/>
  <c r="C17" i="2" s="1"/>
  <c r="D9" i="2"/>
  <c r="F9" i="5" l="1"/>
  <c r="F6" i="5" s="1"/>
  <c r="E18" i="8" s="1"/>
  <c r="J8" i="2"/>
  <c r="J9" i="2" s="1"/>
  <c r="J11" i="2" s="1"/>
  <c r="E7" i="8" s="1"/>
  <c r="G34" i="2"/>
  <c r="F5" i="4"/>
  <c r="E12" i="8" s="1"/>
  <c r="F22" i="4"/>
  <c r="K7" i="2"/>
  <c r="F9" i="4"/>
  <c r="E15" i="8" s="1"/>
  <c r="F15" i="4"/>
  <c r="E16" i="8" s="1"/>
  <c r="F23" i="4"/>
  <c r="C24" i="4"/>
  <c r="G27" i="2"/>
  <c r="G19" i="2"/>
  <c r="D11" i="2"/>
  <c r="G9" i="2"/>
  <c r="E11" i="2"/>
  <c r="H9" i="2"/>
  <c r="F7" i="5" l="1"/>
  <c r="F7" i="4" s="1"/>
  <c r="F12" i="4"/>
  <c r="E14" i="8" s="1"/>
  <c r="F6" i="4"/>
  <c r="F24" i="4"/>
  <c r="G15" i="4"/>
  <c r="F16" i="8" s="1"/>
  <c r="G5" i="4"/>
  <c r="F12" i="8" s="1"/>
  <c r="G9" i="4"/>
  <c r="F15" i="8" s="1"/>
  <c r="L7" i="2"/>
  <c r="K10" i="2"/>
  <c r="K8" i="2"/>
  <c r="K9" i="2" s="1"/>
  <c r="D13" i="2"/>
  <c r="G11" i="2"/>
  <c r="E13" i="2"/>
  <c r="H11" i="2"/>
  <c r="K11" i="2" l="1"/>
  <c r="F7" i="8" s="1"/>
  <c r="G4" i="5"/>
  <c r="G6" i="5" s="1"/>
  <c r="F18" i="8" s="1"/>
  <c r="J12" i="2"/>
  <c r="J13" i="2" s="1"/>
  <c r="J15" i="2" s="1"/>
  <c r="J16" i="2"/>
  <c r="E9" i="8" s="1"/>
  <c r="E11" i="8" s="1"/>
  <c r="E13" i="8"/>
  <c r="G6" i="4"/>
  <c r="F13" i="8" s="1"/>
  <c r="G12" i="4"/>
  <c r="H15" i="4"/>
  <c r="G16" i="8" s="1"/>
  <c r="H5" i="4"/>
  <c r="G12" i="8" s="1"/>
  <c r="H9" i="4"/>
  <c r="G15" i="8" s="1"/>
  <c r="L10" i="2"/>
  <c r="L8" i="2"/>
  <c r="M7" i="2"/>
  <c r="L9" i="2"/>
  <c r="E15" i="2"/>
  <c r="H13" i="2"/>
  <c r="D15" i="2"/>
  <c r="G13" i="2"/>
  <c r="G5" i="5" l="1"/>
  <c r="G7" i="5" s="1"/>
  <c r="L11" i="2"/>
  <c r="G7" i="8" s="1"/>
  <c r="E20" i="8"/>
  <c r="J17" i="2"/>
  <c r="F6" i="7" s="1"/>
  <c r="F5" i="7" s="1"/>
  <c r="F14" i="8"/>
  <c r="I9" i="4"/>
  <c r="H15" i="8" s="1"/>
  <c r="I5" i="4"/>
  <c r="H12" i="8" s="1"/>
  <c r="I15" i="4"/>
  <c r="H16" i="8" s="1"/>
  <c r="M8" i="2"/>
  <c r="M10" i="2"/>
  <c r="N7" i="2"/>
  <c r="H6" i="4"/>
  <c r="G13" i="8" s="1"/>
  <c r="H12" i="4"/>
  <c r="E17" i="2"/>
  <c r="E6" i="7" s="1"/>
  <c r="H15" i="2"/>
  <c r="D17" i="2"/>
  <c r="G15" i="2"/>
  <c r="G14" i="8" l="1"/>
  <c r="E22" i="8"/>
  <c r="F7" i="7"/>
  <c r="G17" i="2"/>
  <c r="D6" i="7"/>
  <c r="J9" i="4"/>
  <c r="I15" i="8" s="1"/>
  <c r="J15" i="4"/>
  <c r="I16" i="8" s="1"/>
  <c r="J5" i="4"/>
  <c r="I12" i="8" s="1"/>
  <c r="N8" i="2"/>
  <c r="N10" i="2"/>
  <c r="M9" i="2"/>
  <c r="M11" i="2" s="1"/>
  <c r="H7" i="8" s="1"/>
  <c r="I6" i="4"/>
  <c r="H13" i="8" s="1"/>
  <c r="I12" i="4"/>
  <c r="H4" i="5"/>
  <c r="G7" i="4"/>
  <c r="K12" i="2"/>
  <c r="K13" i="2" s="1"/>
  <c r="K15" i="2" s="1"/>
  <c r="H17" i="2"/>
  <c r="D17" i="4"/>
  <c r="E17" i="4"/>
  <c r="C17" i="4"/>
  <c r="H14" i="8" l="1"/>
  <c r="G3" i="7"/>
  <c r="E25" i="8"/>
  <c r="E26" i="8" s="1"/>
  <c r="E29" i="8" s="1"/>
  <c r="F16" i="4"/>
  <c r="F17" i="4" s="1"/>
  <c r="K16" i="2"/>
  <c r="F9" i="8" s="1"/>
  <c r="F11" i="8" s="1"/>
  <c r="F20" i="8" s="1"/>
  <c r="N9" i="2"/>
  <c r="N11" i="2" s="1"/>
  <c r="I7" i="8" s="1"/>
  <c r="J6" i="4"/>
  <c r="I13" i="8" s="1"/>
  <c r="J12" i="4"/>
  <c r="H6" i="5"/>
  <c r="G18" i="8" s="1"/>
  <c r="H5" i="5"/>
  <c r="K17" i="2" l="1"/>
  <c r="G6" i="7" s="1"/>
  <c r="G5" i="7" s="1"/>
  <c r="H7" i="5"/>
  <c r="L12" i="2" s="1"/>
  <c r="L13" i="2" s="1"/>
  <c r="L15" i="2" s="1"/>
  <c r="F8" i="4"/>
  <c r="F10" i="4" s="1"/>
  <c r="F4" i="8"/>
  <c r="I14" i="8"/>
  <c r="H7" i="4" l="1"/>
  <c r="I4" i="5"/>
  <c r="L16" i="2"/>
  <c r="G9" i="8" s="1"/>
  <c r="G11" i="8" s="1"/>
  <c r="G20" i="8" s="1"/>
  <c r="G7" i="7"/>
  <c r="F22" i="8"/>
  <c r="I6" i="5"/>
  <c r="H18" i="8" s="1"/>
  <c r="I5" i="5"/>
  <c r="I7" i="5" s="1"/>
  <c r="L17" i="2" l="1"/>
  <c r="H6" i="7" s="1"/>
  <c r="H5" i="7" s="1"/>
  <c r="G22" i="8" s="1"/>
  <c r="H3" i="7"/>
  <c r="G16" i="4"/>
  <c r="G17" i="4" s="1"/>
  <c r="F25" i="8"/>
  <c r="F26" i="8" s="1"/>
  <c r="F29" i="8" s="1"/>
  <c r="I7" i="4"/>
  <c r="J4" i="5"/>
  <c r="M12" i="2"/>
  <c r="M13" i="2" s="1"/>
  <c r="M15" i="2" s="1"/>
  <c r="H7" i="7" l="1"/>
  <c r="G8" i="4"/>
  <c r="G10" i="4" s="1"/>
  <c r="G4" i="8"/>
  <c r="M16" i="2"/>
  <c r="H9" i="8" s="1"/>
  <c r="H11" i="8" s="1"/>
  <c r="H20" i="8" s="1"/>
  <c r="I3" i="7"/>
  <c r="H16" i="4"/>
  <c r="H17" i="4" s="1"/>
  <c r="G25" i="8"/>
  <c r="G26" i="8" s="1"/>
  <c r="J6" i="5"/>
  <c r="I18" i="8" s="1"/>
  <c r="J5" i="5"/>
  <c r="M17" i="2" l="1"/>
  <c r="I6" i="7" s="1"/>
  <c r="I5" i="7" s="1"/>
  <c r="H22" i="8" s="1"/>
  <c r="G29" i="8"/>
  <c r="J7" i="5"/>
  <c r="H8" i="4" l="1"/>
  <c r="H10" i="4" s="1"/>
  <c r="H4" i="8"/>
  <c r="I7" i="7"/>
  <c r="J7" i="4"/>
  <c r="N12" i="2"/>
  <c r="N13" i="2" s="1"/>
  <c r="N15" i="2" s="1"/>
  <c r="N16" i="2" l="1"/>
  <c r="I9" i="8" s="1"/>
  <c r="I11" i="8" s="1"/>
  <c r="I20" i="8" s="1"/>
  <c r="J3" i="7"/>
  <c r="I16" i="4"/>
  <c r="I17" i="4" s="1"/>
  <c r="H25" i="8"/>
  <c r="H26" i="8" s="1"/>
  <c r="H29" i="8" s="1"/>
  <c r="I4" i="8" l="1"/>
  <c r="I8" i="4"/>
  <c r="I10" i="4" s="1"/>
  <c r="N17" i="2"/>
  <c r="J6" i="7" s="1"/>
  <c r="J5" i="7" s="1"/>
  <c r="I22" i="8" s="1"/>
  <c r="J7" i="7" l="1"/>
  <c r="J16" i="4" l="1"/>
  <c r="J17" i="4" s="1"/>
  <c r="I25" i="8"/>
  <c r="I26" i="8" s="1"/>
  <c r="I29" i="8" s="1"/>
  <c r="J8" i="4" s="1"/>
  <c r="J10" i="4" s="1"/>
</calcChain>
</file>

<file path=xl/sharedStrings.xml><?xml version="1.0" encoding="utf-8"?>
<sst xmlns="http://schemas.openxmlformats.org/spreadsheetml/2006/main" count="556" uniqueCount="216">
  <si>
    <t>Accounts</t>
  </si>
  <si>
    <t>Value</t>
  </si>
  <si>
    <t>Date</t>
  </si>
  <si>
    <t>Operating Expenses</t>
  </si>
  <si>
    <t>Revenue</t>
  </si>
  <si>
    <t>Taxes</t>
  </si>
  <si>
    <t>Interest Expense</t>
  </si>
  <si>
    <t>COGS</t>
  </si>
  <si>
    <t>10*1*2022</t>
  </si>
  <si>
    <t>9*2*2022</t>
  </si>
  <si>
    <t>11*3*2022</t>
  </si>
  <si>
    <t>10*4*2022</t>
  </si>
  <si>
    <t>10*5*2022</t>
  </si>
  <si>
    <t>9*6*2022</t>
  </si>
  <si>
    <t>8*8*2022</t>
  </si>
  <si>
    <t>7*9*2022</t>
  </si>
  <si>
    <t>6*11*2022</t>
  </si>
  <si>
    <t>6*12*2022</t>
  </si>
  <si>
    <t>5*1*2023</t>
  </si>
  <si>
    <t>4*2*2023</t>
  </si>
  <si>
    <t>6*3*2023</t>
  </si>
  <si>
    <t>5*5*2023</t>
  </si>
  <si>
    <t>29*2*2024</t>
  </si>
  <si>
    <t>30*3*2024</t>
  </si>
  <si>
    <t>29*5*2024</t>
  </si>
  <si>
    <t>28*6*2024</t>
  </si>
  <si>
    <t>28*7*2024</t>
  </si>
  <si>
    <t>27*8*2024</t>
  </si>
  <si>
    <t>26*9*2024</t>
  </si>
  <si>
    <t>26*10*2024</t>
  </si>
  <si>
    <t>25*11*2024</t>
  </si>
  <si>
    <t>25*12*2024</t>
  </si>
  <si>
    <t xml:space="preserve">years </t>
  </si>
  <si>
    <t xml:space="preserve">mapping </t>
  </si>
  <si>
    <t>Operating profit</t>
  </si>
  <si>
    <t xml:space="preserve">EBIT </t>
  </si>
  <si>
    <t>EBT</t>
  </si>
  <si>
    <t xml:space="preserve">Net Profit  </t>
  </si>
  <si>
    <t>D&amp;A</t>
  </si>
  <si>
    <t xml:space="preserve">income statement </t>
  </si>
  <si>
    <t>Gross profit</t>
  </si>
  <si>
    <t>1*4*2022</t>
  </si>
  <si>
    <t>30*6*2022</t>
  </si>
  <si>
    <t>30*7*2022</t>
  </si>
  <si>
    <t>28*9*2022</t>
  </si>
  <si>
    <t>28*10*2022</t>
  </si>
  <si>
    <t>27*3*2023</t>
  </si>
  <si>
    <t>25*6*2023</t>
  </si>
  <si>
    <t>20*2*2024</t>
  </si>
  <si>
    <t>20*4*2024</t>
  </si>
  <si>
    <t>19*6*2024</t>
  </si>
  <si>
    <t>17*10*2024</t>
  </si>
  <si>
    <t>15*1*2024</t>
  </si>
  <si>
    <t>14*2*2024</t>
  </si>
  <si>
    <t>15*5*2024</t>
  </si>
  <si>
    <t>14*6*2024</t>
  </si>
  <si>
    <t>12*10*2024</t>
  </si>
  <si>
    <t>11*12*2023</t>
  </si>
  <si>
    <t>23*2*2023</t>
  </si>
  <si>
    <t>23*6*2023</t>
  </si>
  <si>
    <t>21*10*2023</t>
  </si>
  <si>
    <t>20*12*2023</t>
  </si>
  <si>
    <t>19*1*2024</t>
  </si>
  <si>
    <t>18*2*2024</t>
  </si>
  <si>
    <t>25*2*2024</t>
  </si>
  <si>
    <t>26*5*2024</t>
  </si>
  <si>
    <t>25*7*2024</t>
  </si>
  <si>
    <t>20*12*2024</t>
  </si>
  <si>
    <t>1*1*2023</t>
  </si>
  <si>
    <t>31*1*2023</t>
  </si>
  <si>
    <t>29*8*2023</t>
  </si>
  <si>
    <t>27*11*2023</t>
  </si>
  <si>
    <t>10*1*2023</t>
  </si>
  <si>
    <t>9*2*2023</t>
  </si>
  <si>
    <t>11*3*2023</t>
  </si>
  <si>
    <t>10*4*2023</t>
  </si>
  <si>
    <t>9*7*2023</t>
  </si>
  <si>
    <t>8*8*2023</t>
  </si>
  <si>
    <t>7*10*2023</t>
  </si>
  <si>
    <t>18*2*2022</t>
  </si>
  <si>
    <t>17*9*2023</t>
  </si>
  <si>
    <t>30*1*2022</t>
  </si>
  <si>
    <t>12*10*2022</t>
  </si>
  <si>
    <t>29*5*2022</t>
  </si>
  <si>
    <t>15*1*2022</t>
  </si>
  <si>
    <t>14*2*2022</t>
  </si>
  <si>
    <t>16*3*2022</t>
  </si>
  <si>
    <t>15*4*2022</t>
  </si>
  <si>
    <t>15*5*2022</t>
  </si>
  <si>
    <t>14*6*2022</t>
  </si>
  <si>
    <t>14*7*2022</t>
  </si>
  <si>
    <t>13*8*2022</t>
  </si>
  <si>
    <t>12*9*2022</t>
  </si>
  <si>
    <t>11*11*2022</t>
  </si>
  <si>
    <t>5*4*2022</t>
  </si>
  <si>
    <t>5*5*2022</t>
  </si>
  <si>
    <t>4*6*2022</t>
  </si>
  <si>
    <t>4*7*2022</t>
  </si>
  <si>
    <t>3*8*2022</t>
  </si>
  <si>
    <t>31*12*2022</t>
  </si>
  <si>
    <t>24*1*2022</t>
  </si>
  <si>
    <t>23*2*2022</t>
  </si>
  <si>
    <t>22*8*2022</t>
  </si>
  <si>
    <t>20*11*2022</t>
  </si>
  <si>
    <t>20*5*2022</t>
  </si>
  <si>
    <t>19*6*2022</t>
  </si>
  <si>
    <t>19*7*2022</t>
  </si>
  <si>
    <t>18*8*2022</t>
  </si>
  <si>
    <t>17*9*2022</t>
  </si>
  <si>
    <t>17*10*2022</t>
  </si>
  <si>
    <t>16*11*2022</t>
  </si>
  <si>
    <t>16*12*2022</t>
  </si>
  <si>
    <t>29*4*2022</t>
  </si>
  <si>
    <t>26*9*2022</t>
  </si>
  <si>
    <t>25*12*2022</t>
  </si>
  <si>
    <t>Average Revenue Growth</t>
  </si>
  <si>
    <t xml:space="preserve">Average COGS </t>
  </si>
  <si>
    <t>Average Operating Expenses</t>
  </si>
  <si>
    <t>Var.22-23</t>
  </si>
  <si>
    <t>Var.23-24</t>
  </si>
  <si>
    <t>scenarios</t>
  </si>
  <si>
    <t>Best case</t>
  </si>
  <si>
    <t>Worst case</t>
  </si>
  <si>
    <t>Normal case</t>
  </si>
  <si>
    <t>forecasted period</t>
  </si>
  <si>
    <t>scenario</t>
  </si>
  <si>
    <t>selection</t>
  </si>
  <si>
    <t>Receivables - Wholesalers</t>
  </si>
  <si>
    <t>Receivables - B&amp;M</t>
  </si>
  <si>
    <t>Receivables - Other</t>
  </si>
  <si>
    <t>Receivables - Retail</t>
  </si>
  <si>
    <t>Receivables - HyperMarkets</t>
  </si>
  <si>
    <t>Accounts Receivables</t>
  </si>
  <si>
    <t>Inventory - Wholesalers</t>
  </si>
  <si>
    <t>Inventory - HyperMarkets</t>
  </si>
  <si>
    <t>Inventory - B&amp;M</t>
  </si>
  <si>
    <t>Inventory - Retail</t>
  </si>
  <si>
    <t>Inventory - Other</t>
  </si>
  <si>
    <t>Inventory</t>
  </si>
  <si>
    <t>PP&amp;E - Buses</t>
  </si>
  <si>
    <t>PP&amp;E - Machinery</t>
  </si>
  <si>
    <t>PP&amp;E - Other</t>
  </si>
  <si>
    <t>PP&amp;E - Hardware</t>
  </si>
  <si>
    <t>PP&amp;E</t>
  </si>
  <si>
    <t>Cash - Banks</t>
  </si>
  <si>
    <t>Cash - Notes</t>
  </si>
  <si>
    <t>Cash - Cash at hand</t>
  </si>
  <si>
    <t>Cash</t>
  </si>
  <si>
    <t>Other assets</t>
  </si>
  <si>
    <t>Assets</t>
  </si>
  <si>
    <t>Accounts Payables - Wholesalers</t>
  </si>
  <si>
    <t>Accounts Payables - Other</t>
  </si>
  <si>
    <t>Accounts Payables - HyperMarkets</t>
  </si>
  <si>
    <t>Accounts Payables - B&amp;M</t>
  </si>
  <si>
    <t>Accounts Payables - Retail</t>
  </si>
  <si>
    <t>Accounts Payables</t>
  </si>
  <si>
    <t>Contingency - Taxes</t>
  </si>
  <si>
    <t>Contingency - Services</t>
  </si>
  <si>
    <t>Contingency - Other</t>
  </si>
  <si>
    <t>Contingency</t>
  </si>
  <si>
    <t>Financial Liabilities</t>
  </si>
  <si>
    <t>Other liabilities</t>
  </si>
  <si>
    <t>Retained Earnings</t>
  </si>
  <si>
    <t>Investors Draft</t>
  </si>
  <si>
    <t>Capital</t>
  </si>
  <si>
    <t>Equity</t>
  </si>
  <si>
    <t>Liabilities &amp; Equity</t>
  </si>
  <si>
    <t>Total Asset</t>
  </si>
  <si>
    <t>Total Liabilities</t>
  </si>
  <si>
    <t xml:space="preserve">Balance sheet </t>
  </si>
  <si>
    <t>DSO</t>
  </si>
  <si>
    <t>DPO</t>
  </si>
  <si>
    <t>DIO</t>
  </si>
  <si>
    <t xml:space="preserve">cash conversion cyle </t>
  </si>
  <si>
    <t>Other Assests</t>
  </si>
  <si>
    <t>Other Liabillitie</t>
  </si>
  <si>
    <t>Fixed Asset forward</t>
  </si>
  <si>
    <t>Beginning PP&amp;E</t>
  </si>
  <si>
    <t>Capex</t>
  </si>
  <si>
    <t>Ending PP&amp;E</t>
  </si>
  <si>
    <t>D&amp;A from Beginning PP&amp;E</t>
  </si>
  <si>
    <t>Capex from Beginning PP&amp;E</t>
  </si>
  <si>
    <t>Finanical liabilities schedule</t>
  </si>
  <si>
    <t>New Debit</t>
  </si>
  <si>
    <t>principle payment</t>
  </si>
  <si>
    <t>Poriod</t>
  </si>
  <si>
    <t>Interest</t>
  </si>
  <si>
    <t>Annual Payment</t>
  </si>
  <si>
    <t>payment</t>
  </si>
  <si>
    <t>principle</t>
  </si>
  <si>
    <t>Ending debt</t>
  </si>
  <si>
    <t>Beginning Debt</t>
  </si>
  <si>
    <t>Equity schuedule</t>
  </si>
  <si>
    <t>Beginning Equity</t>
  </si>
  <si>
    <t>Capital Gain</t>
  </si>
  <si>
    <t>Dividends</t>
  </si>
  <si>
    <t>Net Income/loss</t>
  </si>
  <si>
    <t>Ending Equity</t>
  </si>
  <si>
    <t>Dividends % From Income</t>
  </si>
  <si>
    <t>EBITDA</t>
  </si>
  <si>
    <t>Net Cash From Operations</t>
  </si>
  <si>
    <t>Change in AR</t>
  </si>
  <si>
    <t>Change in Inventory</t>
  </si>
  <si>
    <t>Change in AP</t>
  </si>
  <si>
    <t>Change in Other Assets</t>
  </si>
  <si>
    <t>Change in Other Liabilities</t>
  </si>
  <si>
    <t>Operating Cash Flow</t>
  </si>
  <si>
    <t>Change in Financial Liabilities</t>
  </si>
  <si>
    <t>Change in Equity</t>
  </si>
  <si>
    <t>Net Cash Flow</t>
  </si>
  <si>
    <t>Ending Balance</t>
  </si>
  <si>
    <t>change in operating Activities</t>
  </si>
  <si>
    <t>change in  investing Activities</t>
  </si>
  <si>
    <t>change in financial Activities</t>
  </si>
  <si>
    <t>Beginning Balance</t>
  </si>
  <si>
    <t>Change in Provisions \Contingency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</si>
</sst>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_(&quot;$&quot;* #,##0_);_(&quot;$&quot;* \(#,##0\);_(&quot;$&quot;* &quot;-&quot;?_);_(@_)"/>
    <numFmt numFmtId="165" formatCode="0.0%"/>
    <numFmt numFmtId="166" formatCode="[$-409]mmm\-yy;@"/>
    <numFmt numFmtId="167" formatCode="_(&quot;$&quot;* #,##0_);_(&quot;$&quot;* \(#,##0\);_(&quot;$&quot;* &quot;-&quot;??_);_(@_)"/>
  </numFmts>
  <fonts count="2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2"/>
      <color theme="3" tint="-0.499984740745262"/>
      <name val="Calibri"/>
      <family val="2"/>
      <scheme val="minor"/>
    </font>
    <font>
      <b/>
      <sz val="11"/>
      <color theme="3" tint="-0.499984740745262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3" tint="-0.499984740745262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4"/>
      <color theme="3" tint="0.79998168889431442"/>
      <name val="Calibri"/>
      <family val="2"/>
      <scheme val="minor"/>
    </font>
    <font>
      <sz val="11"/>
      <color theme="3" tint="0.79998168889431442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2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u/>
      <sz val="22"/>
      <color theme="3" tint="-0.49998474074526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3" tint="-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theme="3" tint="0.79998168889431442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rgb="FF002060"/>
      </top>
      <bottom style="medium">
        <color rgb="FF002060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rgb="FF002060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theme="3" tint="-0.24994659260841701"/>
      </left>
      <right style="medium">
        <color theme="3" tint="-0.24994659260841701"/>
      </right>
      <top style="medium">
        <color theme="3" tint="-0.24994659260841701"/>
      </top>
      <bottom style="medium">
        <color theme="3" tint="-0.24994659260841701"/>
      </bottom>
      <diagonal/>
    </border>
    <border>
      <left style="medium">
        <color theme="3" tint="-0.24994659260841701"/>
      </left>
      <right style="medium">
        <color theme="3" tint="-0.24994659260841701"/>
      </right>
      <top style="medium">
        <color theme="3" tint="-0.24994659260841701"/>
      </top>
      <bottom/>
      <diagonal/>
    </border>
    <border>
      <left style="medium">
        <color theme="3" tint="-0.24994659260841701"/>
      </left>
      <right/>
      <top style="medium">
        <color theme="3" tint="-0.24994659260841701"/>
      </top>
      <bottom style="medium">
        <color theme="3" tint="-0.24994659260841701"/>
      </bottom>
      <diagonal/>
    </border>
    <border>
      <left/>
      <right style="medium">
        <color theme="3" tint="-0.24994659260841701"/>
      </right>
      <top style="medium">
        <color theme="3" tint="-0.24994659260841701"/>
      </top>
      <bottom style="medium">
        <color theme="3" tint="-0.24994659260841701"/>
      </bottom>
      <diagonal/>
    </border>
    <border>
      <left/>
      <right/>
      <top style="medium">
        <color theme="3" tint="-0.24994659260841701"/>
      </top>
      <bottom style="medium">
        <color theme="3" tint="-0.24994659260841701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theme="3" tint="-0.24994659260841701"/>
      </top>
      <bottom/>
      <diagonal/>
    </border>
    <border>
      <left/>
      <right style="medium">
        <color theme="3" tint="-0.24994659260841701"/>
      </right>
      <top style="medium">
        <color theme="3" tint="-0.24994659260841701"/>
      </top>
      <bottom/>
      <diagonal/>
    </border>
    <border>
      <left/>
      <right/>
      <top/>
      <bottom style="medium">
        <color theme="3" tint="-0.24994659260841701"/>
      </bottom>
      <diagonal/>
    </border>
    <border>
      <left/>
      <right style="medium">
        <color theme="3" tint="-0.24994659260841701"/>
      </right>
      <top/>
      <bottom style="medium">
        <color theme="3" tint="-0.2499465926084170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theme="3" tint="-0.499984740745262"/>
      </top>
      <bottom/>
      <diagonal/>
    </border>
    <border>
      <left/>
      <right/>
      <top/>
      <bottom style="medium">
        <color theme="3" tint="-0.499984740745262"/>
      </bottom>
      <diagonal/>
    </border>
    <border>
      <left/>
      <right/>
      <top/>
      <bottom style="medium">
        <color auto="1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1" fillId="0" borderId="7" applyNumberFormat="0" applyFill="0" applyAlignment="0" applyProtection="0"/>
  </cellStyleXfs>
  <cellXfs count="95">
    <xf numFmtId="0" fontId="0" fillId="0" borderId="0" xfId="0"/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0" borderId="0" xfId="0" applyFont="1"/>
    <xf numFmtId="0" fontId="5" fillId="0" borderId="0" xfId="0" applyFont="1"/>
    <xf numFmtId="0" fontId="7" fillId="2" borderId="0" xfId="0" applyFont="1" applyFill="1"/>
    <xf numFmtId="0" fontId="8" fillId="0" borderId="0" xfId="0" applyFont="1"/>
    <xf numFmtId="0" fontId="9" fillId="0" borderId="3" xfId="0" applyFont="1" applyBorder="1"/>
    <xf numFmtId="0" fontId="11" fillId="0" borderId="0" xfId="0" applyFont="1"/>
    <xf numFmtId="164" fontId="8" fillId="0" borderId="0" xfId="0" applyNumberFormat="1" applyFont="1"/>
    <xf numFmtId="164" fontId="10" fillId="0" borderId="3" xfId="0" applyNumberFormat="1" applyFont="1" applyBorder="1"/>
    <xf numFmtId="164" fontId="9" fillId="0" borderId="3" xfId="0" applyNumberFormat="1" applyFont="1" applyBorder="1"/>
    <xf numFmtId="0" fontId="7" fillId="0" borderId="0" xfId="0" applyFont="1"/>
    <xf numFmtId="0" fontId="9" fillId="0" borderId="4" xfId="0" applyFont="1" applyBorder="1"/>
    <xf numFmtId="164" fontId="10" fillId="0" borderId="4" xfId="0" applyNumberFormat="1" applyFont="1" applyBorder="1"/>
    <xf numFmtId="165" fontId="0" fillId="0" borderId="0" xfId="1" applyNumberFormat="1" applyFont="1"/>
    <xf numFmtId="165" fontId="4" fillId="0" borderId="3" xfId="1" applyNumberFormat="1" applyFont="1" applyFill="1" applyBorder="1"/>
    <xf numFmtId="165" fontId="4" fillId="0" borderId="5" xfId="1" applyNumberFormat="1" applyFont="1" applyFill="1" applyBorder="1"/>
    <xf numFmtId="0" fontId="12" fillId="3" borderId="0" xfId="0" applyFont="1" applyFill="1"/>
    <xf numFmtId="0" fontId="6" fillId="3" borderId="0" xfId="0" applyFont="1" applyFill="1"/>
    <xf numFmtId="0" fontId="0" fillId="3" borderId="0" xfId="0" applyFill="1"/>
    <xf numFmtId="165" fontId="10" fillId="3" borderId="0" xfId="0" applyNumberFormat="1" applyFont="1" applyFill="1"/>
    <xf numFmtId="0" fontId="10" fillId="3" borderId="0" xfId="0" applyFont="1" applyFill="1"/>
    <xf numFmtId="9" fontId="6" fillId="3" borderId="0" xfId="1" applyFont="1" applyFill="1"/>
    <xf numFmtId="9" fontId="10" fillId="3" borderId="0" xfId="0" applyNumberFormat="1" applyFont="1" applyFill="1"/>
    <xf numFmtId="165" fontId="4" fillId="0" borderId="0" xfId="1" applyNumberFormat="1" applyFont="1" applyFill="1" applyBorder="1"/>
    <xf numFmtId="164" fontId="10" fillId="0" borderId="0" xfId="0" applyNumberFormat="1" applyFont="1"/>
    <xf numFmtId="0" fontId="8" fillId="3" borderId="0" xfId="0" applyFont="1" applyFill="1"/>
    <xf numFmtId="165" fontId="8" fillId="3" borderId="0" xfId="1" applyNumberFormat="1" applyFont="1" applyFill="1"/>
    <xf numFmtId="165" fontId="8" fillId="3" borderId="0" xfId="0" applyNumberFormat="1" applyFont="1" applyFill="1"/>
    <xf numFmtId="0" fontId="14" fillId="2" borderId="0" xfId="0" applyFont="1" applyFill="1"/>
    <xf numFmtId="0" fontId="15" fillId="2" borderId="0" xfId="0" applyFont="1" applyFill="1"/>
    <xf numFmtId="0" fontId="13" fillId="2" borderId="0" xfId="0" applyFont="1" applyFill="1"/>
    <xf numFmtId="165" fontId="14" fillId="2" borderId="0" xfId="1" applyNumberFormat="1" applyFont="1" applyFill="1"/>
    <xf numFmtId="9" fontId="13" fillId="2" borderId="0" xfId="1" applyFont="1" applyFill="1"/>
    <xf numFmtId="9" fontId="14" fillId="2" borderId="0" xfId="0" applyNumberFormat="1" applyFont="1" applyFill="1"/>
    <xf numFmtId="0" fontId="16" fillId="3" borderId="0" xfId="0" applyFont="1" applyFill="1"/>
    <xf numFmtId="44" fontId="0" fillId="0" borderId="0" xfId="0" applyNumberFormat="1"/>
    <xf numFmtId="165" fontId="17" fillId="3" borderId="0" xfId="1" applyNumberFormat="1" applyFont="1" applyFill="1"/>
    <xf numFmtId="0" fontId="18" fillId="3" borderId="0" xfId="0" applyFont="1" applyFill="1"/>
    <xf numFmtId="165" fontId="18" fillId="3" borderId="0" xfId="0" applyNumberFormat="1" applyFont="1" applyFill="1"/>
    <xf numFmtId="0" fontId="10" fillId="0" borderId="6" xfId="0" applyFont="1" applyBorder="1" applyAlignment="1">
      <alignment horizontal="center" vertical="center"/>
    </xf>
    <xf numFmtId="0" fontId="0" fillId="2" borderId="0" xfId="0" applyFill="1"/>
    <xf numFmtId="0" fontId="22" fillId="2" borderId="8" xfId="0" applyFont="1" applyFill="1" applyBorder="1" applyAlignment="1">
      <alignment horizontal="left" vertical="top"/>
    </xf>
    <xf numFmtId="0" fontId="0" fillId="0" borderId="10" xfId="0" applyBorder="1"/>
    <xf numFmtId="0" fontId="19" fillId="0" borderId="10" xfId="0" applyFont="1" applyBorder="1" applyAlignment="1">
      <alignment horizontal="left" vertical="top"/>
    </xf>
    <xf numFmtId="0" fontId="19" fillId="0" borderId="10" xfId="0" applyFont="1" applyBorder="1"/>
    <xf numFmtId="166" fontId="20" fillId="2" borderId="9" xfId="0" applyNumberFormat="1" applyFont="1" applyFill="1" applyBorder="1"/>
    <xf numFmtId="0" fontId="24" fillId="0" borderId="0" xfId="0" applyFont="1"/>
    <xf numFmtId="0" fontId="1" fillId="0" borderId="7" xfId="2"/>
    <xf numFmtId="0" fontId="21" fillId="2" borderId="0" xfId="0" applyFont="1" applyFill="1"/>
    <xf numFmtId="0" fontId="20" fillId="2" borderId="10" xfId="0" applyFont="1" applyFill="1" applyBorder="1"/>
    <xf numFmtId="0" fontId="23" fillId="2" borderId="0" xfId="0" applyFont="1" applyFill="1"/>
    <xf numFmtId="0" fontId="9" fillId="0" borderId="0" xfId="0" applyFont="1" applyAlignment="1">
      <alignment horizontal="center" vertical="center"/>
    </xf>
    <xf numFmtId="166" fontId="4" fillId="0" borderId="12" xfId="0" applyNumberFormat="1" applyFont="1" applyBorder="1"/>
    <xf numFmtId="166" fontId="4" fillId="0" borderId="11" xfId="0" applyNumberFormat="1" applyFont="1" applyBorder="1"/>
    <xf numFmtId="167" fontId="0" fillId="0" borderId="0" xfId="0" applyNumberFormat="1"/>
    <xf numFmtId="167" fontId="1" fillId="0" borderId="7" xfId="2" applyNumberFormat="1"/>
    <xf numFmtId="165" fontId="0" fillId="0" borderId="0" xfId="0" applyNumberFormat="1"/>
    <xf numFmtId="165" fontId="0" fillId="0" borderId="14" xfId="1" applyNumberFormat="1" applyFont="1" applyBorder="1"/>
    <xf numFmtId="165" fontId="0" fillId="0" borderId="14" xfId="0" applyNumberFormat="1" applyBorder="1"/>
    <xf numFmtId="165" fontId="0" fillId="0" borderId="15" xfId="1" applyNumberFormat="1" applyFont="1" applyBorder="1"/>
    <xf numFmtId="165" fontId="0" fillId="0" borderId="16" xfId="1" applyNumberFormat="1" applyFont="1" applyBorder="1"/>
    <xf numFmtId="165" fontId="0" fillId="0" borderId="16" xfId="0" applyNumberFormat="1" applyBorder="1"/>
    <xf numFmtId="165" fontId="0" fillId="0" borderId="17" xfId="1" applyNumberFormat="1" applyFont="1" applyBorder="1"/>
    <xf numFmtId="1" fontId="0" fillId="0" borderId="12" xfId="0" applyNumberFormat="1" applyBorder="1" applyAlignment="1">
      <alignment horizontal="right" vertical="center"/>
    </xf>
    <xf numFmtId="1" fontId="0" fillId="0" borderId="11" xfId="0" applyNumberFormat="1" applyBorder="1" applyAlignment="1">
      <alignment horizontal="right" vertical="center"/>
    </xf>
    <xf numFmtId="1" fontId="0" fillId="0" borderId="10" xfId="0" applyNumberFormat="1" applyBorder="1" applyAlignment="1">
      <alignment horizontal="right"/>
    </xf>
    <xf numFmtId="1" fontId="0" fillId="0" borderId="12" xfId="0" applyNumberFormat="1" applyBorder="1" applyAlignment="1">
      <alignment horizontal="right"/>
    </xf>
    <xf numFmtId="1" fontId="0" fillId="0" borderId="11" xfId="0" applyNumberFormat="1" applyBorder="1" applyAlignment="1">
      <alignment horizontal="right"/>
    </xf>
    <xf numFmtId="0" fontId="6" fillId="0" borderId="0" xfId="0" applyFont="1"/>
    <xf numFmtId="0" fontId="1" fillId="0" borderId="7" xfId="2" applyFill="1"/>
    <xf numFmtId="1" fontId="0" fillId="0" borderId="0" xfId="0" applyNumberFormat="1"/>
    <xf numFmtId="1" fontId="1" fillId="0" borderId="7" xfId="2" applyNumberFormat="1"/>
    <xf numFmtId="0" fontId="25" fillId="0" borderId="0" xfId="0" applyFont="1"/>
    <xf numFmtId="9" fontId="0" fillId="0" borderId="0" xfId="0" applyNumberFormat="1"/>
    <xf numFmtId="6" fontId="0" fillId="0" borderId="0" xfId="0" applyNumberFormat="1"/>
    <xf numFmtId="0" fontId="26" fillId="0" borderId="13" xfId="0" applyFont="1" applyBorder="1"/>
    <xf numFmtId="0" fontId="26" fillId="0" borderId="18" xfId="0" applyFont="1" applyBorder="1"/>
    <xf numFmtId="8" fontId="0" fillId="0" borderId="13" xfId="0" applyNumberFormat="1" applyBorder="1"/>
    <xf numFmtId="44" fontId="0" fillId="0" borderId="13" xfId="0" applyNumberFormat="1" applyBorder="1"/>
    <xf numFmtId="44" fontId="0" fillId="0" borderId="18" xfId="0" applyNumberFormat="1" applyBorder="1"/>
    <xf numFmtId="0" fontId="6" fillId="0" borderId="20" xfId="0" applyFont="1" applyBorder="1"/>
    <xf numFmtId="0" fontId="1" fillId="0" borderId="0" xfId="0" applyFont="1" applyAlignment="1">
      <alignment horizontal="center" vertical="top"/>
    </xf>
    <xf numFmtId="0" fontId="6" fillId="0" borderId="19" xfId="0" applyFont="1" applyBorder="1"/>
    <xf numFmtId="0" fontId="24" fillId="0" borderId="21" xfId="0" applyFont="1" applyBorder="1"/>
    <xf numFmtId="44" fontId="25" fillId="0" borderId="20" xfId="0" applyNumberFormat="1" applyFont="1" applyBorder="1"/>
    <xf numFmtId="44" fontId="0" fillId="0" borderId="19" xfId="0" applyNumberFormat="1" applyBorder="1"/>
    <xf numFmtId="44" fontId="1" fillId="0" borderId="19" xfId="0" applyNumberFormat="1" applyFont="1" applyBorder="1"/>
    <xf numFmtId="44" fontId="21" fillId="2" borderId="0" xfId="0" applyNumberFormat="1" applyFont="1" applyFill="1"/>
    <xf numFmtId="44" fontId="20" fillId="2" borderId="0" xfId="0" applyNumberFormat="1" applyFont="1" applyFill="1"/>
    <xf numFmtId="0" fontId="13" fillId="2" borderId="0" xfId="0" applyFont="1" applyFill="1" applyAlignment="1">
      <alignment horizontal="center" vertical="center"/>
    </xf>
    <xf numFmtId="0" fontId="20" fillId="2" borderId="0" xfId="0" applyFont="1" applyFill="1" applyAlignment="1">
      <alignment horizontal="center" vertical="center" wrapText="1"/>
    </xf>
    <xf numFmtId="0" fontId="20" fillId="2" borderId="0" xfId="0" applyFont="1" applyFill="1" applyAlignment="1">
      <alignment horizontal="center" wrapText="1"/>
    </xf>
  </cellXfs>
  <cellStyles count="3">
    <cellStyle name="Normal" xfId="0" builtinId="0"/>
    <cellStyle name="Percent" xfId="1" builtinId="5"/>
    <cellStyle name="Total" xfId="2" builtinId="2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0</xdr:row>
      <xdr:rowOff>22860</xdr:rowOff>
    </xdr:from>
    <xdr:to>
      <xdr:col>19</xdr:col>
      <xdr:colOff>502920</xdr:colOff>
      <xdr:row>25</xdr:row>
      <xdr:rowOff>121920</xdr:rowOff>
    </xdr:to>
    <xdr:grpSp>
      <xdr:nvGrpSpPr>
        <xdr:cNvPr id="10" name="Group 9">
          <a:extLst>
            <a:ext uri="{FF2B5EF4-FFF2-40B4-BE49-F238E27FC236}">
              <a16:creationId xmlns:a16="http://schemas.microsoft.com/office/drawing/2014/main" id="{406CD796-D771-93DA-56E5-5BB850985D1E}"/>
            </a:ext>
          </a:extLst>
        </xdr:cNvPr>
        <xdr:cNvGrpSpPr/>
      </xdr:nvGrpSpPr>
      <xdr:grpSpPr>
        <a:xfrm flipH="1">
          <a:off x="10972800" y="22860"/>
          <a:ext cx="1112520" cy="4671060"/>
          <a:chOff x="11430" y="22860"/>
          <a:chExt cx="1112520" cy="4671060"/>
        </a:xfrm>
      </xdr:grpSpPr>
      <xdr:sp macro="" textlink="">
        <xdr:nvSpPr>
          <xdr:cNvPr id="3" name="Rectangle: Rounded Corners 2">
            <a:extLst>
              <a:ext uri="{FF2B5EF4-FFF2-40B4-BE49-F238E27FC236}">
                <a16:creationId xmlns:a16="http://schemas.microsoft.com/office/drawing/2014/main" id="{0E037F5C-436E-DD30-C56C-91899F2C64C1}"/>
              </a:ext>
            </a:extLst>
          </xdr:cNvPr>
          <xdr:cNvSpPr/>
        </xdr:nvSpPr>
        <xdr:spPr>
          <a:xfrm>
            <a:off x="11430" y="22860"/>
            <a:ext cx="1112520" cy="914400"/>
          </a:xfrm>
          <a:prstGeom prst="roundRect">
            <a:avLst/>
          </a:prstGeom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600" b="1"/>
              <a:t>Fixed Asset forward</a:t>
            </a:r>
          </a:p>
        </xdr:txBody>
      </xdr:sp>
      <xdr:sp macro="" textlink="">
        <xdr:nvSpPr>
          <xdr:cNvPr id="6" name="Rectangle: Rounded Corners 5">
            <a:extLst>
              <a:ext uri="{FF2B5EF4-FFF2-40B4-BE49-F238E27FC236}">
                <a16:creationId xmlns:a16="http://schemas.microsoft.com/office/drawing/2014/main" id="{89D2B21C-DC9C-4873-6463-75582FF1C78C}"/>
              </a:ext>
            </a:extLst>
          </xdr:cNvPr>
          <xdr:cNvSpPr/>
        </xdr:nvSpPr>
        <xdr:spPr>
          <a:xfrm>
            <a:off x="11430" y="3779520"/>
            <a:ext cx="1112520" cy="914400"/>
          </a:xfrm>
          <a:prstGeom prst="roundRect">
            <a:avLst/>
          </a:prstGeom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600" b="1"/>
              <a:t>Cash Flow </a:t>
            </a:r>
          </a:p>
        </xdr:txBody>
      </xdr:sp>
      <xdr:sp macro="" textlink="">
        <xdr:nvSpPr>
          <xdr:cNvPr id="7" name="Rectangle: Rounded Corners 6">
            <a:extLst>
              <a:ext uri="{FF2B5EF4-FFF2-40B4-BE49-F238E27FC236}">
                <a16:creationId xmlns:a16="http://schemas.microsoft.com/office/drawing/2014/main" id="{AB1528AE-9686-8E3A-7B50-CE321663FD6F}"/>
              </a:ext>
            </a:extLst>
          </xdr:cNvPr>
          <xdr:cNvSpPr/>
        </xdr:nvSpPr>
        <xdr:spPr>
          <a:xfrm>
            <a:off x="11430" y="1325880"/>
            <a:ext cx="1112520" cy="914400"/>
          </a:xfrm>
          <a:prstGeom prst="roundRect">
            <a:avLst/>
          </a:prstGeom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600" b="1"/>
              <a:t>Finanical liabilities schedule</a:t>
            </a:r>
          </a:p>
        </xdr:txBody>
      </xdr:sp>
      <xdr:sp macro="" textlink="">
        <xdr:nvSpPr>
          <xdr:cNvPr id="8" name="Rectangle: Rounded Corners 7">
            <a:extLst>
              <a:ext uri="{FF2B5EF4-FFF2-40B4-BE49-F238E27FC236}">
                <a16:creationId xmlns:a16="http://schemas.microsoft.com/office/drawing/2014/main" id="{9E224579-C5E1-C25D-E74B-F54367EF8603}"/>
              </a:ext>
            </a:extLst>
          </xdr:cNvPr>
          <xdr:cNvSpPr/>
        </xdr:nvSpPr>
        <xdr:spPr>
          <a:xfrm>
            <a:off x="11430" y="2545080"/>
            <a:ext cx="1112520" cy="914400"/>
          </a:xfrm>
          <a:prstGeom prst="roundRect">
            <a:avLst/>
          </a:prstGeom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600" b="1"/>
              <a:t>Equity schuedule</a:t>
            </a:r>
          </a:p>
        </xdr:txBody>
      </xdr:sp>
    </xdr:grpSp>
    <xdr:clientData/>
  </xdr:twoCellAnchor>
  <xdr:twoCellAnchor>
    <xdr:from>
      <xdr:col>21</xdr:col>
      <xdr:colOff>403860</xdr:colOff>
      <xdr:row>0</xdr:row>
      <xdr:rowOff>22860</xdr:rowOff>
    </xdr:from>
    <xdr:to>
      <xdr:col>23</xdr:col>
      <xdr:colOff>297180</xdr:colOff>
      <xdr:row>25</xdr:row>
      <xdr:rowOff>121920</xdr:rowOff>
    </xdr:to>
    <xdr:grpSp>
      <xdr:nvGrpSpPr>
        <xdr:cNvPr id="11" name="Group 10">
          <a:extLst>
            <a:ext uri="{FF2B5EF4-FFF2-40B4-BE49-F238E27FC236}">
              <a16:creationId xmlns:a16="http://schemas.microsoft.com/office/drawing/2014/main" id="{5659DCBA-F47D-FBC0-86F3-4EFC1F488AE1}"/>
            </a:ext>
          </a:extLst>
        </xdr:cNvPr>
        <xdr:cNvGrpSpPr/>
      </xdr:nvGrpSpPr>
      <xdr:grpSpPr>
        <a:xfrm flipH="1">
          <a:off x="13205460" y="22860"/>
          <a:ext cx="1112520" cy="4671060"/>
          <a:chOff x="11430" y="22860"/>
          <a:chExt cx="1112520" cy="4671060"/>
        </a:xfrm>
      </xdr:grpSpPr>
      <xdr:sp macro="" textlink="">
        <xdr:nvSpPr>
          <xdr:cNvPr id="12" name="Rectangle: Rounded Corners 11">
            <a:extLst>
              <a:ext uri="{FF2B5EF4-FFF2-40B4-BE49-F238E27FC236}">
                <a16:creationId xmlns:a16="http://schemas.microsoft.com/office/drawing/2014/main" id="{027D0964-AE2F-C48A-C624-5852B84EF36F}"/>
              </a:ext>
            </a:extLst>
          </xdr:cNvPr>
          <xdr:cNvSpPr/>
        </xdr:nvSpPr>
        <xdr:spPr>
          <a:xfrm>
            <a:off x="11430" y="22860"/>
            <a:ext cx="1112520" cy="914400"/>
          </a:xfrm>
          <a:prstGeom prst="roundRect">
            <a:avLst/>
          </a:prstGeom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600" b="1"/>
              <a:t>Income - Accounts</a:t>
            </a:r>
          </a:p>
        </xdr:txBody>
      </xdr:sp>
      <xdr:sp macro="" textlink="">
        <xdr:nvSpPr>
          <xdr:cNvPr id="13" name="Rectangle: Rounded Corners 12">
            <a:extLst>
              <a:ext uri="{FF2B5EF4-FFF2-40B4-BE49-F238E27FC236}">
                <a16:creationId xmlns:a16="http://schemas.microsoft.com/office/drawing/2014/main" id="{1CF3507F-0243-CD3E-437D-87C680353461}"/>
              </a:ext>
            </a:extLst>
          </xdr:cNvPr>
          <xdr:cNvSpPr/>
        </xdr:nvSpPr>
        <xdr:spPr>
          <a:xfrm>
            <a:off x="11430" y="3779520"/>
            <a:ext cx="1112520" cy="914400"/>
          </a:xfrm>
          <a:prstGeom prst="roundRect">
            <a:avLst/>
          </a:prstGeom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600" b="1"/>
              <a:t>BS</a:t>
            </a:r>
          </a:p>
        </xdr:txBody>
      </xdr:sp>
      <xdr:sp macro="" textlink="">
        <xdr:nvSpPr>
          <xdr:cNvPr id="14" name="Rectangle: Rounded Corners 13">
            <a:extLst>
              <a:ext uri="{FF2B5EF4-FFF2-40B4-BE49-F238E27FC236}">
                <a16:creationId xmlns:a16="http://schemas.microsoft.com/office/drawing/2014/main" id="{8FD08854-EA05-7A78-C025-5927725D0256}"/>
              </a:ext>
            </a:extLst>
          </xdr:cNvPr>
          <xdr:cNvSpPr/>
        </xdr:nvSpPr>
        <xdr:spPr>
          <a:xfrm>
            <a:off x="11430" y="1325880"/>
            <a:ext cx="1112520" cy="914400"/>
          </a:xfrm>
          <a:prstGeom prst="roundRect">
            <a:avLst/>
          </a:prstGeom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600" b="1"/>
              <a:t>Balance sheet</a:t>
            </a:r>
          </a:p>
        </xdr:txBody>
      </xdr:sp>
      <xdr:sp macro="" textlink="">
        <xdr:nvSpPr>
          <xdr:cNvPr id="15" name="Rectangle: Rounded Corners 14">
            <a:extLst>
              <a:ext uri="{FF2B5EF4-FFF2-40B4-BE49-F238E27FC236}">
                <a16:creationId xmlns:a16="http://schemas.microsoft.com/office/drawing/2014/main" id="{5758F409-E7E6-BEB6-012B-90B1FCE3B8D2}"/>
              </a:ext>
            </a:extLst>
          </xdr:cNvPr>
          <xdr:cNvSpPr/>
        </xdr:nvSpPr>
        <xdr:spPr>
          <a:xfrm>
            <a:off x="11430" y="2545080"/>
            <a:ext cx="1112520" cy="914400"/>
          </a:xfrm>
          <a:prstGeom prst="roundRect">
            <a:avLst/>
          </a:prstGeom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600" b="1"/>
              <a:t>P&amp;L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24E66-8625-447F-B4F8-6948A7266D46}">
  <dimension ref="A1"/>
  <sheetViews>
    <sheetView showGridLines="0" showRowColHeaders="0" tabSelected="1" workbookViewId="0">
      <selection activeCell="O18" sqref="O18"/>
    </sheetView>
  </sheetViews>
  <sheetFormatPr defaultRowHeight="14.4" x14ac:dyDescent="0.3"/>
  <cols>
    <col min="1" max="16384" width="8.88671875" style="43"/>
  </cols>
  <sheetData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7"/>
  <sheetViews>
    <sheetView zoomScale="138" workbookViewId="0">
      <selection activeCell="G13" sqref="G13"/>
    </sheetView>
  </sheetViews>
  <sheetFormatPr defaultRowHeight="14.4" x14ac:dyDescent="0.3"/>
  <cols>
    <col min="1" max="1" width="18.33203125" style="3" bestFit="1" customWidth="1"/>
    <col min="2" max="2" width="17" style="3" bestFit="1" customWidth="1"/>
    <col min="3" max="3" width="10.21875" style="3" bestFit="1" customWidth="1"/>
    <col min="4" max="4" width="11" style="3" bestFit="1" customWidth="1"/>
    <col min="5" max="5" width="8.33203125" style="3" customWidth="1"/>
  </cols>
  <sheetData>
    <row r="1" spans="1:5" x14ac:dyDescent="0.3">
      <c r="A1" s="1" t="s">
        <v>33</v>
      </c>
      <c r="B1" s="1" t="s">
        <v>0</v>
      </c>
      <c r="C1" s="1" t="s">
        <v>1</v>
      </c>
      <c r="D1" s="1" t="s">
        <v>2</v>
      </c>
      <c r="E1" s="2" t="s">
        <v>32</v>
      </c>
    </row>
    <row r="2" spans="1:5" x14ac:dyDescent="0.3">
      <c r="A2" s="3" t="s">
        <v>3</v>
      </c>
      <c r="B2" s="3" t="s">
        <v>3</v>
      </c>
      <c r="C2" s="3">
        <v>215730</v>
      </c>
      <c r="D2" s="3" t="s">
        <v>68</v>
      </c>
      <c r="E2" s="3" t="str">
        <f>RIGHT(D2,4)</f>
        <v>2023</v>
      </c>
    </row>
    <row r="3" spans="1:5" x14ac:dyDescent="0.3">
      <c r="A3" s="3" t="s">
        <v>4</v>
      </c>
      <c r="B3" s="3" t="s">
        <v>4</v>
      </c>
      <c r="C3" s="3">
        <v>41293370</v>
      </c>
      <c r="D3" s="3" t="s">
        <v>69</v>
      </c>
      <c r="E3" s="3" t="str">
        <f t="shared" ref="E3:E52" si="0">RIGHT(D3,4)</f>
        <v>2023</v>
      </c>
    </row>
    <row r="4" spans="1:5" x14ac:dyDescent="0.3">
      <c r="A4" s="3" t="s">
        <v>4</v>
      </c>
      <c r="B4" s="3" t="s">
        <v>4</v>
      </c>
      <c r="C4" s="3">
        <v>2815635</v>
      </c>
      <c r="D4" s="3" t="s">
        <v>41</v>
      </c>
      <c r="E4" s="3" t="str">
        <f t="shared" si="0"/>
        <v>2022</v>
      </c>
    </row>
    <row r="5" spans="1:5" x14ac:dyDescent="0.3">
      <c r="A5" s="3" t="s">
        <v>5</v>
      </c>
      <c r="B5" s="3" t="s">
        <v>5</v>
      </c>
      <c r="C5" s="3">
        <v>2708636</v>
      </c>
      <c r="D5" s="3" t="s">
        <v>42</v>
      </c>
      <c r="E5" s="3" t="str">
        <f t="shared" si="0"/>
        <v>2022</v>
      </c>
    </row>
    <row r="6" spans="1:5" x14ac:dyDescent="0.3">
      <c r="A6" s="3" t="s">
        <v>5</v>
      </c>
      <c r="B6" s="3" t="s">
        <v>5</v>
      </c>
      <c r="C6" s="3">
        <v>2138844</v>
      </c>
      <c r="D6" s="3" t="s">
        <v>43</v>
      </c>
      <c r="E6" s="3" t="str">
        <f t="shared" si="0"/>
        <v>2022</v>
      </c>
    </row>
    <row r="7" spans="1:5" x14ac:dyDescent="0.3">
      <c r="A7" s="3" t="s">
        <v>5</v>
      </c>
      <c r="B7" s="3" t="s">
        <v>5</v>
      </c>
      <c r="C7" s="3">
        <v>1862041</v>
      </c>
      <c r="D7" s="3" t="s">
        <v>70</v>
      </c>
      <c r="E7" s="3" t="str">
        <f t="shared" si="0"/>
        <v>2023</v>
      </c>
    </row>
    <row r="8" spans="1:5" x14ac:dyDescent="0.3">
      <c r="A8" s="3" t="s">
        <v>4</v>
      </c>
      <c r="B8" s="3" t="s">
        <v>4</v>
      </c>
      <c r="C8" s="3">
        <v>35358610</v>
      </c>
      <c r="D8" s="3" t="s">
        <v>44</v>
      </c>
      <c r="E8" s="3" t="str">
        <f t="shared" si="0"/>
        <v>2022</v>
      </c>
    </row>
    <row r="9" spans="1:5" x14ac:dyDescent="0.3">
      <c r="A9" s="3" t="s">
        <v>4</v>
      </c>
      <c r="B9" s="3" t="s">
        <v>4</v>
      </c>
      <c r="C9" s="3">
        <v>49606980</v>
      </c>
      <c r="D9" s="3" t="s">
        <v>45</v>
      </c>
      <c r="E9" s="3" t="str">
        <f t="shared" si="0"/>
        <v>2022</v>
      </c>
    </row>
    <row r="10" spans="1:5" x14ac:dyDescent="0.3">
      <c r="A10" s="3" t="s">
        <v>6</v>
      </c>
      <c r="B10" s="3" t="s">
        <v>6</v>
      </c>
      <c r="C10" s="3">
        <v>3897812</v>
      </c>
      <c r="D10" s="3" t="s">
        <v>71</v>
      </c>
      <c r="E10" s="3" t="str">
        <f t="shared" si="0"/>
        <v>2023</v>
      </c>
    </row>
    <row r="11" spans="1:5" x14ac:dyDescent="0.3">
      <c r="A11" s="3" t="s">
        <v>6</v>
      </c>
      <c r="B11" s="3" t="s">
        <v>6</v>
      </c>
      <c r="C11" s="3">
        <v>201578</v>
      </c>
      <c r="D11" s="3" t="s">
        <v>64</v>
      </c>
      <c r="E11" s="3" t="str">
        <f t="shared" si="0"/>
        <v>2024</v>
      </c>
    </row>
    <row r="12" spans="1:5" x14ac:dyDescent="0.3">
      <c r="A12" s="3" t="s">
        <v>7</v>
      </c>
      <c r="B12" s="3" t="s">
        <v>7</v>
      </c>
      <c r="C12" s="3">
        <v>1726554</v>
      </c>
      <c r="D12" s="3" t="s">
        <v>46</v>
      </c>
      <c r="E12" s="3" t="str">
        <f t="shared" si="0"/>
        <v>2023</v>
      </c>
    </row>
    <row r="13" spans="1:5" x14ac:dyDescent="0.3">
      <c r="A13" s="3" t="s">
        <v>5</v>
      </c>
      <c r="B13" s="3" t="s">
        <v>5</v>
      </c>
      <c r="C13" s="3">
        <v>3521303</v>
      </c>
      <c r="D13" s="3" t="s">
        <v>65</v>
      </c>
      <c r="E13" s="3" t="str">
        <f t="shared" si="0"/>
        <v>2024</v>
      </c>
    </row>
    <row r="14" spans="1:5" x14ac:dyDescent="0.3">
      <c r="A14" s="3" t="s">
        <v>4</v>
      </c>
      <c r="B14" s="3" t="s">
        <v>4</v>
      </c>
      <c r="C14" s="3">
        <v>16780280</v>
      </c>
      <c r="D14" s="3" t="s">
        <v>47</v>
      </c>
      <c r="E14" s="3" t="str">
        <f t="shared" si="0"/>
        <v>2023</v>
      </c>
    </row>
    <row r="15" spans="1:5" x14ac:dyDescent="0.3">
      <c r="A15" s="3" t="s">
        <v>4</v>
      </c>
      <c r="B15" s="3" t="s">
        <v>4</v>
      </c>
      <c r="C15" s="3">
        <v>44607200</v>
      </c>
      <c r="D15" s="3" t="s">
        <v>66</v>
      </c>
      <c r="E15" s="3" t="str">
        <f t="shared" si="0"/>
        <v>2024</v>
      </c>
    </row>
    <row r="16" spans="1:5" x14ac:dyDescent="0.3">
      <c r="A16" s="3" t="s">
        <v>6</v>
      </c>
      <c r="B16" s="3" t="s">
        <v>6</v>
      </c>
      <c r="C16" s="3">
        <v>398144</v>
      </c>
      <c r="D16" s="3" t="s">
        <v>48</v>
      </c>
      <c r="E16" s="3" t="str">
        <f t="shared" si="0"/>
        <v>2024</v>
      </c>
    </row>
    <row r="17" spans="1:5" x14ac:dyDescent="0.3">
      <c r="A17" s="3" t="s">
        <v>5</v>
      </c>
      <c r="B17" s="3" t="s">
        <v>5</v>
      </c>
      <c r="C17" s="3">
        <v>2451049</v>
      </c>
      <c r="D17" s="3" t="s">
        <v>49</v>
      </c>
      <c r="E17" s="3" t="str">
        <f t="shared" si="0"/>
        <v>2024</v>
      </c>
    </row>
    <row r="18" spans="1:5" x14ac:dyDescent="0.3">
      <c r="A18" s="3" t="s">
        <v>3</v>
      </c>
      <c r="B18" s="3" t="s">
        <v>3</v>
      </c>
      <c r="C18" s="3">
        <v>3252294</v>
      </c>
      <c r="D18" s="3" t="s">
        <v>50</v>
      </c>
      <c r="E18" s="3" t="str">
        <f t="shared" si="0"/>
        <v>2024</v>
      </c>
    </row>
    <row r="19" spans="1:5" x14ac:dyDescent="0.3">
      <c r="A19" s="3" t="s">
        <v>7</v>
      </c>
      <c r="B19" s="3" t="s">
        <v>7</v>
      </c>
      <c r="C19" s="3">
        <v>3126306</v>
      </c>
      <c r="D19" s="3" t="s">
        <v>80</v>
      </c>
      <c r="E19" s="3" t="str">
        <f>RIGHT(D19,4)</f>
        <v>2023</v>
      </c>
    </row>
    <row r="20" spans="1:5" x14ac:dyDescent="0.3">
      <c r="A20" s="3" t="s">
        <v>5</v>
      </c>
      <c r="B20" s="3" t="s">
        <v>5</v>
      </c>
      <c r="C20" s="3">
        <v>4896994</v>
      </c>
      <c r="D20" s="3" t="s">
        <v>51</v>
      </c>
      <c r="E20" s="3" t="str">
        <f t="shared" si="0"/>
        <v>2024</v>
      </c>
    </row>
    <row r="21" spans="1:5" x14ac:dyDescent="0.3">
      <c r="A21" s="3" t="s">
        <v>3</v>
      </c>
      <c r="B21" s="3" t="s">
        <v>3</v>
      </c>
      <c r="C21" s="3">
        <v>4440347</v>
      </c>
      <c r="D21" s="3" t="s">
        <v>52</v>
      </c>
      <c r="E21" s="3" t="str">
        <f t="shared" si="0"/>
        <v>2024</v>
      </c>
    </row>
    <row r="22" spans="1:5" x14ac:dyDescent="0.3">
      <c r="A22" s="3" t="s">
        <v>4</v>
      </c>
      <c r="B22" s="3" t="s">
        <v>4</v>
      </c>
      <c r="C22" s="3">
        <v>34866600</v>
      </c>
      <c r="D22" s="3" t="s">
        <v>53</v>
      </c>
      <c r="E22" s="3" t="str">
        <f t="shared" si="0"/>
        <v>2024</v>
      </c>
    </row>
    <row r="23" spans="1:5" x14ac:dyDescent="0.3">
      <c r="A23" s="3" t="s">
        <v>5</v>
      </c>
      <c r="B23" s="3" t="s">
        <v>5</v>
      </c>
      <c r="C23" s="3">
        <v>1083768</v>
      </c>
      <c r="D23" s="3" t="s">
        <v>54</v>
      </c>
      <c r="E23" s="3" t="str">
        <f t="shared" si="0"/>
        <v>2024</v>
      </c>
    </row>
    <row r="24" spans="1:5" x14ac:dyDescent="0.3">
      <c r="A24" s="3" t="s">
        <v>4</v>
      </c>
      <c r="B24" s="3" t="s">
        <v>4</v>
      </c>
      <c r="C24" s="3">
        <v>28039110</v>
      </c>
      <c r="D24" s="3" t="s">
        <v>55</v>
      </c>
      <c r="E24" s="3" t="str">
        <f t="shared" si="0"/>
        <v>2024</v>
      </c>
    </row>
    <row r="25" spans="1:5" x14ac:dyDescent="0.3">
      <c r="A25" s="3" t="s">
        <v>7</v>
      </c>
      <c r="B25" s="3" t="s">
        <v>7</v>
      </c>
      <c r="C25" s="3">
        <v>799080</v>
      </c>
      <c r="D25" s="3" t="s">
        <v>56</v>
      </c>
      <c r="E25" s="3" t="str">
        <f t="shared" si="0"/>
        <v>2024</v>
      </c>
    </row>
    <row r="26" spans="1:5" x14ac:dyDescent="0.3">
      <c r="A26" s="3" t="s">
        <v>7</v>
      </c>
      <c r="B26" s="3" t="s">
        <v>7</v>
      </c>
      <c r="C26" s="3">
        <v>826650</v>
      </c>
      <c r="D26" s="3" t="s">
        <v>57</v>
      </c>
      <c r="E26" s="3" t="str">
        <f t="shared" si="0"/>
        <v>2023</v>
      </c>
    </row>
    <row r="27" spans="1:5" x14ac:dyDescent="0.3">
      <c r="A27" s="3" t="s">
        <v>3</v>
      </c>
      <c r="B27" s="3" t="s">
        <v>3</v>
      </c>
      <c r="C27" s="3">
        <v>274315</v>
      </c>
      <c r="D27" s="3" t="s">
        <v>72</v>
      </c>
      <c r="E27" s="3" t="str">
        <f t="shared" si="0"/>
        <v>2023</v>
      </c>
    </row>
    <row r="28" spans="1:5" x14ac:dyDescent="0.3">
      <c r="A28" s="3" t="s">
        <v>7</v>
      </c>
      <c r="B28" s="3" t="s">
        <v>7</v>
      </c>
      <c r="C28" s="3">
        <v>1720927</v>
      </c>
      <c r="D28" s="3" t="s">
        <v>73</v>
      </c>
      <c r="E28" s="3" t="str">
        <f t="shared" si="0"/>
        <v>2023</v>
      </c>
    </row>
    <row r="29" spans="1:5" x14ac:dyDescent="0.3">
      <c r="A29" s="3" t="s">
        <v>3</v>
      </c>
      <c r="B29" s="3" t="s">
        <v>3</v>
      </c>
      <c r="C29" s="3">
        <v>3613773</v>
      </c>
      <c r="D29" s="3" t="s">
        <v>74</v>
      </c>
      <c r="E29" s="3" t="str">
        <f t="shared" si="0"/>
        <v>2023</v>
      </c>
    </row>
    <row r="30" spans="1:5" x14ac:dyDescent="0.3">
      <c r="A30" s="3" t="s">
        <v>5</v>
      </c>
      <c r="B30" s="3" t="s">
        <v>5</v>
      </c>
      <c r="C30" s="3">
        <v>1306017</v>
      </c>
      <c r="D30" s="3" t="s">
        <v>75</v>
      </c>
      <c r="E30" s="3" t="str">
        <f t="shared" si="0"/>
        <v>2023</v>
      </c>
    </row>
    <row r="31" spans="1:5" x14ac:dyDescent="0.3">
      <c r="A31" s="3" t="s">
        <v>4</v>
      </c>
      <c r="B31" s="3" t="s">
        <v>4</v>
      </c>
      <c r="C31" s="3">
        <v>17463260</v>
      </c>
      <c r="D31" s="3" t="s">
        <v>76</v>
      </c>
      <c r="E31" s="3" t="str">
        <f t="shared" si="0"/>
        <v>2023</v>
      </c>
    </row>
    <row r="32" spans="1:5" x14ac:dyDescent="0.3">
      <c r="A32" s="3" t="s">
        <v>5</v>
      </c>
      <c r="B32" s="3" t="s">
        <v>5</v>
      </c>
      <c r="C32" s="3">
        <v>930100</v>
      </c>
      <c r="D32" s="3" t="s">
        <v>77</v>
      </c>
      <c r="E32" s="3" t="str">
        <f t="shared" si="0"/>
        <v>2023</v>
      </c>
    </row>
    <row r="33" spans="1:5" x14ac:dyDescent="0.3">
      <c r="A33" s="3" t="s">
        <v>3</v>
      </c>
      <c r="B33" s="3" t="s">
        <v>3</v>
      </c>
      <c r="C33" s="3">
        <v>1015498</v>
      </c>
      <c r="D33" s="3" t="s">
        <v>18</v>
      </c>
      <c r="E33" s="3" t="str">
        <f t="shared" si="0"/>
        <v>2023</v>
      </c>
    </row>
    <row r="34" spans="1:5" x14ac:dyDescent="0.3">
      <c r="A34" s="3" t="s">
        <v>7</v>
      </c>
      <c r="B34" s="3" t="s">
        <v>7</v>
      </c>
      <c r="C34" s="3">
        <v>2994280</v>
      </c>
      <c r="D34" s="3" t="s">
        <v>19</v>
      </c>
      <c r="E34" s="3" t="str">
        <f t="shared" si="0"/>
        <v>2023</v>
      </c>
    </row>
    <row r="35" spans="1:5" x14ac:dyDescent="0.3">
      <c r="A35" s="3" t="s">
        <v>4</v>
      </c>
      <c r="B35" s="3" t="s">
        <v>4</v>
      </c>
      <c r="C35" s="3">
        <v>6693340</v>
      </c>
      <c r="D35" s="3" t="s">
        <v>94</v>
      </c>
      <c r="E35" s="3" t="str">
        <f t="shared" si="0"/>
        <v>2022</v>
      </c>
    </row>
    <row r="36" spans="1:5" x14ac:dyDescent="0.3">
      <c r="A36" s="3" t="s">
        <v>6</v>
      </c>
      <c r="B36" s="3" t="s">
        <v>6</v>
      </c>
      <c r="C36" s="3">
        <v>550986</v>
      </c>
      <c r="D36" s="3" t="s">
        <v>21</v>
      </c>
      <c r="E36" s="3" t="str">
        <f t="shared" si="0"/>
        <v>2023</v>
      </c>
    </row>
    <row r="37" spans="1:5" x14ac:dyDescent="0.3">
      <c r="A37" s="3" t="s">
        <v>6</v>
      </c>
      <c r="B37" s="3" t="s">
        <v>6</v>
      </c>
      <c r="C37" s="3">
        <v>3848483</v>
      </c>
      <c r="D37" s="3" t="s">
        <v>99</v>
      </c>
      <c r="E37" s="3" t="str">
        <f t="shared" si="0"/>
        <v>2022</v>
      </c>
    </row>
    <row r="38" spans="1:5" x14ac:dyDescent="0.3">
      <c r="A38" s="3" t="s">
        <v>7</v>
      </c>
      <c r="B38" s="3" t="s">
        <v>7</v>
      </c>
      <c r="C38" s="3">
        <v>4842590</v>
      </c>
      <c r="D38" s="3" t="s">
        <v>81</v>
      </c>
      <c r="E38" s="3" t="str">
        <f t="shared" si="0"/>
        <v>2022</v>
      </c>
    </row>
    <row r="39" spans="1:5" x14ac:dyDescent="0.3">
      <c r="A39" s="3" t="s">
        <v>5</v>
      </c>
      <c r="B39" s="3" t="s">
        <v>5</v>
      </c>
      <c r="C39" s="3">
        <v>1524001</v>
      </c>
      <c r="D39" s="3" t="s">
        <v>22</v>
      </c>
      <c r="E39" s="3" t="str">
        <f t="shared" si="0"/>
        <v>2024</v>
      </c>
    </row>
    <row r="40" spans="1:5" x14ac:dyDescent="0.3">
      <c r="A40" s="3" t="s">
        <v>3</v>
      </c>
      <c r="B40" s="3" t="s">
        <v>3</v>
      </c>
      <c r="C40" s="3">
        <v>3807295</v>
      </c>
      <c r="D40" s="3" t="s">
        <v>23</v>
      </c>
      <c r="E40" s="3" t="str">
        <f t="shared" si="0"/>
        <v>2024</v>
      </c>
    </row>
    <row r="41" spans="1:5" x14ac:dyDescent="0.3">
      <c r="A41" s="3" t="s">
        <v>7</v>
      </c>
      <c r="B41" s="3" t="s">
        <v>7</v>
      </c>
      <c r="C41" s="3">
        <v>4322693</v>
      </c>
      <c r="D41" s="3" t="s">
        <v>83</v>
      </c>
      <c r="E41" s="3" t="str">
        <f t="shared" si="0"/>
        <v>2022</v>
      </c>
    </row>
    <row r="42" spans="1:5" x14ac:dyDescent="0.3">
      <c r="A42" s="3" t="s">
        <v>3</v>
      </c>
      <c r="B42" s="3" t="s">
        <v>3</v>
      </c>
      <c r="C42" s="3">
        <v>4067378</v>
      </c>
      <c r="D42" s="3" t="s">
        <v>113</v>
      </c>
      <c r="E42" s="3" t="str">
        <f t="shared" si="0"/>
        <v>2022</v>
      </c>
    </row>
    <row r="43" spans="1:5" x14ac:dyDescent="0.3">
      <c r="A43" s="3" t="s">
        <v>6</v>
      </c>
      <c r="B43" s="3" t="s">
        <v>6</v>
      </c>
      <c r="C43" s="3">
        <v>2342672</v>
      </c>
      <c r="D43" s="3" t="s">
        <v>29</v>
      </c>
      <c r="E43" s="3" t="str">
        <f t="shared" si="0"/>
        <v>2024</v>
      </c>
    </row>
    <row r="44" spans="1:5" x14ac:dyDescent="0.3">
      <c r="A44" s="3" t="s">
        <v>6</v>
      </c>
      <c r="B44" s="3" t="s">
        <v>6</v>
      </c>
      <c r="C44" s="3">
        <v>164932</v>
      </c>
      <c r="D44" s="3" t="s">
        <v>30</v>
      </c>
      <c r="E44" s="3" t="str">
        <f t="shared" si="0"/>
        <v>2024</v>
      </c>
    </row>
    <row r="45" spans="1:5" x14ac:dyDescent="0.3">
      <c r="A45" s="3" t="s">
        <v>3</v>
      </c>
      <c r="B45" s="3" t="s">
        <v>3</v>
      </c>
      <c r="C45" s="3">
        <v>2469478</v>
      </c>
      <c r="D45" s="3" t="s">
        <v>114</v>
      </c>
      <c r="E45" s="3" t="str">
        <f t="shared" si="0"/>
        <v>2022</v>
      </c>
    </row>
    <row r="46" spans="1:5" x14ac:dyDescent="0.3">
      <c r="A46" s="3" t="s">
        <v>6</v>
      </c>
      <c r="B46" s="3" t="s">
        <v>6</v>
      </c>
      <c r="C46" s="3">
        <v>2758594</v>
      </c>
      <c r="D46" s="3" t="s">
        <v>58</v>
      </c>
      <c r="E46" s="3" t="str">
        <f t="shared" si="0"/>
        <v>2023</v>
      </c>
    </row>
    <row r="47" spans="1:5" x14ac:dyDescent="0.3">
      <c r="A47" s="3" t="s">
        <v>4</v>
      </c>
      <c r="B47" s="3" t="s">
        <v>4</v>
      </c>
      <c r="C47" s="3">
        <v>1294102</v>
      </c>
      <c r="D47" s="3" t="s">
        <v>59</v>
      </c>
      <c r="E47" s="3" t="str">
        <f t="shared" si="0"/>
        <v>2023</v>
      </c>
    </row>
    <row r="48" spans="1:5" x14ac:dyDescent="0.3">
      <c r="A48" s="3" t="s">
        <v>6</v>
      </c>
      <c r="B48" s="3" t="s">
        <v>6</v>
      </c>
      <c r="C48" s="3">
        <v>4692173</v>
      </c>
      <c r="D48" s="3" t="s">
        <v>102</v>
      </c>
      <c r="E48" s="3" t="str">
        <f t="shared" si="0"/>
        <v>2022</v>
      </c>
    </row>
    <row r="49" spans="1:5" x14ac:dyDescent="0.3">
      <c r="A49" s="3" t="s">
        <v>4</v>
      </c>
      <c r="B49" s="3" t="s">
        <v>4</v>
      </c>
      <c r="C49" s="3">
        <v>10715630</v>
      </c>
      <c r="D49" s="3" t="s">
        <v>60</v>
      </c>
      <c r="E49" s="3" t="str">
        <f t="shared" si="0"/>
        <v>2023</v>
      </c>
    </row>
    <row r="50" spans="1:5" x14ac:dyDescent="0.3">
      <c r="A50" s="3" t="s">
        <v>7</v>
      </c>
      <c r="B50" s="3" t="s">
        <v>7</v>
      </c>
      <c r="C50" s="3">
        <v>3515970</v>
      </c>
      <c r="D50" s="3" t="s">
        <v>67</v>
      </c>
      <c r="E50" s="3" t="str">
        <f t="shared" si="0"/>
        <v>2024</v>
      </c>
    </row>
    <row r="51" spans="1:5" x14ac:dyDescent="0.3">
      <c r="A51" s="3" t="s">
        <v>6</v>
      </c>
      <c r="B51" s="3" t="s">
        <v>6</v>
      </c>
      <c r="C51" s="3">
        <v>4534814</v>
      </c>
      <c r="D51" s="3" t="s">
        <v>62</v>
      </c>
      <c r="E51" s="3" t="str">
        <f t="shared" si="0"/>
        <v>2024</v>
      </c>
    </row>
    <row r="52" spans="1:5" x14ac:dyDescent="0.3">
      <c r="A52" s="3" t="s">
        <v>7</v>
      </c>
      <c r="B52" s="3" t="s">
        <v>7</v>
      </c>
      <c r="C52" s="3">
        <v>3333685</v>
      </c>
      <c r="D52" s="3" t="s">
        <v>79</v>
      </c>
      <c r="E52" s="3" t="str">
        <f t="shared" si="0"/>
        <v>2022</v>
      </c>
    </row>
    <row r="53" spans="1:5" x14ac:dyDescent="0.3">
      <c r="A53" s="3" t="s">
        <v>38</v>
      </c>
      <c r="B53" s="3" t="s">
        <v>38</v>
      </c>
      <c r="C53" s="3">
        <v>200000</v>
      </c>
      <c r="D53" s="3" t="s">
        <v>104</v>
      </c>
      <c r="E53" s="3" t="str">
        <f t="shared" ref="E53:E92" si="1">RIGHT(D53,4)</f>
        <v>2022</v>
      </c>
    </row>
    <row r="54" spans="1:5" x14ac:dyDescent="0.3">
      <c r="A54" s="3" t="s">
        <v>38</v>
      </c>
      <c r="B54" s="3" t="s">
        <v>38</v>
      </c>
      <c r="C54" s="3">
        <v>200000</v>
      </c>
      <c r="D54" s="3" t="s">
        <v>105</v>
      </c>
      <c r="E54" s="3" t="str">
        <f t="shared" si="1"/>
        <v>2022</v>
      </c>
    </row>
    <row r="55" spans="1:5" x14ac:dyDescent="0.3">
      <c r="A55" s="3" t="s">
        <v>38</v>
      </c>
      <c r="B55" s="3" t="s">
        <v>38</v>
      </c>
      <c r="C55" s="3">
        <v>200000</v>
      </c>
      <c r="D55" s="3" t="s">
        <v>106</v>
      </c>
      <c r="E55" s="3" t="str">
        <f t="shared" si="1"/>
        <v>2022</v>
      </c>
    </row>
    <row r="56" spans="1:5" x14ac:dyDescent="0.3">
      <c r="A56" s="3" t="s">
        <v>38</v>
      </c>
      <c r="B56" s="3" t="s">
        <v>38</v>
      </c>
      <c r="C56" s="3">
        <v>200000</v>
      </c>
      <c r="D56" s="3" t="s">
        <v>107</v>
      </c>
      <c r="E56" s="3" t="str">
        <f t="shared" si="1"/>
        <v>2022</v>
      </c>
    </row>
    <row r="57" spans="1:5" x14ac:dyDescent="0.3">
      <c r="A57" s="3" t="s">
        <v>38</v>
      </c>
      <c r="B57" s="3" t="s">
        <v>38</v>
      </c>
      <c r="C57" s="3">
        <v>200000</v>
      </c>
      <c r="D57" s="3" t="s">
        <v>108</v>
      </c>
      <c r="E57" s="3" t="str">
        <f t="shared" si="1"/>
        <v>2022</v>
      </c>
    </row>
    <row r="58" spans="1:5" x14ac:dyDescent="0.3">
      <c r="A58" s="3" t="s">
        <v>38</v>
      </c>
      <c r="B58" s="3" t="s">
        <v>38</v>
      </c>
      <c r="C58" s="3">
        <v>200000</v>
      </c>
      <c r="D58" s="3" t="s">
        <v>109</v>
      </c>
      <c r="E58" s="3" t="str">
        <f t="shared" si="1"/>
        <v>2022</v>
      </c>
    </row>
    <row r="59" spans="1:5" x14ac:dyDescent="0.3">
      <c r="A59" s="3" t="s">
        <v>38</v>
      </c>
      <c r="B59" s="3" t="s">
        <v>38</v>
      </c>
      <c r="C59" s="3">
        <v>200000</v>
      </c>
      <c r="D59" s="3" t="s">
        <v>110</v>
      </c>
      <c r="E59" s="3" t="str">
        <f t="shared" si="1"/>
        <v>2022</v>
      </c>
    </row>
    <row r="60" spans="1:5" x14ac:dyDescent="0.3">
      <c r="A60" s="3" t="s">
        <v>38</v>
      </c>
      <c r="B60" s="3" t="s">
        <v>38</v>
      </c>
      <c r="C60" s="3">
        <v>200000</v>
      </c>
      <c r="D60" s="3" t="s">
        <v>111</v>
      </c>
      <c r="E60" s="3" t="str">
        <f t="shared" si="1"/>
        <v>2022</v>
      </c>
    </row>
    <row r="61" spans="1:5" x14ac:dyDescent="0.3">
      <c r="A61" s="3" t="s">
        <v>38</v>
      </c>
      <c r="B61" s="3" t="s">
        <v>38</v>
      </c>
      <c r="C61" s="3">
        <v>200000</v>
      </c>
      <c r="D61" s="3" t="s">
        <v>84</v>
      </c>
      <c r="E61" s="3" t="str">
        <f t="shared" si="1"/>
        <v>2022</v>
      </c>
    </row>
    <row r="62" spans="1:5" x14ac:dyDescent="0.3">
      <c r="A62" s="3" t="s">
        <v>38</v>
      </c>
      <c r="B62" s="3" t="s">
        <v>38</v>
      </c>
      <c r="C62" s="3">
        <v>200000</v>
      </c>
      <c r="D62" s="3" t="s">
        <v>85</v>
      </c>
      <c r="E62" s="3" t="str">
        <f t="shared" si="1"/>
        <v>2022</v>
      </c>
    </row>
    <row r="63" spans="1:5" x14ac:dyDescent="0.3">
      <c r="A63" s="3" t="s">
        <v>38</v>
      </c>
      <c r="B63" s="3" t="s">
        <v>38</v>
      </c>
      <c r="C63" s="3">
        <v>200000</v>
      </c>
      <c r="D63" s="3" t="s">
        <v>86</v>
      </c>
      <c r="E63" s="3" t="str">
        <f t="shared" si="1"/>
        <v>2022</v>
      </c>
    </row>
    <row r="64" spans="1:5" x14ac:dyDescent="0.3">
      <c r="A64" s="3" t="s">
        <v>38</v>
      </c>
      <c r="B64" s="3" t="s">
        <v>38</v>
      </c>
      <c r="C64" s="3">
        <v>200000</v>
      </c>
      <c r="D64" s="3" t="s">
        <v>87</v>
      </c>
      <c r="E64" s="3" t="str">
        <f t="shared" si="1"/>
        <v>2022</v>
      </c>
    </row>
    <row r="65" spans="1:5" x14ac:dyDescent="0.3">
      <c r="A65" s="3" t="s">
        <v>38</v>
      </c>
      <c r="B65" s="3" t="s">
        <v>38</v>
      </c>
      <c r="C65" s="3">
        <v>200000</v>
      </c>
      <c r="D65" s="3" t="s">
        <v>88</v>
      </c>
      <c r="E65" s="3" t="str">
        <f t="shared" si="1"/>
        <v>2022</v>
      </c>
    </row>
    <row r="66" spans="1:5" x14ac:dyDescent="0.3">
      <c r="A66" s="3" t="s">
        <v>38</v>
      </c>
      <c r="B66" s="3" t="s">
        <v>38</v>
      </c>
      <c r="C66" s="3">
        <v>200000</v>
      </c>
      <c r="D66" s="3" t="s">
        <v>89</v>
      </c>
      <c r="E66" s="3" t="str">
        <f t="shared" si="1"/>
        <v>2022</v>
      </c>
    </row>
    <row r="67" spans="1:5" x14ac:dyDescent="0.3">
      <c r="A67" s="3" t="s">
        <v>38</v>
      </c>
      <c r="B67" s="3" t="s">
        <v>38</v>
      </c>
      <c r="C67" s="3">
        <v>200000</v>
      </c>
      <c r="D67" s="3" t="s">
        <v>90</v>
      </c>
      <c r="E67" s="3" t="str">
        <f t="shared" si="1"/>
        <v>2022</v>
      </c>
    </row>
    <row r="68" spans="1:5" x14ac:dyDescent="0.3">
      <c r="A68" s="3" t="s">
        <v>38</v>
      </c>
      <c r="B68" s="3" t="s">
        <v>38</v>
      </c>
      <c r="C68" s="3">
        <v>200000</v>
      </c>
      <c r="D68" s="3" t="s">
        <v>91</v>
      </c>
      <c r="E68" s="3" t="str">
        <f t="shared" si="1"/>
        <v>2022</v>
      </c>
    </row>
    <row r="69" spans="1:5" x14ac:dyDescent="0.3">
      <c r="A69" s="3" t="s">
        <v>38</v>
      </c>
      <c r="B69" s="3" t="s">
        <v>38</v>
      </c>
      <c r="C69" s="3">
        <v>200000</v>
      </c>
      <c r="D69" s="3" t="s">
        <v>92</v>
      </c>
      <c r="E69" s="3" t="str">
        <f t="shared" si="1"/>
        <v>2022</v>
      </c>
    </row>
    <row r="70" spans="1:5" x14ac:dyDescent="0.3">
      <c r="A70" s="3" t="s">
        <v>38</v>
      </c>
      <c r="B70" s="3" t="s">
        <v>38</v>
      </c>
      <c r="C70" s="3">
        <v>200000</v>
      </c>
      <c r="D70" s="3" t="s">
        <v>82</v>
      </c>
      <c r="E70" s="3" t="str">
        <f t="shared" si="1"/>
        <v>2022</v>
      </c>
    </row>
    <row r="71" spans="1:5" x14ac:dyDescent="0.3">
      <c r="A71" s="3" t="s">
        <v>38</v>
      </c>
      <c r="B71" s="3" t="s">
        <v>38</v>
      </c>
      <c r="C71" s="3">
        <v>200000</v>
      </c>
      <c r="D71" s="3" t="s">
        <v>93</v>
      </c>
      <c r="E71" s="3" t="str">
        <f t="shared" si="1"/>
        <v>2022</v>
      </c>
    </row>
    <row r="72" spans="1:5" x14ac:dyDescent="0.3">
      <c r="A72" s="3" t="s">
        <v>38</v>
      </c>
      <c r="B72" s="3" t="s">
        <v>38</v>
      </c>
      <c r="C72" s="3">
        <v>200000</v>
      </c>
      <c r="D72" s="3" t="s">
        <v>57</v>
      </c>
      <c r="E72" s="3" t="str">
        <f t="shared" si="1"/>
        <v>2023</v>
      </c>
    </row>
    <row r="73" spans="1:5" x14ac:dyDescent="0.3">
      <c r="A73" s="3" t="s">
        <v>38</v>
      </c>
      <c r="B73" s="3" t="s">
        <v>38</v>
      </c>
      <c r="C73" s="3">
        <v>200000</v>
      </c>
      <c r="D73" s="3" t="s">
        <v>8</v>
      </c>
      <c r="E73" s="3" t="str">
        <f t="shared" si="1"/>
        <v>2022</v>
      </c>
    </row>
    <row r="74" spans="1:5" x14ac:dyDescent="0.3">
      <c r="A74" s="3" t="s">
        <v>38</v>
      </c>
      <c r="B74" s="3" t="s">
        <v>38</v>
      </c>
      <c r="C74" s="3">
        <v>200000</v>
      </c>
      <c r="D74" s="3" t="s">
        <v>9</v>
      </c>
      <c r="E74" s="3" t="str">
        <f t="shared" si="1"/>
        <v>2022</v>
      </c>
    </row>
    <row r="75" spans="1:5" x14ac:dyDescent="0.3">
      <c r="A75" s="3" t="s">
        <v>38</v>
      </c>
      <c r="B75" s="3" t="s">
        <v>38</v>
      </c>
      <c r="C75" s="3">
        <v>200000</v>
      </c>
      <c r="D75" s="3" t="s">
        <v>10</v>
      </c>
      <c r="E75" s="3" t="str">
        <f t="shared" si="1"/>
        <v>2022</v>
      </c>
    </row>
    <row r="76" spans="1:5" x14ac:dyDescent="0.3">
      <c r="A76" s="3" t="s">
        <v>38</v>
      </c>
      <c r="B76" s="3" t="s">
        <v>38</v>
      </c>
      <c r="C76" s="3">
        <v>200000</v>
      </c>
      <c r="D76" s="3" t="s">
        <v>11</v>
      </c>
      <c r="E76" s="3" t="str">
        <f t="shared" si="1"/>
        <v>2022</v>
      </c>
    </row>
    <row r="77" spans="1:5" x14ac:dyDescent="0.3">
      <c r="A77" s="3" t="s">
        <v>38</v>
      </c>
      <c r="B77" s="3" t="s">
        <v>38</v>
      </c>
      <c r="C77" s="3">
        <v>200000</v>
      </c>
      <c r="D77" s="3" t="s">
        <v>12</v>
      </c>
      <c r="E77" s="3" t="str">
        <f t="shared" si="1"/>
        <v>2022</v>
      </c>
    </row>
    <row r="78" spans="1:5" x14ac:dyDescent="0.3">
      <c r="A78" s="3" t="s">
        <v>38</v>
      </c>
      <c r="B78" s="3" t="s">
        <v>38</v>
      </c>
      <c r="C78" s="3">
        <v>200000</v>
      </c>
      <c r="D78" s="3" t="s">
        <v>13</v>
      </c>
      <c r="E78" s="3" t="str">
        <f t="shared" si="1"/>
        <v>2022</v>
      </c>
    </row>
    <row r="79" spans="1:5" x14ac:dyDescent="0.3">
      <c r="A79" s="3" t="s">
        <v>38</v>
      </c>
      <c r="B79" s="3" t="s">
        <v>38</v>
      </c>
      <c r="C79" s="3">
        <v>200000</v>
      </c>
      <c r="D79" s="3" t="s">
        <v>76</v>
      </c>
      <c r="E79" s="3" t="str">
        <f t="shared" si="1"/>
        <v>2023</v>
      </c>
    </row>
    <row r="80" spans="1:5" x14ac:dyDescent="0.3">
      <c r="A80" s="3" t="s">
        <v>38</v>
      </c>
      <c r="B80" s="3" t="s">
        <v>38</v>
      </c>
      <c r="C80" s="3">
        <v>200000</v>
      </c>
      <c r="D80" s="3" t="s">
        <v>14</v>
      </c>
      <c r="E80" s="3" t="str">
        <f t="shared" si="1"/>
        <v>2022</v>
      </c>
    </row>
    <row r="81" spans="1:5" x14ac:dyDescent="0.3">
      <c r="A81" s="3" t="s">
        <v>38</v>
      </c>
      <c r="B81" s="3" t="s">
        <v>38</v>
      </c>
      <c r="C81" s="3">
        <v>200000</v>
      </c>
      <c r="D81" s="3" t="s">
        <v>15</v>
      </c>
      <c r="E81" s="3" t="str">
        <f t="shared" si="1"/>
        <v>2022</v>
      </c>
    </row>
    <row r="82" spans="1:5" x14ac:dyDescent="0.3">
      <c r="A82" s="3" t="s">
        <v>38</v>
      </c>
      <c r="B82" s="3" t="s">
        <v>38</v>
      </c>
      <c r="C82" s="3">
        <v>200000</v>
      </c>
      <c r="D82" s="3" t="s">
        <v>78</v>
      </c>
      <c r="E82" s="3" t="str">
        <f t="shared" si="1"/>
        <v>2023</v>
      </c>
    </row>
    <row r="83" spans="1:5" x14ac:dyDescent="0.3">
      <c r="A83" s="3" t="s">
        <v>38</v>
      </c>
      <c r="B83" s="3" t="s">
        <v>38</v>
      </c>
      <c r="C83" s="3">
        <v>200000</v>
      </c>
      <c r="D83" s="3" t="s">
        <v>16</v>
      </c>
      <c r="E83" s="3" t="str">
        <f t="shared" si="1"/>
        <v>2022</v>
      </c>
    </row>
    <row r="84" spans="1:5" x14ac:dyDescent="0.3">
      <c r="A84" s="3" t="s">
        <v>38</v>
      </c>
      <c r="B84" s="3" t="s">
        <v>38</v>
      </c>
      <c r="C84" s="3">
        <v>200000</v>
      </c>
      <c r="D84" s="3" t="s">
        <v>17</v>
      </c>
      <c r="E84" s="3" t="str">
        <f t="shared" si="1"/>
        <v>2022</v>
      </c>
    </row>
    <row r="85" spans="1:5" x14ac:dyDescent="0.3">
      <c r="A85" s="3" t="s">
        <v>38</v>
      </c>
      <c r="B85" s="3" t="s">
        <v>38</v>
      </c>
      <c r="C85" s="3">
        <v>200000</v>
      </c>
      <c r="D85" s="3" t="s">
        <v>18</v>
      </c>
      <c r="E85" s="3" t="str">
        <f t="shared" si="1"/>
        <v>2023</v>
      </c>
    </row>
    <row r="86" spans="1:5" x14ac:dyDescent="0.3">
      <c r="A86" s="3" t="s">
        <v>38</v>
      </c>
      <c r="B86" s="3" t="s">
        <v>38</v>
      </c>
      <c r="C86" s="3">
        <v>200000</v>
      </c>
      <c r="D86" s="3" t="s">
        <v>19</v>
      </c>
      <c r="E86" s="3" t="str">
        <f t="shared" si="1"/>
        <v>2023</v>
      </c>
    </row>
    <row r="87" spans="1:5" x14ac:dyDescent="0.3">
      <c r="A87" s="3" t="s">
        <v>38</v>
      </c>
      <c r="B87" s="3" t="s">
        <v>38</v>
      </c>
      <c r="C87" s="3">
        <v>200000</v>
      </c>
      <c r="D87" s="3" t="s">
        <v>20</v>
      </c>
      <c r="E87" s="3" t="str">
        <f t="shared" si="1"/>
        <v>2023</v>
      </c>
    </row>
    <row r="88" spans="1:5" x14ac:dyDescent="0.3">
      <c r="A88" s="3" t="s">
        <v>38</v>
      </c>
      <c r="B88" s="3" t="s">
        <v>38</v>
      </c>
      <c r="C88" s="3">
        <v>200000</v>
      </c>
      <c r="D88" s="3" t="s">
        <v>94</v>
      </c>
      <c r="E88" s="3" t="str">
        <f t="shared" si="1"/>
        <v>2022</v>
      </c>
    </row>
    <row r="89" spans="1:5" x14ac:dyDescent="0.3">
      <c r="A89" s="3" t="s">
        <v>38</v>
      </c>
      <c r="B89" s="3" t="s">
        <v>38</v>
      </c>
      <c r="C89" s="3">
        <v>200000</v>
      </c>
      <c r="D89" s="3" t="s">
        <v>95</v>
      </c>
      <c r="E89" s="3" t="str">
        <f t="shared" si="1"/>
        <v>2022</v>
      </c>
    </row>
    <row r="90" spans="1:5" x14ac:dyDescent="0.3">
      <c r="A90" s="3" t="s">
        <v>38</v>
      </c>
      <c r="B90" s="3" t="s">
        <v>38</v>
      </c>
      <c r="C90" s="3">
        <v>200000</v>
      </c>
      <c r="D90" s="3" t="s">
        <v>96</v>
      </c>
      <c r="E90" s="3" t="str">
        <f t="shared" si="1"/>
        <v>2022</v>
      </c>
    </row>
    <row r="91" spans="1:5" x14ac:dyDescent="0.3">
      <c r="A91" s="3" t="s">
        <v>38</v>
      </c>
      <c r="B91" s="3" t="s">
        <v>38</v>
      </c>
      <c r="C91" s="3">
        <v>200000</v>
      </c>
      <c r="D91" s="3" t="s">
        <v>97</v>
      </c>
      <c r="E91" s="3" t="str">
        <f t="shared" si="1"/>
        <v>2022</v>
      </c>
    </row>
    <row r="92" spans="1:5" x14ac:dyDescent="0.3">
      <c r="A92" s="3" t="s">
        <v>38</v>
      </c>
      <c r="B92" s="3" t="s">
        <v>38</v>
      </c>
      <c r="C92" s="3">
        <v>200000</v>
      </c>
      <c r="D92" s="3" t="s">
        <v>98</v>
      </c>
      <c r="E92" s="3" t="str">
        <f t="shared" si="1"/>
        <v>2022</v>
      </c>
    </row>
    <row r="93" spans="1:5" x14ac:dyDescent="0.3">
      <c r="A93" s="3" t="s">
        <v>38</v>
      </c>
      <c r="B93" s="3" t="s">
        <v>38</v>
      </c>
      <c r="C93" s="3">
        <v>200000</v>
      </c>
      <c r="D93" s="3" t="s">
        <v>112</v>
      </c>
      <c r="E93" s="3" t="str">
        <f t="shared" ref="E93:E107" si="2">RIGHT(D93,4)</f>
        <v>2022</v>
      </c>
    </row>
    <row r="94" spans="1:5" x14ac:dyDescent="0.3">
      <c r="A94" s="3" t="s">
        <v>38</v>
      </c>
      <c r="B94" s="3" t="s">
        <v>38</v>
      </c>
      <c r="C94" s="3">
        <v>200000</v>
      </c>
      <c r="D94" s="3" t="s">
        <v>24</v>
      </c>
      <c r="E94" s="3" t="str">
        <f t="shared" si="2"/>
        <v>2024</v>
      </c>
    </row>
    <row r="95" spans="1:5" x14ac:dyDescent="0.3">
      <c r="A95" s="3" t="s">
        <v>38</v>
      </c>
      <c r="B95" s="3" t="s">
        <v>38</v>
      </c>
      <c r="C95" s="3">
        <v>200000</v>
      </c>
      <c r="D95" s="3" t="s">
        <v>25</v>
      </c>
      <c r="E95" s="3" t="str">
        <f t="shared" si="2"/>
        <v>2024</v>
      </c>
    </row>
    <row r="96" spans="1:5" x14ac:dyDescent="0.3">
      <c r="A96" s="3" t="s">
        <v>38</v>
      </c>
      <c r="B96" s="3" t="s">
        <v>38</v>
      </c>
      <c r="C96" s="3">
        <v>200000</v>
      </c>
      <c r="D96" s="3" t="s">
        <v>26</v>
      </c>
      <c r="E96" s="3" t="str">
        <f t="shared" si="2"/>
        <v>2024</v>
      </c>
    </row>
    <row r="97" spans="1:5" x14ac:dyDescent="0.3">
      <c r="A97" s="3" t="s">
        <v>38</v>
      </c>
      <c r="B97" s="3" t="s">
        <v>38</v>
      </c>
      <c r="C97" s="3">
        <v>200000</v>
      </c>
      <c r="D97" s="3" t="s">
        <v>27</v>
      </c>
      <c r="E97" s="3" t="str">
        <f t="shared" si="2"/>
        <v>2024</v>
      </c>
    </row>
    <row r="98" spans="1:5" x14ac:dyDescent="0.3">
      <c r="A98" s="3" t="s">
        <v>38</v>
      </c>
      <c r="B98" s="3" t="s">
        <v>38</v>
      </c>
      <c r="C98" s="3">
        <v>200000</v>
      </c>
      <c r="D98" s="3" t="s">
        <v>28</v>
      </c>
      <c r="E98" s="3" t="str">
        <f t="shared" si="2"/>
        <v>2024</v>
      </c>
    </row>
    <row r="99" spans="1:5" x14ac:dyDescent="0.3">
      <c r="A99" s="3" t="s">
        <v>38</v>
      </c>
      <c r="B99" s="3" t="s">
        <v>38</v>
      </c>
      <c r="C99" s="3">
        <v>200000</v>
      </c>
      <c r="D99" s="3" t="s">
        <v>29</v>
      </c>
      <c r="E99" s="3" t="str">
        <f t="shared" si="2"/>
        <v>2024</v>
      </c>
    </row>
    <row r="100" spans="1:5" x14ac:dyDescent="0.3">
      <c r="A100" s="3" t="s">
        <v>38</v>
      </c>
      <c r="B100" s="3" t="s">
        <v>38</v>
      </c>
      <c r="C100" s="3">
        <v>200000</v>
      </c>
      <c r="D100" s="3" t="s">
        <v>30</v>
      </c>
      <c r="E100" s="3" t="str">
        <f t="shared" si="2"/>
        <v>2024</v>
      </c>
    </row>
    <row r="101" spans="1:5" x14ac:dyDescent="0.3">
      <c r="A101" s="3" t="s">
        <v>38</v>
      </c>
      <c r="B101" s="3" t="s">
        <v>38</v>
      </c>
      <c r="C101" s="3">
        <v>200000</v>
      </c>
      <c r="D101" s="3" t="s">
        <v>31</v>
      </c>
      <c r="E101" s="3" t="str">
        <f t="shared" si="2"/>
        <v>2024</v>
      </c>
    </row>
    <row r="102" spans="1:5" x14ac:dyDescent="0.3">
      <c r="A102" s="3" t="s">
        <v>38</v>
      </c>
      <c r="B102" s="3" t="s">
        <v>38</v>
      </c>
      <c r="C102" s="3">
        <v>200000</v>
      </c>
      <c r="D102" s="3" t="s">
        <v>100</v>
      </c>
      <c r="E102" s="3" t="str">
        <f t="shared" si="2"/>
        <v>2022</v>
      </c>
    </row>
    <row r="103" spans="1:5" x14ac:dyDescent="0.3">
      <c r="A103" s="3" t="s">
        <v>38</v>
      </c>
      <c r="B103" s="3" t="s">
        <v>38</v>
      </c>
      <c r="C103" s="3">
        <v>200000</v>
      </c>
      <c r="D103" s="3" t="s">
        <v>101</v>
      </c>
      <c r="E103" s="3" t="str">
        <f t="shared" si="2"/>
        <v>2022</v>
      </c>
    </row>
    <row r="104" spans="1:5" x14ac:dyDescent="0.3">
      <c r="A104" s="3" t="s">
        <v>38</v>
      </c>
      <c r="B104" s="3" t="s">
        <v>38</v>
      </c>
      <c r="C104" s="3">
        <v>200000</v>
      </c>
      <c r="D104" s="3" t="s">
        <v>103</v>
      </c>
      <c r="E104" s="3" t="str">
        <f t="shared" si="2"/>
        <v>2022</v>
      </c>
    </row>
    <row r="105" spans="1:5" x14ac:dyDescent="0.3">
      <c r="A105" s="3" t="s">
        <v>38</v>
      </c>
      <c r="B105" s="3" t="s">
        <v>38</v>
      </c>
      <c r="C105" s="3">
        <v>200000</v>
      </c>
      <c r="D105" s="3" t="s">
        <v>61</v>
      </c>
      <c r="E105" s="3" t="str">
        <f t="shared" si="2"/>
        <v>2023</v>
      </c>
    </row>
    <row r="106" spans="1:5" x14ac:dyDescent="0.3">
      <c r="A106" s="3" t="s">
        <v>38</v>
      </c>
      <c r="B106" s="3" t="s">
        <v>38</v>
      </c>
      <c r="C106" s="3">
        <v>200000</v>
      </c>
      <c r="D106" s="3" t="s">
        <v>62</v>
      </c>
      <c r="E106" s="3" t="str">
        <f t="shared" si="2"/>
        <v>2024</v>
      </c>
    </row>
    <row r="107" spans="1:5" x14ac:dyDescent="0.3">
      <c r="A107" s="3" t="s">
        <v>38</v>
      </c>
      <c r="B107" s="3" t="s">
        <v>38</v>
      </c>
      <c r="C107" s="3">
        <v>200000</v>
      </c>
      <c r="D107" s="3" t="s">
        <v>63</v>
      </c>
      <c r="E107" s="3" t="str">
        <f t="shared" si="2"/>
        <v>2024</v>
      </c>
    </row>
  </sheetData>
  <autoFilter ref="B1:D107" xr:uid="{00000000-0001-0000-0000-000000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744AD-01DE-4BFA-A7E4-8EE1A5E323BE}">
  <dimension ref="A1:J53"/>
  <sheetViews>
    <sheetView showGridLines="0" zoomScale="95" workbookViewId="0">
      <selection activeCell="B12" sqref="B12"/>
    </sheetView>
  </sheetViews>
  <sheetFormatPr defaultRowHeight="14.4" x14ac:dyDescent="0.3"/>
  <cols>
    <col min="1" max="1" width="29.77734375" bestFit="1" customWidth="1"/>
    <col min="2" max="2" width="10.5546875" bestFit="1" customWidth="1"/>
    <col min="5" max="5" width="30.5546875" customWidth="1"/>
    <col min="6" max="6" width="10.5546875" bestFit="1" customWidth="1"/>
    <col min="9" max="9" width="30.5546875" bestFit="1" customWidth="1"/>
    <col min="10" max="10" width="11.5546875" bestFit="1" customWidth="1"/>
  </cols>
  <sheetData>
    <row r="1" spans="1:10" ht="21.6" thickBot="1" x14ac:dyDescent="0.35">
      <c r="A1" s="44" t="s">
        <v>0</v>
      </c>
      <c r="B1" s="48">
        <v>44926</v>
      </c>
      <c r="E1" s="44" t="s">
        <v>0</v>
      </c>
      <c r="F1" s="48">
        <v>45291</v>
      </c>
      <c r="I1" s="44" t="s">
        <v>0</v>
      </c>
      <c r="J1" s="48">
        <v>45657</v>
      </c>
    </row>
    <row r="2" spans="1:10" ht="15" thickBot="1" x14ac:dyDescent="0.35">
      <c r="A2" s="45" t="s">
        <v>127</v>
      </c>
      <c r="B2">
        <v>46000000</v>
      </c>
      <c r="E2" s="45" t="s">
        <v>127</v>
      </c>
      <c r="F2">
        <v>40248000</v>
      </c>
      <c r="I2" s="45" t="s">
        <v>127</v>
      </c>
      <c r="J2">
        <v>44018000</v>
      </c>
    </row>
    <row r="3" spans="1:10" ht="15" thickBot="1" x14ac:dyDescent="0.35">
      <c r="A3" s="45" t="s">
        <v>128</v>
      </c>
      <c r="B3">
        <v>37000000</v>
      </c>
      <c r="E3" s="45" t="s">
        <v>128</v>
      </c>
      <c r="F3">
        <v>31256000</v>
      </c>
      <c r="I3" s="45" t="s">
        <v>128</v>
      </c>
      <c r="J3">
        <v>40632000</v>
      </c>
    </row>
    <row r="4" spans="1:10" ht="15" thickBot="1" x14ac:dyDescent="0.35">
      <c r="A4" s="45" t="s">
        <v>129</v>
      </c>
      <c r="B4">
        <v>32000000</v>
      </c>
      <c r="E4" s="45" t="s">
        <v>129</v>
      </c>
      <c r="F4">
        <v>34056000</v>
      </c>
      <c r="I4" s="45" t="s">
        <v>129</v>
      </c>
      <c r="J4">
        <v>30176000</v>
      </c>
    </row>
    <row r="5" spans="1:10" ht="15" thickBot="1" x14ac:dyDescent="0.35">
      <c r="A5" s="45" t="s">
        <v>130</v>
      </c>
      <c r="B5">
        <v>30000000</v>
      </c>
      <c r="E5" s="45" t="s">
        <v>130</v>
      </c>
      <c r="F5">
        <v>27840000</v>
      </c>
      <c r="I5" s="45" t="s">
        <v>130</v>
      </c>
      <c r="J5">
        <v>27088000</v>
      </c>
    </row>
    <row r="6" spans="1:10" ht="15" thickBot="1" x14ac:dyDescent="0.35">
      <c r="A6" s="45" t="s">
        <v>131</v>
      </c>
      <c r="B6">
        <v>28000000</v>
      </c>
      <c r="E6" s="45" t="s">
        <v>131</v>
      </c>
      <c r="F6">
        <v>23280000</v>
      </c>
      <c r="I6" s="45" t="s">
        <v>131</v>
      </c>
      <c r="J6">
        <v>23595000</v>
      </c>
    </row>
    <row r="7" spans="1:10" ht="15" thickBot="1" x14ac:dyDescent="0.35">
      <c r="A7" s="46" t="s">
        <v>132</v>
      </c>
      <c r="B7">
        <v>143900000</v>
      </c>
      <c r="E7" s="46" t="s">
        <v>132</v>
      </c>
      <c r="F7">
        <v>156780000</v>
      </c>
      <c r="I7" s="46" t="s">
        <v>132</v>
      </c>
      <c r="J7">
        <v>169300000</v>
      </c>
    </row>
    <row r="8" spans="1:10" ht="15" thickBot="1" x14ac:dyDescent="0.35"/>
    <row r="9" spans="1:10" ht="15" thickBot="1" x14ac:dyDescent="0.35">
      <c r="A9" s="45" t="s">
        <v>133</v>
      </c>
      <c r="B9">
        <v>29700000</v>
      </c>
      <c r="E9" s="45" t="s">
        <v>133</v>
      </c>
      <c r="F9">
        <v>24840000</v>
      </c>
      <c r="I9" s="45" t="s">
        <v>133</v>
      </c>
      <c r="J9">
        <v>25340000</v>
      </c>
    </row>
    <row r="10" spans="1:10" ht="15" thickBot="1" x14ac:dyDescent="0.35">
      <c r="A10" s="45" t="s">
        <v>134</v>
      </c>
      <c r="B10">
        <v>24800000</v>
      </c>
      <c r="E10" s="45" t="s">
        <v>134</v>
      </c>
      <c r="F10">
        <v>20240000</v>
      </c>
      <c r="I10" s="45" t="s">
        <v>134</v>
      </c>
      <c r="J10">
        <v>20900000</v>
      </c>
    </row>
    <row r="11" spans="1:10" ht="15" thickBot="1" x14ac:dyDescent="0.35">
      <c r="A11" s="45" t="s">
        <v>135</v>
      </c>
      <c r="B11">
        <v>16100000</v>
      </c>
      <c r="E11" s="45" t="s">
        <v>135</v>
      </c>
      <c r="F11">
        <v>16150000</v>
      </c>
      <c r="I11" s="45" t="s">
        <v>135</v>
      </c>
      <c r="J11">
        <v>19050000</v>
      </c>
    </row>
    <row r="12" spans="1:10" ht="15" thickBot="1" x14ac:dyDescent="0.35">
      <c r="A12" s="45" t="s">
        <v>136</v>
      </c>
      <c r="B12">
        <v>11600000</v>
      </c>
      <c r="E12" s="45" t="s">
        <v>136</v>
      </c>
      <c r="F12">
        <v>11796000</v>
      </c>
      <c r="I12" s="45" t="s">
        <v>136</v>
      </c>
      <c r="J12">
        <v>17496000</v>
      </c>
    </row>
    <row r="13" spans="1:10" ht="15" thickBot="1" x14ac:dyDescent="0.35">
      <c r="A13" s="45" t="s">
        <v>137</v>
      </c>
      <c r="B13">
        <v>8500000</v>
      </c>
      <c r="E13" s="45" t="s">
        <v>137</v>
      </c>
      <c r="F13">
        <v>17496000</v>
      </c>
      <c r="I13" s="45" t="s">
        <v>137</v>
      </c>
      <c r="J13">
        <v>17496000</v>
      </c>
    </row>
    <row r="14" spans="1:10" ht="15" thickBot="1" x14ac:dyDescent="0.35">
      <c r="A14" s="47" t="s">
        <v>138</v>
      </c>
      <c r="B14">
        <v>85000000</v>
      </c>
      <c r="E14" s="47" t="s">
        <v>138</v>
      </c>
      <c r="F14">
        <v>92000000</v>
      </c>
      <c r="I14" s="47" t="s">
        <v>138</v>
      </c>
      <c r="J14">
        <v>100000000</v>
      </c>
    </row>
    <row r="15" spans="1:10" ht="15" thickBot="1" x14ac:dyDescent="0.35"/>
    <row r="16" spans="1:10" ht="15" thickBot="1" x14ac:dyDescent="0.35">
      <c r="A16" s="45" t="s">
        <v>139</v>
      </c>
      <c r="B16">
        <v>20925000</v>
      </c>
      <c r="E16" s="45" t="s">
        <v>139</v>
      </c>
      <c r="F16">
        <v>20925000</v>
      </c>
      <c r="I16" s="45" t="s">
        <v>139</v>
      </c>
      <c r="J16">
        <v>21375000</v>
      </c>
    </row>
    <row r="17" spans="1:10" ht="15" thickBot="1" x14ac:dyDescent="0.35">
      <c r="A17" s="45" t="s">
        <v>140</v>
      </c>
      <c r="B17">
        <v>34647500</v>
      </c>
      <c r="E17" s="45" t="s">
        <v>140</v>
      </c>
      <c r="F17">
        <v>34647500</v>
      </c>
      <c r="I17" s="45" t="s">
        <v>140</v>
      </c>
      <c r="J17">
        <v>35900000</v>
      </c>
    </row>
    <row r="18" spans="1:10" ht="15" thickBot="1" x14ac:dyDescent="0.35">
      <c r="A18" s="45" t="s">
        <v>141</v>
      </c>
      <c r="B18">
        <v>13952500</v>
      </c>
      <c r="E18" s="45" t="s">
        <v>141</v>
      </c>
      <c r="F18">
        <v>13952500</v>
      </c>
      <c r="I18" s="45" t="s">
        <v>141</v>
      </c>
      <c r="J18">
        <v>14500000</v>
      </c>
    </row>
    <row r="19" spans="1:10" ht="15" thickBot="1" x14ac:dyDescent="0.35">
      <c r="A19" s="45" t="s">
        <v>142</v>
      </c>
      <c r="B19">
        <v>132557000</v>
      </c>
      <c r="E19" s="45" t="s">
        <v>142</v>
      </c>
      <c r="F19">
        <v>132557000</v>
      </c>
      <c r="I19" s="45" t="s">
        <v>142</v>
      </c>
      <c r="J19">
        <v>137500000</v>
      </c>
    </row>
    <row r="20" spans="1:10" ht="15" thickBot="1" x14ac:dyDescent="0.35">
      <c r="A20" s="47" t="s">
        <v>143</v>
      </c>
      <c r="B20">
        <v>632500000</v>
      </c>
      <c r="E20" s="47" t="s">
        <v>143</v>
      </c>
      <c r="F20">
        <v>632500000</v>
      </c>
      <c r="I20" s="47" t="s">
        <v>143</v>
      </c>
      <c r="J20">
        <v>695500000</v>
      </c>
    </row>
    <row r="21" spans="1:10" ht="15" thickBot="1" x14ac:dyDescent="0.35"/>
    <row r="22" spans="1:10" ht="15" thickBot="1" x14ac:dyDescent="0.35">
      <c r="A22" s="45" t="s">
        <v>144</v>
      </c>
      <c r="B22">
        <v>16120000</v>
      </c>
      <c r="E22" s="45" t="s">
        <v>144</v>
      </c>
      <c r="F22">
        <v>13298000</v>
      </c>
      <c r="I22" s="45" t="s">
        <v>144</v>
      </c>
      <c r="J22">
        <v>12540000</v>
      </c>
    </row>
    <row r="23" spans="1:10" ht="15" thickBot="1" x14ac:dyDescent="0.35">
      <c r="A23" s="45" t="s">
        <v>145</v>
      </c>
      <c r="B23">
        <v>6200000</v>
      </c>
      <c r="E23" s="45" t="s">
        <v>145</v>
      </c>
      <c r="F23">
        <v>5450000</v>
      </c>
      <c r="I23" s="45" t="s">
        <v>145</v>
      </c>
      <c r="J23">
        <v>5940000</v>
      </c>
    </row>
    <row r="24" spans="1:10" ht="15" thickBot="1" x14ac:dyDescent="0.35">
      <c r="A24" s="45" t="s">
        <v>146</v>
      </c>
      <c r="B24">
        <v>2480000</v>
      </c>
      <c r="E24" s="45" t="s">
        <v>146</v>
      </c>
      <c r="F24">
        <v>2180000</v>
      </c>
      <c r="I24" s="45" t="s">
        <v>146</v>
      </c>
      <c r="J24">
        <v>3520000</v>
      </c>
    </row>
    <row r="25" spans="1:10" ht="15" thickBot="1" x14ac:dyDescent="0.35">
      <c r="A25" s="47" t="s">
        <v>147</v>
      </c>
      <c r="B25">
        <v>24800000</v>
      </c>
      <c r="E25" s="47" t="s">
        <v>147</v>
      </c>
      <c r="F25">
        <v>21800000</v>
      </c>
      <c r="I25" s="47" t="s">
        <v>147</v>
      </c>
      <c r="J25">
        <v>21000000</v>
      </c>
    </row>
    <row r="26" spans="1:10" ht="15" thickBot="1" x14ac:dyDescent="0.35"/>
    <row r="27" spans="1:10" ht="15" thickBot="1" x14ac:dyDescent="0.35">
      <c r="A27" s="45" t="s">
        <v>148</v>
      </c>
      <c r="B27">
        <v>45900000</v>
      </c>
      <c r="E27" s="45" t="s">
        <v>148</v>
      </c>
      <c r="F27">
        <v>46900000</v>
      </c>
      <c r="I27" s="45" t="s">
        <v>148</v>
      </c>
      <c r="J27">
        <v>88000000</v>
      </c>
    </row>
    <row r="28" spans="1:10" ht="15" thickBot="1" x14ac:dyDescent="0.35">
      <c r="A28" s="45" t="s">
        <v>148</v>
      </c>
      <c r="B28">
        <v>45900000</v>
      </c>
      <c r="E28" s="45" t="s">
        <v>148</v>
      </c>
      <c r="F28">
        <v>46900000</v>
      </c>
      <c r="I28" s="45" t="s">
        <v>148</v>
      </c>
      <c r="J28">
        <v>88000000</v>
      </c>
    </row>
    <row r="29" spans="1:10" ht="15" thickBot="1" x14ac:dyDescent="0.35">
      <c r="A29" s="52" t="s">
        <v>149</v>
      </c>
      <c r="B29" s="51">
        <v>932100000</v>
      </c>
      <c r="C29" s="51"/>
      <c r="D29" s="51"/>
      <c r="E29" s="52" t="s">
        <v>149</v>
      </c>
      <c r="F29" s="51">
        <v>948000000</v>
      </c>
      <c r="G29" s="51"/>
      <c r="H29" s="51"/>
      <c r="I29" s="52" t="s">
        <v>149</v>
      </c>
      <c r="J29" s="51">
        <v>1226800000</v>
      </c>
    </row>
    <row r="30" spans="1:10" ht="15" thickBot="1" x14ac:dyDescent="0.35"/>
    <row r="31" spans="1:10" ht="15" thickBot="1" x14ac:dyDescent="0.35">
      <c r="A31" s="45" t="s">
        <v>150</v>
      </c>
      <c r="B31">
        <v>17000000</v>
      </c>
      <c r="E31" s="45" t="s">
        <v>150</v>
      </c>
      <c r="F31">
        <v>19981000</v>
      </c>
      <c r="I31" s="45" t="s">
        <v>150</v>
      </c>
      <c r="J31">
        <v>19881000</v>
      </c>
    </row>
    <row r="32" spans="1:10" ht="15" thickBot="1" x14ac:dyDescent="0.35">
      <c r="A32" s="45" t="s">
        <v>151</v>
      </c>
      <c r="B32">
        <v>17000000</v>
      </c>
      <c r="E32" s="45" t="s">
        <v>151</v>
      </c>
      <c r="F32">
        <v>15847000</v>
      </c>
      <c r="I32" s="45" t="s">
        <v>151</v>
      </c>
      <c r="J32">
        <v>15847000</v>
      </c>
    </row>
    <row r="33" spans="1:10" ht="15" thickBot="1" x14ac:dyDescent="0.35">
      <c r="A33" s="45" t="s">
        <v>152</v>
      </c>
      <c r="B33">
        <v>17000000</v>
      </c>
      <c r="E33" s="45" t="s">
        <v>152</v>
      </c>
      <c r="F33">
        <v>14469000</v>
      </c>
      <c r="I33" s="45" t="s">
        <v>152</v>
      </c>
      <c r="J33">
        <v>14469000</v>
      </c>
    </row>
    <row r="34" spans="1:10" ht="15" thickBot="1" x14ac:dyDescent="0.35">
      <c r="A34" s="45" t="s">
        <v>153</v>
      </c>
      <c r="B34">
        <v>14960000</v>
      </c>
      <c r="E34" s="45" t="s">
        <v>153</v>
      </c>
      <c r="F34">
        <v>10335000</v>
      </c>
      <c r="I34" s="45" t="s">
        <v>153</v>
      </c>
      <c r="J34">
        <v>10335000</v>
      </c>
    </row>
    <row r="35" spans="1:10" ht="15" thickBot="1" x14ac:dyDescent="0.35">
      <c r="A35" s="45" t="s">
        <v>154</v>
      </c>
      <c r="B35">
        <v>8840000</v>
      </c>
      <c r="E35" s="45" t="s">
        <v>154</v>
      </c>
      <c r="F35">
        <v>8280000</v>
      </c>
      <c r="I35" s="45" t="s">
        <v>154</v>
      </c>
      <c r="J35">
        <v>8280000</v>
      </c>
    </row>
    <row r="36" spans="1:10" ht="15" thickBot="1" x14ac:dyDescent="0.35">
      <c r="A36" s="47" t="s">
        <v>155</v>
      </c>
      <c r="B36">
        <v>68900000</v>
      </c>
      <c r="E36" s="47" t="s">
        <v>155</v>
      </c>
      <c r="F36">
        <v>68900000</v>
      </c>
      <c r="I36" s="47" t="s">
        <v>155</v>
      </c>
      <c r="J36">
        <v>68900000</v>
      </c>
    </row>
    <row r="37" spans="1:10" ht="15" thickBot="1" x14ac:dyDescent="0.35"/>
    <row r="38" spans="1:10" ht="15" thickBot="1" x14ac:dyDescent="0.35">
      <c r="A38" s="45" t="s">
        <v>156</v>
      </c>
      <c r="B38">
        <v>22425000</v>
      </c>
      <c r="E38" s="45" t="s">
        <v>156</v>
      </c>
      <c r="F38">
        <v>17507000</v>
      </c>
      <c r="I38" s="45" t="s">
        <v>156</v>
      </c>
      <c r="J38">
        <v>17507000</v>
      </c>
    </row>
    <row r="39" spans="1:10" ht="15" thickBot="1" x14ac:dyDescent="0.35">
      <c r="A39" s="45" t="s">
        <v>157</v>
      </c>
      <c r="B39">
        <v>6825000</v>
      </c>
      <c r="E39" s="45" t="s">
        <v>157</v>
      </c>
      <c r="F39">
        <v>6601000</v>
      </c>
      <c r="I39" s="45" t="s">
        <v>157</v>
      </c>
      <c r="J39">
        <v>6601000</v>
      </c>
    </row>
    <row r="40" spans="1:10" ht="15" thickBot="1" x14ac:dyDescent="0.35">
      <c r="A40" s="45" t="s">
        <v>158</v>
      </c>
      <c r="B40">
        <v>3250000</v>
      </c>
      <c r="E40" s="45" t="s">
        <v>158</v>
      </c>
      <c r="F40">
        <v>4592000</v>
      </c>
      <c r="I40" s="45" t="s">
        <v>158</v>
      </c>
      <c r="J40">
        <v>4592000</v>
      </c>
    </row>
    <row r="41" spans="1:10" ht="15" thickBot="1" x14ac:dyDescent="0.35">
      <c r="A41" s="47" t="s">
        <v>159</v>
      </c>
      <c r="B41">
        <v>32500000</v>
      </c>
      <c r="E41" s="47" t="s">
        <v>159</v>
      </c>
      <c r="F41">
        <v>28700000</v>
      </c>
      <c r="I41" s="47" t="s">
        <v>159</v>
      </c>
      <c r="J41">
        <v>28700000</v>
      </c>
    </row>
    <row r="42" spans="1:10" ht="15" thickBot="1" x14ac:dyDescent="0.35"/>
    <row r="43" spans="1:10" ht="15" thickBot="1" x14ac:dyDescent="0.35">
      <c r="A43" s="45" t="s">
        <v>160</v>
      </c>
      <c r="B43">
        <v>615800000</v>
      </c>
      <c r="E43" s="45" t="s">
        <v>160</v>
      </c>
      <c r="F43">
        <v>610400000</v>
      </c>
      <c r="I43" s="45" t="s">
        <v>160</v>
      </c>
      <c r="J43">
        <v>605000000</v>
      </c>
    </row>
    <row r="44" spans="1:10" ht="15" thickBot="1" x14ac:dyDescent="0.35">
      <c r="A44" s="47" t="s">
        <v>160</v>
      </c>
      <c r="B44">
        <v>615800000</v>
      </c>
      <c r="E44" s="47" t="s">
        <v>160</v>
      </c>
      <c r="F44">
        <v>610400000</v>
      </c>
      <c r="I44" s="47" t="s">
        <v>160</v>
      </c>
      <c r="J44">
        <v>605000000</v>
      </c>
    </row>
    <row r="45" spans="1:10" ht="15" thickBot="1" x14ac:dyDescent="0.35"/>
    <row r="46" spans="1:10" ht="15" thickBot="1" x14ac:dyDescent="0.35">
      <c r="A46" s="45" t="s">
        <v>161</v>
      </c>
      <c r="B46">
        <v>48300000</v>
      </c>
      <c r="E46" s="45" t="s">
        <v>161</v>
      </c>
      <c r="F46">
        <v>43300000</v>
      </c>
      <c r="I46" s="45" t="s">
        <v>161</v>
      </c>
      <c r="J46">
        <v>38900000</v>
      </c>
    </row>
    <row r="47" spans="1:10" ht="15" thickBot="1" x14ac:dyDescent="0.35">
      <c r="A47" s="47" t="s">
        <v>161</v>
      </c>
      <c r="B47">
        <v>48300000</v>
      </c>
      <c r="E47" s="47" t="s">
        <v>161</v>
      </c>
      <c r="F47">
        <v>43300000</v>
      </c>
      <c r="I47" s="47" t="s">
        <v>161</v>
      </c>
      <c r="J47">
        <v>38900000</v>
      </c>
    </row>
    <row r="48" spans="1:10" ht="15" thickBot="1" x14ac:dyDescent="0.35"/>
    <row r="49" spans="1:10" ht="15" thickBot="1" x14ac:dyDescent="0.35">
      <c r="A49" s="45" t="s">
        <v>162</v>
      </c>
      <c r="B49">
        <v>132325000</v>
      </c>
      <c r="E49" s="45" t="s">
        <v>162</v>
      </c>
      <c r="F49">
        <v>161525000</v>
      </c>
      <c r="I49" s="45" t="s">
        <v>162</v>
      </c>
      <c r="J49">
        <v>450125000</v>
      </c>
    </row>
    <row r="50" spans="1:10" ht="15" thickBot="1" x14ac:dyDescent="0.35">
      <c r="A50" s="45" t="s">
        <v>163</v>
      </c>
      <c r="B50">
        <v>18425000</v>
      </c>
      <c r="E50" s="45" t="s">
        <v>163</v>
      </c>
      <c r="F50">
        <v>18425000</v>
      </c>
      <c r="I50" s="45" t="s">
        <v>163</v>
      </c>
      <c r="J50">
        <v>18425000</v>
      </c>
    </row>
    <row r="51" spans="1:10" ht="15" thickBot="1" x14ac:dyDescent="0.35">
      <c r="A51" s="45" t="s">
        <v>164</v>
      </c>
      <c r="B51">
        <v>16750000</v>
      </c>
      <c r="E51" s="45" t="s">
        <v>164</v>
      </c>
      <c r="F51">
        <v>16750000</v>
      </c>
      <c r="I51" s="45" t="s">
        <v>164</v>
      </c>
      <c r="J51">
        <v>16750000</v>
      </c>
    </row>
    <row r="52" spans="1:10" ht="15" thickBot="1" x14ac:dyDescent="0.35">
      <c r="A52" s="45" t="s">
        <v>165</v>
      </c>
      <c r="B52">
        <v>167500000</v>
      </c>
      <c r="E52" s="45" t="s">
        <v>165</v>
      </c>
      <c r="F52">
        <v>196700000</v>
      </c>
      <c r="I52" s="45" t="s">
        <v>165</v>
      </c>
      <c r="J52">
        <v>210000000</v>
      </c>
    </row>
    <row r="53" spans="1:10" ht="15" thickBot="1" x14ac:dyDescent="0.35">
      <c r="A53" s="47" t="s">
        <v>166</v>
      </c>
      <c r="B53">
        <v>932100000</v>
      </c>
      <c r="E53" s="47" t="s">
        <v>166</v>
      </c>
      <c r="F53">
        <v>948000000</v>
      </c>
      <c r="I53" s="47" t="s">
        <v>166</v>
      </c>
      <c r="J53">
        <v>1226800000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A65F1-D2EC-4E66-972D-A78EBE87CFEE}">
  <dimension ref="B1:N41"/>
  <sheetViews>
    <sheetView showGridLines="0" topLeftCell="A11" zoomScale="77" zoomScaleNormal="115" workbookViewId="0">
      <selection activeCell="C55" sqref="C55"/>
    </sheetView>
  </sheetViews>
  <sheetFormatPr defaultRowHeight="14.4" x14ac:dyDescent="0.3"/>
  <cols>
    <col min="1" max="1" width="3" customWidth="1"/>
    <col min="2" max="2" width="37.44140625" bestFit="1" customWidth="1"/>
    <col min="3" max="3" width="20.33203125" bestFit="1" customWidth="1"/>
    <col min="4" max="4" width="20.44140625" customWidth="1"/>
    <col min="5" max="5" width="20.33203125" bestFit="1" customWidth="1"/>
    <col min="6" max="7" width="12.21875" customWidth="1"/>
    <col min="8" max="8" width="13.109375" bestFit="1" customWidth="1"/>
    <col min="9" max="9" width="14.88671875" bestFit="1" customWidth="1"/>
    <col min="10" max="10" width="17.6640625" bestFit="1" customWidth="1"/>
    <col min="11" max="12" width="19.77734375" bestFit="1" customWidth="1"/>
    <col min="13" max="14" width="19.5546875" bestFit="1" customWidth="1"/>
  </cols>
  <sheetData>
    <row r="1" spans="2:14" ht="28.8" x14ac:dyDescent="0.55000000000000004">
      <c r="B1" s="49" t="s">
        <v>39</v>
      </c>
    </row>
    <row r="2" spans="2:14" ht="15.6" x14ac:dyDescent="0.3">
      <c r="B2" s="4"/>
    </row>
    <row r="3" spans="2:14" ht="15.6" x14ac:dyDescent="0.3">
      <c r="B3" s="4"/>
    </row>
    <row r="4" spans="2:14" ht="24" thickBot="1" x14ac:dyDescent="0.5">
      <c r="B4" s="4"/>
      <c r="H4" s="32" t="s">
        <v>125</v>
      </c>
      <c r="I4" s="42" t="s">
        <v>123</v>
      </c>
      <c r="J4" s="92" t="s">
        <v>124</v>
      </c>
      <c r="K4" s="92"/>
      <c r="L4" s="92"/>
      <c r="M4" s="92"/>
      <c r="N4" s="92"/>
    </row>
    <row r="5" spans="2:14" ht="16.2" thickTop="1" x14ac:dyDescent="0.3">
      <c r="B5" s="4"/>
    </row>
    <row r="6" spans="2:14" ht="18" x14ac:dyDescent="0.35">
      <c r="B6" s="6"/>
      <c r="C6" s="6">
        <v>2022</v>
      </c>
      <c r="D6" s="6">
        <v>2023</v>
      </c>
      <c r="E6" s="6">
        <v>2024</v>
      </c>
      <c r="F6" s="13"/>
      <c r="G6" s="6" t="s">
        <v>118</v>
      </c>
      <c r="H6" s="6" t="s">
        <v>119</v>
      </c>
      <c r="I6" s="13"/>
      <c r="J6" s="54">
        <v>2025</v>
      </c>
      <c r="K6" s="54">
        <v>2026</v>
      </c>
      <c r="L6" s="54">
        <v>2027</v>
      </c>
      <c r="M6" s="54">
        <v>2028</v>
      </c>
      <c r="N6" s="54">
        <v>2029</v>
      </c>
    </row>
    <row r="7" spans="2:14" ht="18" x14ac:dyDescent="0.35">
      <c r="B7" s="7" t="s">
        <v>4</v>
      </c>
      <c r="C7" s="10">
        <f>SUMIFS('Income - Accounts'!$C$2:$C$107,'Income - Accounts'!$A$2:$A$107,'P&amp;L'!$B7,'Income - Accounts'!$E$2:$E$107,'P&amp;L'!C$6)</f>
        <v>94474565</v>
      </c>
      <c r="D7" s="10">
        <f>SUMIFS('Income - Accounts'!$C$2:$C$107,'Income - Accounts'!$A$2:$A$107,'P&amp;L'!$B7,'Income - Accounts'!$E$2:$E$107,'P&amp;L'!D$6)</f>
        <v>87546642</v>
      </c>
      <c r="E7" s="10">
        <f>SUMIFS('Income - Accounts'!$C$2:$C$107,'Income - Accounts'!$A$2:$A$107,'P&amp;L'!$B7,'Income - Accounts'!$E$2:$E$107,'P&amp;L'!E$6)</f>
        <v>107512910</v>
      </c>
      <c r="G7" s="16">
        <f>D7/C7</f>
        <v>0.92666890818708714</v>
      </c>
      <c r="H7" s="16">
        <f>E7/D7</f>
        <v>1.2280643499724411</v>
      </c>
      <c r="I7" s="16"/>
      <c r="J7" s="38">
        <f>E7*(J21+1)</f>
        <v>223343731.42925605</v>
      </c>
      <c r="K7" s="38">
        <f>J7*(K21+1)</f>
        <v>463966814.48528975</v>
      </c>
      <c r="L7" s="38">
        <f t="shared" ref="L7:N7" si="0">K7*(L21+1)</f>
        <v>963829177.41218257</v>
      </c>
      <c r="M7" s="38">
        <f t="shared" si="0"/>
        <v>2002226569.2894673</v>
      </c>
      <c r="N7" s="38">
        <f t="shared" si="0"/>
        <v>4159358658.8988008</v>
      </c>
    </row>
    <row r="8" spans="2:14" ht="18" x14ac:dyDescent="0.35">
      <c r="B8" s="7" t="s">
        <v>7</v>
      </c>
      <c r="C8" s="10">
        <f>-SUMIFS('Income - Accounts'!$C$2:$C$107,'Income - Accounts'!$A$2:$A$107,'P&amp;L'!$B8,'Income - Accounts'!$E$2:$E$107,'P&amp;L'!C$6)</f>
        <v>-12498968</v>
      </c>
      <c r="D8" s="10">
        <f>-SUMIFS('Income - Accounts'!$C$2:$C$107,'Income - Accounts'!$A$2:$A$107,'P&amp;L'!$B8,'Income - Accounts'!$E$2:$E$107,'P&amp;L'!D$6)</f>
        <v>-10394717</v>
      </c>
      <c r="E8" s="10">
        <f>-SUMIFS('Income - Accounts'!$C$2:$C$107,'Income - Accounts'!$A$2:$A$107,'P&amp;L'!$B8,'Income - Accounts'!$E$2:$E$107,'P&amp;L'!E$6)</f>
        <v>-4315050</v>
      </c>
      <c r="G8" s="16">
        <f t="shared" ref="G8:G17" si="1">D8/C8</f>
        <v>0.83164602069546867</v>
      </c>
      <c r="H8" s="16">
        <f t="shared" ref="H8:H17" si="2">E8/D8</f>
        <v>0.41511952658258999</v>
      </c>
      <c r="I8" s="16"/>
      <c r="J8" s="27">
        <f>J7*J28</f>
        <v>-21676884.582898814</v>
      </c>
      <c r="K8" s="27">
        <f t="shared" ref="K8:N8" si="3">K7*K28</f>
        <v>-45030836.654927611</v>
      </c>
      <c r="L8" s="27">
        <f t="shared" si="3"/>
        <v>-93545557.346488446</v>
      </c>
      <c r="M8" s="27">
        <f t="shared" si="3"/>
        <v>-194328419.13026243</v>
      </c>
      <c r="N8" s="27">
        <f t="shared" si="3"/>
        <v>-403691372.98303276</v>
      </c>
    </row>
    <row r="9" spans="2:14" ht="18" x14ac:dyDescent="0.35">
      <c r="B9" s="8" t="s">
        <v>40</v>
      </c>
      <c r="C9" s="11">
        <f>SUM(C7:C8)</f>
        <v>81975597</v>
      </c>
      <c r="D9" s="11">
        <f t="shared" ref="D9:E9" si="4">SUM(D7:D8)</f>
        <v>77151925</v>
      </c>
      <c r="E9" s="11">
        <f t="shared" si="4"/>
        <v>103197860</v>
      </c>
      <c r="G9" s="17">
        <f t="shared" si="1"/>
        <v>0.94115722023957937</v>
      </c>
      <c r="H9" s="17">
        <f t="shared" si="2"/>
        <v>1.3375928079565091</v>
      </c>
      <c r="I9" s="26"/>
      <c r="J9" s="11">
        <f t="shared" ref="J9" si="5">SUM(J7:J8)</f>
        <v>201666846.84635723</v>
      </c>
      <c r="K9" s="11">
        <f t="shared" ref="K9" si="6">SUM(K7:K8)</f>
        <v>418935977.83036214</v>
      </c>
      <c r="L9" s="11">
        <f t="shared" ref="L9" si="7">SUM(L7:L8)</f>
        <v>870283620.06569409</v>
      </c>
      <c r="M9" s="11">
        <f t="shared" ref="M9" si="8">SUM(M7:M8)</f>
        <v>1807898150.159205</v>
      </c>
      <c r="N9" s="11">
        <f t="shared" ref="N9" si="9">SUM(N7:N8)</f>
        <v>3755667285.9157681</v>
      </c>
    </row>
    <row r="10" spans="2:14" ht="18" x14ac:dyDescent="0.35">
      <c r="B10" s="7" t="s">
        <v>3</v>
      </c>
      <c r="C10" s="10">
        <f>-SUMIFS('Income - Accounts'!$C$2:$C$107,'Income - Accounts'!$A$2:$A$107,'P&amp;L'!$B10,'Income - Accounts'!$E$2:$E$107,'P&amp;L'!C$6)</f>
        <v>-6536856</v>
      </c>
      <c r="D10" s="10">
        <f>-SUMIFS('Income - Accounts'!$C$2:$C$107,'Income - Accounts'!$A$2:$A$107,'P&amp;L'!$B10,'Income - Accounts'!$E$2:$E$107,'P&amp;L'!D$6)</f>
        <v>-5119316</v>
      </c>
      <c r="E10" s="10">
        <f>-SUMIFS('Income - Accounts'!$C$2:$C$107,'Income - Accounts'!$A$2:$A$107,'P&amp;L'!$B10,'Income - Accounts'!$E$2:$E$107,'P&amp;L'!E$6)</f>
        <v>-11499936</v>
      </c>
      <c r="G10" s="16">
        <f t="shared" si="1"/>
        <v>0.78314651569500693</v>
      </c>
      <c r="H10" s="16">
        <f t="shared" si="2"/>
        <v>2.2463813525088119</v>
      </c>
      <c r="I10" s="16"/>
      <c r="J10" s="38">
        <f>J7*J35</f>
        <v>-17467735.872509778</v>
      </c>
      <c r="K10" s="38">
        <f t="shared" ref="K10:N10" si="10">K7*K35</f>
        <v>-36286891.587131299</v>
      </c>
      <c r="L10" s="38">
        <f t="shared" si="10"/>
        <v>-75381177.656141803</v>
      </c>
      <c r="M10" s="38">
        <f t="shared" si="10"/>
        <v>-156594342.9236021</v>
      </c>
      <c r="N10" s="38">
        <f t="shared" si="10"/>
        <v>-325303862.29216385</v>
      </c>
    </row>
    <row r="11" spans="2:14" ht="18" x14ac:dyDescent="0.35">
      <c r="B11" s="8" t="s">
        <v>34</v>
      </c>
      <c r="C11" s="11">
        <f>SUM(C9:C10)</f>
        <v>75438741</v>
      </c>
      <c r="D11" s="11">
        <f t="shared" ref="D11:E11" si="11">SUM(D9:D10)</f>
        <v>72032609</v>
      </c>
      <c r="E11" s="11">
        <f t="shared" si="11"/>
        <v>91697924</v>
      </c>
      <c r="G11" s="17">
        <f t="shared" si="1"/>
        <v>0.95484903439732638</v>
      </c>
      <c r="H11" s="17">
        <f t="shared" si="2"/>
        <v>1.273005729946558</v>
      </c>
      <c r="I11" s="26"/>
      <c r="J11" s="11">
        <f t="shared" ref="J11" si="12">SUM(J9:J10)</f>
        <v>184199110.97384745</v>
      </c>
      <c r="K11" s="11">
        <f t="shared" ref="K11" si="13">SUM(K9:K10)</f>
        <v>382649086.24323082</v>
      </c>
      <c r="L11" s="11">
        <f t="shared" ref="L11" si="14">SUM(L9:L10)</f>
        <v>794902442.40955234</v>
      </c>
      <c r="M11" s="11">
        <f t="shared" ref="M11" si="15">SUM(M9:M10)</f>
        <v>1651303807.2356029</v>
      </c>
      <c r="N11" s="11">
        <f t="shared" ref="N11" si="16">SUM(N9:N10)</f>
        <v>3430363423.6236043</v>
      </c>
    </row>
    <row r="12" spans="2:14" ht="18" x14ac:dyDescent="0.35">
      <c r="B12" s="9" t="s">
        <v>38</v>
      </c>
      <c r="C12" s="10">
        <f>-SUMIFS('Income - Accounts'!$C$2:$C$107,'Income - Accounts'!$A$2:$A$107,'P&amp;L'!$B12,'Income - Accounts'!$E$2:$E$107,'P&amp;L'!C$6)</f>
        <v>-7600000</v>
      </c>
      <c r="D12" s="10">
        <f>-SUMIFS('Income - Accounts'!$C$2:$C$107,'Income - Accounts'!$A$2:$A$107,'P&amp;L'!$B12,'Income - Accounts'!$E$2:$E$107,'P&amp;L'!D$6)</f>
        <v>-1400000</v>
      </c>
      <c r="E12" s="10">
        <f>-SUMIFS('Income - Accounts'!$C$2:$C$107,'Income - Accounts'!$A$2:$A$107,'P&amp;L'!$B12,'Income - Accounts'!$E$2:$E$107,'P&amp;L'!E$6)</f>
        <v>-2000000</v>
      </c>
      <c r="G12" s="16">
        <f t="shared" si="1"/>
        <v>0.18421052631578946</v>
      </c>
      <c r="H12" s="16">
        <f t="shared" si="2"/>
        <v>1.4285714285714286</v>
      </c>
      <c r="I12" s="16"/>
      <c r="J12">
        <f>'Fixed Asset forward'!F7</f>
        <v>730137549.40711462</v>
      </c>
      <c r="K12">
        <f>'Fixed Asset forward'!G7</f>
        <v>766500130.91908944</v>
      </c>
      <c r="L12">
        <f>'Fixed Asset forward'!H7</f>
        <v>804673655.22573185</v>
      </c>
      <c r="M12">
        <f>'Fixed Asset forward'!I7</f>
        <v>844748311.57294226</v>
      </c>
      <c r="N12">
        <f>'Fixed Asset forward'!J7</f>
        <v>886818780.84495449</v>
      </c>
    </row>
    <row r="13" spans="2:14" ht="18" x14ac:dyDescent="0.35">
      <c r="B13" s="8" t="s">
        <v>35</v>
      </c>
      <c r="C13" s="12">
        <f>SUM(C11:C12)</f>
        <v>67838741</v>
      </c>
      <c r="D13" s="12">
        <f t="shared" ref="D13:E13" si="17">SUM(D11:D12)</f>
        <v>70632609</v>
      </c>
      <c r="E13" s="12">
        <f t="shared" si="17"/>
        <v>89697924</v>
      </c>
      <c r="G13" s="17">
        <f t="shared" si="1"/>
        <v>1.0411839600619948</v>
      </c>
      <c r="H13" s="17">
        <f t="shared" si="2"/>
        <v>1.2699222819307157</v>
      </c>
      <c r="I13" s="26"/>
      <c r="J13" s="12">
        <f t="shared" ref="J13" si="18">SUM(J11:J12)</f>
        <v>914336660.38096213</v>
      </c>
      <c r="K13" s="12">
        <f t="shared" ref="K13" si="19">SUM(K11:K12)</f>
        <v>1149149217.1623201</v>
      </c>
      <c r="L13" s="12">
        <f t="shared" ref="L13" si="20">SUM(L11:L12)</f>
        <v>1599576097.6352842</v>
      </c>
      <c r="M13" s="12">
        <f t="shared" ref="M13" si="21">SUM(M11:M12)</f>
        <v>2496052118.8085451</v>
      </c>
      <c r="N13" s="12">
        <f t="shared" ref="N13" si="22">SUM(N11:N12)</f>
        <v>4317182204.4685593</v>
      </c>
    </row>
    <row r="14" spans="2:14" ht="18" x14ac:dyDescent="0.35">
      <c r="B14" s="7" t="s">
        <v>6</v>
      </c>
      <c r="C14" s="10">
        <f>-SUMIFS('Income - Accounts'!$C$2:$C$107,'Income - Accounts'!$A$2:$A$107,'P&amp;L'!$B14,'Income - Accounts'!$E$2:$E$107,'P&amp;L'!C$6)</f>
        <v>-8540656</v>
      </c>
      <c r="D14" s="10">
        <f>-SUMIFS('Income - Accounts'!$C$2:$C$107,'Income - Accounts'!$A$2:$A$107,'P&amp;L'!$B14,'Income - Accounts'!$E$2:$E$107,'P&amp;L'!D$6)</f>
        <v>-7207392</v>
      </c>
      <c r="E14" s="10">
        <f>-SUMIFS('Income - Accounts'!$C$2:$C$107,'Income - Accounts'!$A$2:$A$107,'P&amp;L'!$B14,'Income - Accounts'!$E$2:$E$107,'P&amp;L'!E$6)</f>
        <v>-7642140</v>
      </c>
      <c r="G14" s="16">
        <f t="shared" si="1"/>
        <v>0.84389208510446978</v>
      </c>
      <c r="H14" s="16">
        <f t="shared" si="2"/>
        <v>1.0603197384019074</v>
      </c>
      <c r="I14" s="16"/>
      <c r="J14" s="38">
        <f>'Finanical liabilities schedule'!C17</f>
        <v>-48400000</v>
      </c>
      <c r="K14" s="38">
        <f>'Finanical liabilities schedule'!D17</f>
        <v>-45058972.747061551</v>
      </c>
      <c r="L14" s="38">
        <f>'Finanical liabilities schedule'!E17</f>
        <v>-41450663.313888013</v>
      </c>
      <c r="M14" s="38">
        <f>'Finanical liabilities schedule'!F17</f>
        <v>-37553689.126060598</v>
      </c>
      <c r="N14" s="38">
        <f>'Finanical liabilities schedule'!G17</f>
        <v>-33344957.003207002</v>
      </c>
    </row>
    <row r="15" spans="2:14" ht="18" x14ac:dyDescent="0.35">
      <c r="B15" s="8" t="s">
        <v>36</v>
      </c>
      <c r="C15" s="11">
        <f>SUM(C13:C14)</f>
        <v>59298085</v>
      </c>
      <c r="D15" s="11">
        <f t="shared" ref="D15:E15" si="23">SUM(D13:D14)</f>
        <v>63425217</v>
      </c>
      <c r="E15" s="11">
        <f t="shared" si="23"/>
        <v>82055784</v>
      </c>
      <c r="G15" s="17">
        <f t="shared" si="1"/>
        <v>1.069599751830097</v>
      </c>
      <c r="H15" s="17">
        <f t="shared" si="2"/>
        <v>1.2937406899214865</v>
      </c>
      <c r="I15" s="26"/>
      <c r="J15" s="11">
        <f t="shared" ref="J15" si="24">SUM(J13:J14)</f>
        <v>865936660.38096213</v>
      </c>
      <c r="K15" s="11">
        <f t="shared" ref="K15" si="25">SUM(K13:K14)</f>
        <v>1104090244.4152586</v>
      </c>
      <c r="L15" s="11">
        <f t="shared" ref="L15" si="26">SUM(L13:L14)</f>
        <v>1558125434.3213961</v>
      </c>
      <c r="M15" s="11">
        <f t="shared" ref="M15" si="27">SUM(M13:M14)</f>
        <v>2458498429.6824846</v>
      </c>
      <c r="N15" s="11">
        <f t="shared" ref="N15" si="28">SUM(N13:N14)</f>
        <v>4283837247.4653521</v>
      </c>
    </row>
    <row r="16" spans="2:14" ht="18" x14ac:dyDescent="0.35">
      <c r="B16" s="7" t="s">
        <v>5</v>
      </c>
      <c r="C16" s="10">
        <f>-SUMIFS('Income - Accounts'!$C$2:$C$107,'Income - Accounts'!$A$2:$A$107,'P&amp;L'!$B16,'Income - Accounts'!$E$2:$E$107,'P&amp;L'!C$6)</f>
        <v>-4847480</v>
      </c>
      <c r="D16" s="10">
        <f>-SUMIFS('Income - Accounts'!$C$2:$C$107,'Income - Accounts'!$A$2:$A$107,'P&amp;L'!$B16,'Income - Accounts'!$E$2:$E$107,'P&amp;L'!D$6)</f>
        <v>-4098158</v>
      </c>
      <c r="E16" s="10">
        <f>-SUMIFS('Income - Accounts'!$C$2:$C$107,'Income - Accounts'!$A$2:$A$107,'P&amp;L'!$B16,'Income - Accounts'!$E$2:$E$107,'P&amp;L'!E$6)</f>
        <v>-13477115</v>
      </c>
      <c r="G16" s="16">
        <f t="shared" si="1"/>
        <v>0.84542030085735265</v>
      </c>
      <c r="H16" s="16">
        <f t="shared" si="2"/>
        <v>3.2885786736382538</v>
      </c>
      <c r="I16" s="16"/>
      <c r="J16" s="38">
        <f>-J15*J41</f>
        <v>-194835748.58571649</v>
      </c>
      <c r="K16" s="38">
        <f t="shared" ref="K16:N16" si="29">-K15*K41</f>
        <v>-248420304.99343321</v>
      </c>
      <c r="L16" s="38">
        <f t="shared" si="29"/>
        <v>-350578222.72231412</v>
      </c>
      <c r="M16" s="38">
        <f t="shared" si="29"/>
        <v>-553162146.67855906</v>
      </c>
      <c r="N16" s="38">
        <f t="shared" si="29"/>
        <v>-963863380.67970419</v>
      </c>
    </row>
    <row r="17" spans="2:14" ht="18.600000000000001" thickBot="1" x14ac:dyDescent="0.4">
      <c r="B17" s="14" t="s">
        <v>37</v>
      </c>
      <c r="C17" s="15">
        <f>SUM(C15:C16)</f>
        <v>54450605</v>
      </c>
      <c r="D17" s="15">
        <f t="shared" ref="D17:E17" si="30">SUM(D15:D16)</f>
        <v>59327059</v>
      </c>
      <c r="E17" s="15">
        <f t="shared" si="30"/>
        <v>68578669</v>
      </c>
      <c r="G17" s="18">
        <f t="shared" si="1"/>
        <v>1.0895573887562866</v>
      </c>
      <c r="H17" s="18">
        <f t="shared" si="2"/>
        <v>1.1559425017174709</v>
      </c>
      <c r="I17" s="26"/>
      <c r="J17" s="15">
        <f t="shared" ref="J17" si="31">SUM(J15:J16)</f>
        <v>671100911.79524565</v>
      </c>
      <c r="K17" s="15">
        <f t="shared" ref="K17" si="32">SUM(K15:K16)</f>
        <v>855669939.42182541</v>
      </c>
      <c r="L17" s="15">
        <f t="shared" ref="L17" si="33">SUM(L15:L16)</f>
        <v>1207547211.599082</v>
      </c>
      <c r="M17" s="15">
        <f t="shared" ref="M17" si="34">SUM(M15:M16)</f>
        <v>1905336283.0039256</v>
      </c>
      <c r="N17" s="15">
        <f t="shared" ref="N17" si="35">SUM(N15:N16)</f>
        <v>3319973866.7856479</v>
      </c>
    </row>
    <row r="18" spans="2:14" x14ac:dyDescent="0.3">
      <c r="B18" s="5"/>
    </row>
    <row r="19" spans="2:14" ht="21" x14ac:dyDescent="0.4">
      <c r="B19" s="19" t="s">
        <v>115</v>
      </c>
      <c r="C19" s="20"/>
      <c r="D19" s="30">
        <f>G7</f>
        <v>0.92666890818708714</v>
      </c>
      <c r="E19" s="30">
        <f>H7</f>
        <v>1.2280643499724411</v>
      </c>
      <c r="F19" s="21"/>
      <c r="G19" s="22">
        <f>AVERAGE(D19,E19)</f>
        <v>1.0773666290797641</v>
      </c>
      <c r="H19" s="21"/>
      <c r="I19" s="21"/>
      <c r="J19" s="21"/>
      <c r="K19" s="21"/>
      <c r="L19" s="21"/>
      <c r="M19" s="21"/>
      <c r="N19" s="21"/>
    </row>
    <row r="20" spans="2:14" ht="25.8" x14ac:dyDescent="0.5">
      <c r="B20" s="37" t="s">
        <v>120</v>
      </c>
      <c r="C20" s="20"/>
      <c r="D20" s="20"/>
      <c r="E20" s="20"/>
      <c r="F20" s="21"/>
      <c r="G20" s="23"/>
      <c r="H20" s="21"/>
      <c r="I20" s="21"/>
      <c r="J20" s="21"/>
      <c r="K20" s="21"/>
      <c r="L20" s="21"/>
      <c r="M20" s="21"/>
      <c r="N20" s="21"/>
    </row>
    <row r="21" spans="2:14" ht="21" x14ac:dyDescent="0.4">
      <c r="B21" s="31" t="s">
        <v>126</v>
      </c>
      <c r="C21" s="33"/>
      <c r="D21" s="33"/>
      <c r="E21" s="33"/>
      <c r="F21" s="33"/>
      <c r="G21" s="31"/>
      <c r="H21" s="33"/>
      <c r="I21" s="33"/>
      <c r="J21" s="34">
        <f t="shared" ref="J21:N21" si="36">CHOOSE(MATCH($I$4,$B$22:$B$24,0),J22,J23,J24)</f>
        <v>1.0773666290797641</v>
      </c>
      <c r="K21" s="34">
        <f t="shared" si="36"/>
        <v>1.0773666290797641</v>
      </c>
      <c r="L21" s="34">
        <f t="shared" si="36"/>
        <v>1.0773666290797641</v>
      </c>
      <c r="M21" s="34">
        <f t="shared" si="36"/>
        <v>1.0773666290797641</v>
      </c>
      <c r="N21" s="34">
        <f t="shared" si="36"/>
        <v>1.0773666290797641</v>
      </c>
    </row>
    <row r="22" spans="2:14" ht="18" x14ac:dyDescent="0.35">
      <c r="B22" s="28" t="s">
        <v>122</v>
      </c>
      <c r="C22" s="20"/>
      <c r="D22" s="20"/>
      <c r="E22" s="20"/>
      <c r="F22" s="21"/>
      <c r="G22" s="23"/>
      <c r="H22" s="21"/>
      <c r="I22" s="39"/>
      <c r="J22" s="29">
        <v>0.92666890818708703</v>
      </c>
      <c r="K22" s="29">
        <v>0.92666890818708703</v>
      </c>
      <c r="L22" s="29">
        <v>0.92666890818708703</v>
      </c>
      <c r="M22" s="29">
        <v>0.92666890818708703</v>
      </c>
      <c r="N22" s="29">
        <v>0.92666890818708703</v>
      </c>
    </row>
    <row r="23" spans="2:14" ht="18" x14ac:dyDescent="0.35">
      <c r="B23" s="28" t="s">
        <v>123</v>
      </c>
      <c r="C23" s="20"/>
      <c r="D23" s="20"/>
      <c r="E23" s="20"/>
      <c r="F23" s="21"/>
      <c r="G23" s="23"/>
      <c r="H23" s="21"/>
      <c r="I23" s="39"/>
      <c r="J23" s="29">
        <v>1.0773666290797641</v>
      </c>
      <c r="K23" s="29">
        <v>1.0773666290797641</v>
      </c>
      <c r="L23" s="29">
        <v>1.0773666290797641</v>
      </c>
      <c r="M23" s="29">
        <v>1.0773666290797641</v>
      </c>
      <c r="N23" s="29">
        <v>1.0773666290797641</v>
      </c>
    </row>
    <row r="24" spans="2:14" ht="18" x14ac:dyDescent="0.35">
      <c r="B24" s="28" t="s">
        <v>121</v>
      </c>
      <c r="C24" s="20"/>
      <c r="D24" s="20"/>
      <c r="E24" s="20"/>
      <c r="F24" s="21"/>
      <c r="G24" s="23"/>
      <c r="H24" s="21"/>
      <c r="I24" s="39"/>
      <c r="J24" s="29">
        <v>1.2280643499724411</v>
      </c>
      <c r="K24" s="29">
        <v>1.2280643499724411</v>
      </c>
      <c r="L24" s="29">
        <v>1.2280643499724411</v>
      </c>
      <c r="M24" s="29">
        <v>1.2280643499724411</v>
      </c>
      <c r="N24" s="29">
        <v>1.2280643499724411</v>
      </c>
    </row>
    <row r="25" spans="2:14" ht="18" x14ac:dyDescent="0.35">
      <c r="B25" s="21"/>
      <c r="C25" s="20"/>
      <c r="D25" s="20"/>
      <c r="E25" s="20"/>
      <c r="F25" s="21"/>
      <c r="G25" s="23"/>
      <c r="H25" s="21"/>
      <c r="I25" s="40"/>
      <c r="J25" s="21"/>
      <c r="K25" s="21"/>
      <c r="L25" s="21"/>
      <c r="M25" s="21"/>
      <c r="N25" s="21"/>
    </row>
    <row r="26" spans="2:14" ht="18" x14ac:dyDescent="0.35">
      <c r="B26" s="21"/>
      <c r="C26" s="20"/>
      <c r="D26" s="20"/>
      <c r="E26" s="20"/>
      <c r="F26" s="21"/>
      <c r="G26" s="23"/>
      <c r="H26" s="21"/>
      <c r="I26" s="40"/>
      <c r="J26" s="21"/>
      <c r="K26" s="21"/>
      <c r="L26" s="21"/>
      <c r="M26" s="21"/>
      <c r="N26" s="21"/>
    </row>
    <row r="27" spans="2:14" ht="21" x14ac:dyDescent="0.4">
      <c r="B27" s="19" t="s">
        <v>116</v>
      </c>
      <c r="C27" s="29">
        <f>C8/C7</f>
        <v>-0.13229982059192333</v>
      </c>
      <c r="D27" s="29">
        <f t="shared" ref="D27:E27" si="37">D8/D7</f>
        <v>-0.11873347466599575</v>
      </c>
      <c r="E27" s="29">
        <f t="shared" si="37"/>
        <v>-4.0135180044889494E-2</v>
      </c>
      <c r="F27" s="21"/>
      <c r="G27" s="22">
        <f>AVERAGE(C27:E27)</f>
        <v>-9.7056158434269513E-2</v>
      </c>
      <c r="H27" s="21"/>
      <c r="I27" s="40"/>
      <c r="J27" s="21"/>
      <c r="K27" s="21"/>
      <c r="L27" s="21"/>
      <c r="M27" s="21"/>
      <c r="N27" s="21"/>
    </row>
    <row r="28" spans="2:14" ht="21" x14ac:dyDescent="0.4">
      <c r="B28" s="31" t="s">
        <v>126</v>
      </c>
      <c r="C28" s="35"/>
      <c r="D28" s="35"/>
      <c r="E28" s="35"/>
      <c r="F28" s="33"/>
      <c r="G28" s="36"/>
      <c r="H28" s="33"/>
      <c r="I28" s="33"/>
      <c r="J28" s="34">
        <f t="shared" ref="J28:N28" si="38">CHOOSE(MATCH($I$4,$B$22:$B$24,0),J29,J30,J31)</f>
        <v>-9.7056158434269513E-2</v>
      </c>
      <c r="K28" s="34">
        <f t="shared" si="38"/>
        <v>-9.7056158434269513E-2</v>
      </c>
      <c r="L28" s="34">
        <f t="shared" si="38"/>
        <v>-9.7056158434269513E-2</v>
      </c>
      <c r="M28" s="34">
        <f t="shared" si="38"/>
        <v>-9.7056158434269513E-2</v>
      </c>
      <c r="N28" s="34">
        <f t="shared" si="38"/>
        <v>-9.7056158434269513E-2</v>
      </c>
    </row>
    <row r="29" spans="2:14" ht="18" x14ac:dyDescent="0.35">
      <c r="B29" s="28" t="s">
        <v>122</v>
      </c>
      <c r="C29" s="24"/>
      <c r="D29" s="24"/>
      <c r="E29" s="24"/>
      <c r="F29" s="21"/>
      <c r="G29" s="25"/>
      <c r="H29" s="21"/>
      <c r="I29" s="39"/>
      <c r="J29" s="29">
        <v>-0.13229982059192333</v>
      </c>
      <c r="K29" s="29">
        <v>-0.13229982059192333</v>
      </c>
      <c r="L29" s="29">
        <v>-0.13229982059192333</v>
      </c>
      <c r="M29" s="29">
        <v>-0.13229982059192333</v>
      </c>
      <c r="N29" s="29">
        <v>-0.13229982059192333</v>
      </c>
    </row>
    <row r="30" spans="2:14" ht="18" x14ac:dyDescent="0.35">
      <c r="B30" s="28" t="s">
        <v>123</v>
      </c>
      <c r="C30" s="24"/>
      <c r="D30" s="24"/>
      <c r="E30" s="24"/>
      <c r="F30" s="21"/>
      <c r="G30" s="25"/>
      <c r="H30" s="21"/>
      <c r="I30" s="39"/>
      <c r="J30" s="29">
        <v>-9.7056158434269513E-2</v>
      </c>
      <c r="K30" s="29">
        <v>-9.7056158434269513E-2</v>
      </c>
      <c r="L30" s="29">
        <v>-9.7056158434269513E-2</v>
      </c>
      <c r="M30" s="29">
        <v>-9.7056158434269513E-2</v>
      </c>
      <c r="N30" s="29">
        <v>-9.7056158434269513E-2</v>
      </c>
    </row>
    <row r="31" spans="2:14" ht="18" x14ac:dyDescent="0.35">
      <c r="B31" s="28" t="s">
        <v>121</v>
      </c>
      <c r="C31" s="20"/>
      <c r="D31" s="20"/>
      <c r="E31" s="20"/>
      <c r="F31" s="21"/>
      <c r="G31" s="23"/>
      <c r="H31" s="21"/>
      <c r="I31" s="39"/>
      <c r="J31" s="29">
        <v>-4.0135180044889494E-2</v>
      </c>
      <c r="K31" s="29">
        <v>-4.0135180044889494E-2</v>
      </c>
      <c r="L31" s="29">
        <v>-4.0135180044889494E-2</v>
      </c>
      <c r="M31" s="29">
        <v>-4.0135180044889494E-2</v>
      </c>
      <c r="N31" s="29">
        <v>-4.0135180044889494E-2</v>
      </c>
    </row>
    <row r="32" spans="2:14" ht="18" x14ac:dyDescent="0.35">
      <c r="B32" s="21"/>
      <c r="C32" s="20"/>
      <c r="D32" s="20"/>
      <c r="E32" s="20"/>
      <c r="F32" s="21"/>
      <c r="G32" s="23"/>
      <c r="H32" s="21"/>
      <c r="I32" s="41"/>
      <c r="J32" s="21"/>
      <c r="K32" s="21"/>
      <c r="L32" s="21"/>
      <c r="M32" s="21"/>
      <c r="N32" s="21"/>
    </row>
    <row r="33" spans="2:14" ht="18" x14ac:dyDescent="0.35">
      <c r="B33" s="21"/>
      <c r="C33" s="20"/>
      <c r="D33" s="20"/>
      <c r="E33" s="20"/>
      <c r="F33" s="21"/>
      <c r="G33" s="23"/>
      <c r="H33" s="21"/>
      <c r="I33" s="41"/>
      <c r="J33" s="21"/>
      <c r="K33" s="21"/>
      <c r="L33" s="21"/>
      <c r="M33" s="21"/>
      <c r="N33" s="21"/>
    </row>
    <row r="34" spans="2:14" ht="21" x14ac:dyDescent="0.4">
      <c r="B34" s="19" t="s">
        <v>117</v>
      </c>
      <c r="C34" s="29">
        <f>C10/C7</f>
        <v>-6.919170254978152E-2</v>
      </c>
      <c r="D34" s="29">
        <f t="shared" ref="D34:E34" si="39">D10/D7</f>
        <v>-5.8475298230170836E-2</v>
      </c>
      <c r="E34" s="29">
        <f t="shared" si="39"/>
        <v>-0.10696330329073969</v>
      </c>
      <c r="F34" s="21"/>
      <c r="G34" s="22">
        <f>AVERAGE(C34:E34)</f>
        <v>-7.8210101356897349E-2</v>
      </c>
      <c r="H34" s="21"/>
      <c r="I34" s="41"/>
      <c r="J34" s="21"/>
      <c r="K34" s="21"/>
      <c r="L34" s="21"/>
      <c r="M34" s="21"/>
      <c r="N34" s="21"/>
    </row>
    <row r="35" spans="2:14" ht="21" x14ac:dyDescent="0.4">
      <c r="B35" s="31" t="s">
        <v>126</v>
      </c>
      <c r="C35" s="33"/>
      <c r="D35" s="33"/>
      <c r="E35" s="33"/>
      <c r="F35" s="33"/>
      <c r="G35" s="33"/>
      <c r="H35" s="33"/>
      <c r="I35" s="33"/>
      <c r="J35" s="34">
        <f t="shared" ref="J35:N35" si="40">CHOOSE(MATCH($I$4,$B$22:$B$24,0),J36,J37,J38)</f>
        <v>-7.8210101356897349E-2</v>
      </c>
      <c r="K35" s="34">
        <f t="shared" si="40"/>
        <v>-7.8210101356897349E-2</v>
      </c>
      <c r="L35" s="34">
        <f t="shared" si="40"/>
        <v>-7.8210101356897349E-2</v>
      </c>
      <c r="M35" s="34">
        <f t="shared" si="40"/>
        <v>-7.8210101356897349E-2</v>
      </c>
      <c r="N35" s="34">
        <f t="shared" si="40"/>
        <v>-7.8210101356897349E-2</v>
      </c>
    </row>
    <row r="36" spans="2:14" ht="18" x14ac:dyDescent="0.35">
      <c r="B36" s="28" t="s">
        <v>122</v>
      </c>
      <c r="C36" s="21"/>
      <c r="D36" s="21"/>
      <c r="E36" s="21"/>
      <c r="F36" s="21"/>
      <c r="G36" s="21"/>
      <c r="H36" s="21"/>
      <c r="I36" s="39"/>
      <c r="J36" s="29">
        <v>-0.10696330329073969</v>
      </c>
      <c r="K36" s="29">
        <v>-0.10696330329073969</v>
      </c>
      <c r="L36" s="29">
        <v>-0.10696330329073969</v>
      </c>
      <c r="M36" s="29">
        <v>-0.10696330329073969</v>
      </c>
      <c r="N36" s="29">
        <v>-0.10696330329073969</v>
      </c>
    </row>
    <row r="37" spans="2:14" ht="18" x14ac:dyDescent="0.35">
      <c r="B37" s="28" t="s">
        <v>123</v>
      </c>
      <c r="C37" s="21"/>
      <c r="D37" s="21"/>
      <c r="E37" s="21"/>
      <c r="F37" s="21"/>
      <c r="G37" s="21"/>
      <c r="H37" s="21"/>
      <c r="I37" s="39"/>
      <c r="J37" s="29">
        <v>-7.8210101356897349E-2</v>
      </c>
      <c r="K37" s="29">
        <v>-7.8210101356897349E-2</v>
      </c>
      <c r="L37" s="29">
        <v>-7.8210101356897349E-2</v>
      </c>
      <c r="M37" s="29">
        <v>-7.8210101356897349E-2</v>
      </c>
      <c r="N37" s="29">
        <v>-7.8210101356897349E-2</v>
      </c>
    </row>
    <row r="38" spans="2:14" ht="18" x14ac:dyDescent="0.35">
      <c r="B38" s="28" t="s">
        <v>121</v>
      </c>
      <c r="C38" s="21"/>
      <c r="D38" s="21"/>
      <c r="E38" s="21"/>
      <c r="F38" s="21"/>
      <c r="G38" s="21"/>
      <c r="H38" s="21"/>
      <c r="I38" s="39"/>
      <c r="J38" s="29">
        <v>-5.8475298230170836E-2</v>
      </c>
      <c r="K38" s="29">
        <v>-5.8475298230170836E-2</v>
      </c>
      <c r="L38" s="29">
        <v>-5.8475298230170836E-2</v>
      </c>
      <c r="M38" s="29">
        <v>-5.8475298230170836E-2</v>
      </c>
      <c r="N38" s="29">
        <v>-5.8475298230170836E-2</v>
      </c>
    </row>
    <row r="39" spans="2:14" x14ac:dyDescent="0.3">
      <c r="B39" s="21"/>
      <c r="C39" s="21"/>
      <c r="D39" s="21"/>
      <c r="E39" s="21"/>
      <c r="F39" s="21"/>
      <c r="G39" s="21"/>
      <c r="H39" s="21"/>
      <c r="I39" s="40"/>
      <c r="J39" s="21"/>
      <c r="K39" s="21"/>
      <c r="L39" s="21"/>
      <c r="M39" s="21"/>
      <c r="N39" s="21"/>
    </row>
    <row r="40" spans="2:14" x14ac:dyDescent="0.3"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</row>
    <row r="41" spans="2:14" ht="21" x14ac:dyDescent="0.4">
      <c r="B41" s="19" t="s">
        <v>5</v>
      </c>
      <c r="C41" s="21"/>
      <c r="D41" s="21"/>
      <c r="E41" s="21"/>
      <c r="F41" s="21"/>
      <c r="G41" s="21"/>
      <c r="H41" s="21"/>
      <c r="I41" s="21"/>
      <c r="J41" s="29">
        <v>0.22500000000000001</v>
      </c>
      <c r="K41" s="29">
        <v>0.22500000000000001</v>
      </c>
      <c r="L41" s="29">
        <v>0.22500000000000001</v>
      </c>
      <c r="M41" s="29">
        <v>0.22500000000000001</v>
      </c>
      <c r="N41" s="29">
        <v>0.22500000000000001</v>
      </c>
    </row>
  </sheetData>
  <mergeCells count="1">
    <mergeCell ref="J4:N4"/>
  </mergeCells>
  <dataValidations count="1">
    <dataValidation type="list" allowBlank="1" showInputMessage="1" showErrorMessage="1" sqref="I4" xr:uid="{9A667DAD-FE0D-4E01-935F-D8F58026C45F}">
      <formula1>$B$22:$B$24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2F81742B-9DF0-4E83-9754-A0502B98FD6B}">
            <x14:iconSet iconSet="3Triangles">
              <x14:cfvo type="percent">
                <xm:f>0</xm:f>
              </x14:cfvo>
              <x14:cfvo type="num">
                <xm:f>0</xm:f>
              </x14:cfvo>
              <x14:cfvo type="num">
                <xm:f>0.1</xm:f>
              </x14:cfvo>
            </x14:iconSet>
          </x14:cfRule>
          <xm:sqref>G7:I17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E24C3-EE92-4E52-B466-9B2A1DFFD79D}">
  <dimension ref="B1:K27"/>
  <sheetViews>
    <sheetView showGridLines="0" zoomScale="65" zoomScaleNormal="79" workbookViewId="0">
      <selection activeCell="G20" sqref="G20"/>
    </sheetView>
  </sheetViews>
  <sheetFormatPr defaultRowHeight="14.4" x14ac:dyDescent="0.3"/>
  <cols>
    <col min="1" max="1" width="4.88671875" customWidth="1"/>
    <col min="2" max="2" width="26.5546875" bestFit="1" customWidth="1"/>
    <col min="3" max="4" width="10.6640625" bestFit="1" customWidth="1"/>
    <col min="5" max="5" width="11.6640625" bestFit="1" customWidth="1"/>
    <col min="6" max="6" width="19.21875" bestFit="1" customWidth="1"/>
    <col min="7" max="9" width="20.77734375" bestFit="1" customWidth="1"/>
    <col min="10" max="10" width="21.88671875" bestFit="1" customWidth="1"/>
  </cols>
  <sheetData>
    <row r="1" spans="2:11" ht="28.8" x14ac:dyDescent="0.55000000000000004">
      <c r="B1" s="49" t="s">
        <v>169</v>
      </c>
    </row>
    <row r="2" spans="2:11" ht="21" x14ac:dyDescent="0.3">
      <c r="F2" s="92" t="s">
        <v>124</v>
      </c>
      <c r="G2" s="92"/>
      <c r="H2" s="92"/>
      <c r="I2" s="92"/>
      <c r="J2" s="92"/>
    </row>
    <row r="3" spans="2:11" ht="15" thickBot="1" x14ac:dyDescent="0.35"/>
    <row r="4" spans="2:11" ht="15" thickBot="1" x14ac:dyDescent="0.35">
      <c r="B4" s="43"/>
      <c r="C4" s="48">
        <v>44926</v>
      </c>
      <c r="D4" s="48">
        <v>45291</v>
      </c>
      <c r="E4" s="48">
        <v>45657</v>
      </c>
      <c r="F4" s="55">
        <v>46022</v>
      </c>
      <c r="G4" s="55">
        <v>46387</v>
      </c>
      <c r="H4" s="55">
        <v>46752</v>
      </c>
      <c r="I4" s="55">
        <v>47118</v>
      </c>
      <c r="J4" s="56">
        <v>47483</v>
      </c>
    </row>
    <row r="5" spans="2:11" x14ac:dyDescent="0.3">
      <c r="B5" t="s">
        <v>132</v>
      </c>
      <c r="C5">
        <f>INDEX('Balance sheet'!$A$1:$J$53,MATCH(BS!$B5,'Balance sheet'!$A$1:$A$53,0),MATCH(BS!C$4,'Balance sheet'!$A$1:$J$1,0))</f>
        <v>143900000</v>
      </c>
      <c r="D5">
        <f>INDEX('Balance sheet'!$A$1:$J$53,MATCH(BS!$B5,'Balance sheet'!$A$1:$A$53,0),MATCH(BS!D$4,'Balance sheet'!$A$1:$J$1,0))</f>
        <v>156780000</v>
      </c>
      <c r="E5">
        <f>INDEX('Balance sheet'!$A$1:$J$53,MATCH(BS!$B5,'Balance sheet'!$A$1:$A$53,0),MATCH(BS!E$4,'Balance sheet'!$A$1:$J$1,0))</f>
        <v>169300000</v>
      </c>
      <c r="F5" s="57">
        <f>F21*'P&amp;L'!J7/365</f>
        <v>363951469.68045497</v>
      </c>
      <c r="G5" s="57">
        <f>G21*'P&amp;L'!K7/365</f>
        <v>756060637.71871269</v>
      </c>
      <c r="H5" s="57">
        <f>H21*'P&amp;L'!L7/365</f>
        <v>1570615138.3576188</v>
      </c>
      <c r="I5" s="57">
        <f>I21*'P&amp;L'!M7/365</f>
        <v>3262743475.5516133</v>
      </c>
      <c r="J5" s="57">
        <f>J21*'P&amp;L'!N7/365</f>
        <v>6777914415.3586483</v>
      </c>
    </row>
    <row r="6" spans="2:11" x14ac:dyDescent="0.3">
      <c r="B6" t="s">
        <v>138</v>
      </c>
      <c r="C6">
        <f>INDEX('Balance sheet'!$A$1:$J$53,MATCH(BS!$B6,'Balance sheet'!$A$1:$A$53,0),MATCH(BS!C$4,'Balance sheet'!$A$1:$J$1,0))</f>
        <v>85000000</v>
      </c>
      <c r="D6">
        <f>INDEX('Balance sheet'!$A$1:$J$53,MATCH(BS!$B6,'Balance sheet'!$A$1:$A$53,0),MATCH(BS!D$4,'Balance sheet'!$A$1:$J$1,0))</f>
        <v>92000000</v>
      </c>
      <c r="E6">
        <f>INDEX('Balance sheet'!$A$1:$J$53,MATCH(BS!$B6,'Balance sheet'!$A$1:$A$53,0),MATCH(BS!E$4,'Balance sheet'!$A$1:$J$1,0))</f>
        <v>100000000</v>
      </c>
      <c r="F6" s="57">
        <f>-F23*'P&amp;L'!J8/365</f>
        <v>280541617.09873551</v>
      </c>
      <c r="G6" s="57">
        <f>-G23*'P&amp;L'!K8/365</f>
        <v>582787793.42898607</v>
      </c>
      <c r="H6" s="57">
        <f>-H23*'P&amp;L'!L8/365</f>
        <v>1210663913.9044063</v>
      </c>
      <c r="I6" s="57">
        <f>-I23*'P&amp;L'!M8/365</f>
        <v>2514992813.7761102</v>
      </c>
      <c r="J6" s="57">
        <f>-J23*'P&amp;L'!N8/365</f>
        <v>5224562143.7139082</v>
      </c>
      <c r="K6" s="38"/>
    </row>
    <row r="7" spans="2:11" x14ac:dyDescent="0.3">
      <c r="B7" t="s">
        <v>143</v>
      </c>
      <c r="C7">
        <f>INDEX('Balance sheet'!$A$1:$J$53,MATCH(BS!$B7,'Balance sheet'!$A$1:$A$53,0),MATCH(BS!C$4,'Balance sheet'!$A$1:$J$1,0))</f>
        <v>632500000</v>
      </c>
      <c r="D7">
        <f>INDEX('Balance sheet'!$A$1:$J$53,MATCH(BS!$B7,'Balance sheet'!$A$1:$A$53,0),MATCH(BS!D$4,'Balance sheet'!$A$1:$J$1,0))</f>
        <v>632500000</v>
      </c>
      <c r="E7">
        <f>INDEX('Balance sheet'!$A$1:$J$53,MATCH(BS!$B7,'Balance sheet'!$A$1:$A$53,0),MATCH(BS!E$4,'Balance sheet'!$A$1:$J$1,0))</f>
        <v>695500000</v>
      </c>
      <c r="F7" s="57">
        <f>'Fixed Asset forward'!F7</f>
        <v>730137549.40711462</v>
      </c>
      <c r="G7" s="57">
        <f>'Fixed Asset forward'!G7</f>
        <v>766500130.91908944</v>
      </c>
      <c r="H7" s="57">
        <f>'Fixed Asset forward'!H7</f>
        <v>804673655.22573185</v>
      </c>
      <c r="I7" s="57">
        <f>'Fixed Asset forward'!I7</f>
        <v>844748311.57294226</v>
      </c>
      <c r="J7" s="57">
        <f>'Fixed Asset forward'!J7</f>
        <v>886818780.84495449</v>
      </c>
    </row>
    <row r="8" spans="2:11" x14ac:dyDescent="0.3">
      <c r="B8" t="s">
        <v>147</v>
      </c>
      <c r="C8">
        <f>INDEX('Balance sheet'!$A$1:$J$53,MATCH(BS!$B8,'Balance sheet'!$A$1:$A$53,0),MATCH(BS!C$4,'Balance sheet'!$A$1:$J$1,0))</f>
        <v>24800000</v>
      </c>
      <c r="D8">
        <f>INDEX('Balance sheet'!$A$1:$J$53,MATCH(BS!$B8,'Balance sheet'!$A$1:$A$53,0),MATCH(BS!D$4,'Balance sheet'!$A$1:$J$1,0))</f>
        <v>21800000</v>
      </c>
      <c r="E8">
        <f>INDEX('Balance sheet'!$A$1:$J$53,MATCH(BS!$B8,'Balance sheet'!$A$1:$A$53,0),MATCH(BS!E$4,'Balance sheet'!$A$1:$J$1,0))</f>
        <v>21000000</v>
      </c>
      <c r="F8" s="57">
        <f>'Cash Flow '!E29</f>
        <v>-611810146.53802991</v>
      </c>
      <c r="G8" s="57">
        <f>'Cash Flow '!F29</f>
        <v>-1461770720.1588256</v>
      </c>
      <c r="H8" s="57">
        <f>'Cash Flow '!G29</f>
        <v>-2697451593.9417629</v>
      </c>
      <c r="I8" s="57">
        <f>'Cash Flow '!H29</f>
        <v>-4709542522.212944</v>
      </c>
      <c r="J8" s="57">
        <f>'Cash Flow '!I29</f>
        <v>-8308352515.8051357</v>
      </c>
    </row>
    <row r="9" spans="2:11" x14ac:dyDescent="0.3">
      <c r="B9" t="s">
        <v>148</v>
      </c>
      <c r="C9">
        <f>INDEX('Balance sheet'!$A$1:$J$53,MATCH(BS!$B9,'Balance sheet'!$A$1:$A$53,0),MATCH(BS!C$4,'Balance sheet'!$A$1:$J$1,0))</f>
        <v>45900000</v>
      </c>
      <c r="D9">
        <f>INDEX('Balance sheet'!$A$1:$J$53,MATCH(BS!$B9,'Balance sheet'!$A$1:$A$53,0),MATCH(BS!D$4,'Balance sheet'!$A$1:$J$1,0))</f>
        <v>46900000</v>
      </c>
      <c r="E9">
        <f>INDEX('Balance sheet'!$A$1:$J$53,MATCH(BS!$B9,'Balance sheet'!$A$1:$A$53,0),MATCH(BS!E$4,'Balance sheet'!$A$1:$J$1,0))</f>
        <v>88000000</v>
      </c>
      <c r="F9" s="57">
        <f>F26*'P&amp;L'!J7</f>
        <v>136989057.18726674</v>
      </c>
      <c r="G9" s="57">
        <f>G26*'P&amp;L'!K7</f>
        <v>284576495.94992733</v>
      </c>
      <c r="H9" s="57">
        <f>H26*'P&amp;L'!L7</f>
        <v>591169716.10683155</v>
      </c>
      <c r="I9" s="57">
        <f>I26*'P&amp;L'!M7</f>
        <v>1228076240.3628898</v>
      </c>
      <c r="J9" s="57">
        <f>J26*'P&amp;L'!N7</f>
        <v>2551164599.6956058</v>
      </c>
    </row>
    <row r="10" spans="2:11" ht="15" thickBot="1" x14ac:dyDescent="0.35">
      <c r="B10" s="50" t="s">
        <v>167</v>
      </c>
      <c r="C10" s="50">
        <f>SUM(C5:C9)</f>
        <v>932100000</v>
      </c>
      <c r="D10" s="50">
        <f t="shared" ref="D10:E10" si="0">SUM(D5:D9)</f>
        <v>949980000</v>
      </c>
      <c r="E10" s="50">
        <f t="shared" si="0"/>
        <v>1073800000</v>
      </c>
      <c r="F10" s="58">
        <f t="shared" ref="F10" si="1">SUM(F5:F9)</f>
        <v>899809546.83554184</v>
      </c>
      <c r="G10" s="58">
        <f t="shared" ref="G10" si="2">SUM(G5:G9)</f>
        <v>928154337.85788989</v>
      </c>
      <c r="H10" s="58">
        <f t="shared" ref="H10" si="3">SUM(H5:H9)</f>
        <v>1479670829.6528254</v>
      </c>
      <c r="I10" s="58">
        <f t="shared" ref="I10" si="4">SUM(I5:I9)</f>
        <v>3141018319.050611</v>
      </c>
      <c r="J10" s="58">
        <f t="shared" ref="J10" si="5">SUM(J5:J9)</f>
        <v>7132107423.8079815</v>
      </c>
    </row>
    <row r="11" spans="2:11" ht="15" thickTop="1" x14ac:dyDescent="0.3">
      <c r="F11" s="57"/>
      <c r="G11" s="57"/>
      <c r="H11" s="57"/>
      <c r="I11" s="57"/>
      <c r="J11" s="57"/>
    </row>
    <row r="12" spans="2:11" x14ac:dyDescent="0.3">
      <c r="B12" t="s">
        <v>155</v>
      </c>
      <c r="C12">
        <f>INDEX('Balance sheet'!$A$1:$J$53,MATCH(BS!$B12,'Balance sheet'!$A$1:$A$53,0),MATCH(BS!C$4,'Balance sheet'!$A$1:$J$1,0))</f>
        <v>68900000</v>
      </c>
      <c r="D12">
        <f>INDEX('Balance sheet'!$A$1:$J$53,MATCH(BS!$B12,'Balance sheet'!$A$1:$A$53,0),MATCH(BS!D$4,'Balance sheet'!$A$1:$J$1,0))</f>
        <v>68900000</v>
      </c>
      <c r="E12">
        <f>INDEX('Balance sheet'!$A$1:$J$53,MATCH(BS!$B12,'Balance sheet'!$A$1:$A$53,0),MATCH(BS!E$4,'Balance sheet'!$A$1:$J$1,0))</f>
        <v>68900000</v>
      </c>
      <c r="F12" s="57">
        <f>-F22*'P&amp;L'!J8/365</f>
        <v>203099346.12474641</v>
      </c>
      <c r="G12" s="57">
        <f>-G22*'P&amp;L'!K8/365</f>
        <v>421911804.02746856</v>
      </c>
      <c r="H12" s="57">
        <f>-H22*'P&amp;L'!L8/365</f>
        <v>876465502.10150445</v>
      </c>
      <c r="I12" s="57">
        <f>-I22*'P&amp;L'!M8/365</f>
        <v>1820740185.605305</v>
      </c>
      <c r="J12" s="57">
        <f>-J22*'P&amp;L'!N8/365</f>
        <v>3782344901.8009558</v>
      </c>
    </row>
    <row r="13" spans="2:11" x14ac:dyDescent="0.3">
      <c r="B13" t="s">
        <v>159</v>
      </c>
      <c r="C13">
        <f>INDEX('Balance sheet'!$A$1:$J$53,MATCH(BS!$B13,'Balance sheet'!$A$1:$A$53,0),MATCH(BS!C$4,'Balance sheet'!$A$1:$J$1,0))</f>
        <v>32500000</v>
      </c>
      <c r="D13">
        <f>INDEX('Balance sheet'!$A$1:$J$53,MATCH(BS!$B13,'Balance sheet'!$A$1:$A$53,0),MATCH(BS!D$4,'Balance sheet'!$A$1:$J$1,0))</f>
        <v>28700000</v>
      </c>
      <c r="E13">
        <f>INDEX('Balance sheet'!$A$1:$J$53,MATCH(BS!$B13,'Balance sheet'!$A$1:$A$53,0),MATCH(BS!E$4,'Balance sheet'!$A$1:$J$1,0))</f>
        <v>28700000</v>
      </c>
      <c r="F13" s="57">
        <v>28700000</v>
      </c>
      <c r="G13" s="57">
        <v>28700000</v>
      </c>
      <c r="H13" s="57">
        <v>28700000</v>
      </c>
      <c r="I13" s="57">
        <v>28700000</v>
      </c>
      <c r="J13" s="57">
        <v>28700000</v>
      </c>
    </row>
    <row r="14" spans="2:11" x14ac:dyDescent="0.3">
      <c r="B14" t="s">
        <v>160</v>
      </c>
      <c r="C14">
        <f>INDEX('Balance sheet'!$A$1:$J$53,MATCH(BS!$B14,'Balance sheet'!$A$1:$A$53,0),MATCH(BS!C$4,'Balance sheet'!$A$1:$J$1,0))</f>
        <v>615800000</v>
      </c>
      <c r="D14">
        <f>INDEX('Balance sheet'!$A$1:$J$53,MATCH(BS!$B14,'Balance sheet'!$A$1:$A$53,0),MATCH(BS!D$4,'Balance sheet'!$A$1:$J$1,0))</f>
        <v>610400000</v>
      </c>
      <c r="E14">
        <f>INDEX('Balance sheet'!$A$1:$J$53,MATCH(BS!$B14,'Balance sheet'!$A$1:$A$53,0),MATCH(BS!E$4,'Balance sheet'!$A$1:$J$1,0))</f>
        <v>605000000</v>
      </c>
      <c r="F14" s="57">
        <f>'Finanical liabilities schedule'!F6</f>
        <v>563237159.33826935</v>
      </c>
      <c r="G14" s="57">
        <f>'Finanical liabilities schedule'!G6</f>
        <v>518133291.42360026</v>
      </c>
      <c r="H14" s="57">
        <f>'Finanical liabilities schedule'!H6</f>
        <v>469421114.07575768</v>
      </c>
      <c r="I14" s="57">
        <f>'Finanical liabilities schedule'!I6</f>
        <v>416811962.5400877</v>
      </c>
      <c r="J14" s="57">
        <f>'Finanical liabilities schedule'!J6</f>
        <v>359994078.88156408</v>
      </c>
    </row>
    <row r="15" spans="2:11" x14ac:dyDescent="0.3">
      <c r="B15" t="s">
        <v>161</v>
      </c>
      <c r="C15">
        <f>INDEX('Balance sheet'!$A$1:$J$53,MATCH(BS!$B15,'Balance sheet'!$A$1:$A$53,0),MATCH(BS!C$4,'Balance sheet'!$A$1:$J$1,0))</f>
        <v>48300000</v>
      </c>
      <c r="D15">
        <f>INDEX('Balance sheet'!$A$1:$J$53,MATCH(BS!$B15,'Balance sheet'!$A$1:$A$53,0),MATCH(BS!D$4,'Balance sheet'!$A$1:$J$1,0))</f>
        <v>43300000</v>
      </c>
      <c r="E15">
        <f>INDEX('Balance sheet'!$A$1:$J$53,MATCH(BS!$B15,'Balance sheet'!$A$1:$A$53,0),MATCH(BS!E$4,'Balance sheet'!$A$1:$J$1,0))</f>
        <v>38900000</v>
      </c>
      <c r="F15" s="57">
        <f>F27*'P&amp;L'!J7</f>
        <v>101819371.76573452</v>
      </c>
      <c r="G15" s="57">
        <f>G27*'P&amp;L'!K7</f>
        <v>211516165.10000321</v>
      </c>
      <c r="H15" s="57">
        <f>H27*'P&amp;L'!L7</f>
        <v>439396622.88967252</v>
      </c>
      <c r="I15" s="57">
        <f>I27*'P&amp;L'!M7</f>
        <v>912787881.32135117</v>
      </c>
      <c r="J15" s="57">
        <f>J27*'P&amp;L'!N7</f>
        <v>1896195084.0853949</v>
      </c>
    </row>
    <row r="16" spans="2:11" x14ac:dyDescent="0.3">
      <c r="B16" t="s">
        <v>165</v>
      </c>
      <c r="C16">
        <f>INDEX('Balance sheet'!$A$1:$J$53,MATCH(BS!$B16,'Balance sheet'!$A$1:$A$53,0),MATCH(BS!C$4,'Balance sheet'!$A$1:$J$1,0))</f>
        <v>167500000</v>
      </c>
      <c r="D16">
        <f>INDEX('Balance sheet'!$A$1:$J$53,MATCH(BS!$B16,'Balance sheet'!$A$1:$A$53,0),MATCH(BS!D$4,'Balance sheet'!$A$1:$J$1,0))</f>
        <v>196700000</v>
      </c>
      <c r="E16">
        <f>INDEX('Balance sheet'!$A$1:$J$53,MATCH(BS!$B16,'Balance sheet'!$A$1:$A$53,0),MATCH(BS!E$4,'Balance sheet'!$A$1:$J$1,0))</f>
        <v>210000000</v>
      </c>
      <c r="F16" s="57">
        <f>'Equity schuedule'!F7</f>
        <v>612660547.07714736</v>
      </c>
      <c r="G16" s="57">
        <f>'Equity schuedule'!G7</f>
        <v>1126062510.7302427</v>
      </c>
      <c r="H16" s="57">
        <f>'Equity schuedule'!H7</f>
        <v>1850590837.689692</v>
      </c>
      <c r="I16" s="57">
        <f>'Equity schuedule'!I7</f>
        <v>2993792607.4920473</v>
      </c>
      <c r="J16" s="57">
        <f>'Equity schuedule'!J7</f>
        <v>4985776927.5634365</v>
      </c>
    </row>
    <row r="17" spans="2:10" ht="15" thickBot="1" x14ac:dyDescent="0.35">
      <c r="B17" s="50" t="s">
        <v>168</v>
      </c>
      <c r="C17" s="50">
        <f>SUM(C12:C16)</f>
        <v>933000000</v>
      </c>
      <c r="D17" s="50">
        <f t="shared" ref="D17:E17" si="6">SUM(D12:D16)</f>
        <v>948000000</v>
      </c>
      <c r="E17" s="50">
        <f t="shared" si="6"/>
        <v>951500000</v>
      </c>
      <c r="F17" s="58">
        <f t="shared" ref="F17" si="7">SUM(F12:F16)</f>
        <v>1509516424.3058977</v>
      </c>
      <c r="G17" s="58">
        <f t="shared" ref="G17" si="8">SUM(G12:G16)</f>
        <v>2306323771.2813148</v>
      </c>
      <c r="H17" s="58">
        <f t="shared" ref="H17" si="9">SUM(H12:H16)</f>
        <v>3664574076.7566266</v>
      </c>
      <c r="I17" s="58">
        <f t="shared" ref="I17" si="10">SUM(I12:I16)</f>
        <v>6172832636.9587908</v>
      </c>
      <c r="J17" s="58">
        <f t="shared" ref="J17" si="11">SUM(J12:J16)</f>
        <v>11053010992.331352</v>
      </c>
    </row>
    <row r="18" spans="2:10" ht="15" thickTop="1" x14ac:dyDescent="0.3"/>
    <row r="20" spans="2:10" ht="15" thickBot="1" x14ac:dyDescent="0.35"/>
    <row r="21" spans="2:10" ht="16.2" thickBot="1" x14ac:dyDescent="0.35">
      <c r="B21" s="53" t="s">
        <v>170</v>
      </c>
      <c r="C21" s="66">
        <f>(C5/'P&amp;L'!C7)*365</f>
        <v>555.95386970027334</v>
      </c>
      <c r="D21" s="66">
        <f>(D5/'P&amp;L'!D7)*365</f>
        <v>653.64814335197457</v>
      </c>
      <c r="E21" s="66">
        <f>(E5/'P&amp;L'!E7)*365</f>
        <v>574.76353304919382</v>
      </c>
      <c r="F21" s="66">
        <f>AVERAGE(C21:E21)</f>
        <v>594.78851536714728</v>
      </c>
      <c r="G21" s="66">
        <v>594.78851536714728</v>
      </c>
      <c r="H21" s="66">
        <v>594.78851536714728</v>
      </c>
      <c r="I21" s="66">
        <v>594.78851536714728</v>
      </c>
      <c r="J21" s="67">
        <v>594.78851536714728</v>
      </c>
    </row>
    <row r="22" spans="2:10" ht="16.2" thickBot="1" x14ac:dyDescent="0.35">
      <c r="B22" s="53" t="s">
        <v>171</v>
      </c>
      <c r="C22" s="66">
        <f>-(C12/'P&amp;L'!C8)*365</f>
        <v>2012.0461145272152</v>
      </c>
      <c r="D22" s="66">
        <f>-(D12/'P&amp;L'!D8)*365</f>
        <v>2419.3539852984932</v>
      </c>
      <c r="E22" s="66">
        <f>-(E12/'P&amp;L'!E8)*365</f>
        <v>5828.0900568938951</v>
      </c>
      <c r="F22" s="66">
        <f t="shared" ref="F22:F23" si="12">AVERAGE(C22:E22)</f>
        <v>3419.8300522398677</v>
      </c>
      <c r="G22" s="66">
        <v>3419.8300522398677</v>
      </c>
      <c r="H22" s="66">
        <v>3419.8300522398677</v>
      </c>
      <c r="I22" s="66">
        <v>3419.8300522398677</v>
      </c>
      <c r="J22" s="67">
        <v>3419.8300522398677</v>
      </c>
    </row>
    <row r="23" spans="2:10" ht="16.2" thickBot="1" x14ac:dyDescent="0.35">
      <c r="B23" s="53" t="s">
        <v>172</v>
      </c>
      <c r="C23" s="66">
        <f>-(C6/'P&amp;L'!C8)*365</f>
        <v>2482.2049308390901</v>
      </c>
      <c r="D23" s="66">
        <f>-(D6/'P&amp;L'!D8)*365</f>
        <v>3230.4871792084382</v>
      </c>
      <c r="E23" s="66">
        <f>-(E6/'P&amp;L'!E8)*365</f>
        <v>8458.7664105862041</v>
      </c>
      <c r="F23" s="66">
        <f t="shared" si="12"/>
        <v>4723.8195068779105</v>
      </c>
      <c r="G23" s="66">
        <v>4723.8195068779105</v>
      </c>
      <c r="H23" s="66">
        <v>4723.8195068779105</v>
      </c>
      <c r="I23" s="66">
        <v>4723.8195068779105</v>
      </c>
      <c r="J23" s="67">
        <v>4723.8195068779105</v>
      </c>
    </row>
    <row r="24" spans="2:10" ht="16.2" thickBot="1" x14ac:dyDescent="0.35">
      <c r="B24" s="53" t="s">
        <v>173</v>
      </c>
      <c r="C24" s="68">
        <f>C23+C21-C22</f>
        <v>1026.1126860121481</v>
      </c>
      <c r="D24" s="69">
        <f>D23+D21-D22</f>
        <v>1464.7813372619194</v>
      </c>
      <c r="E24" s="69">
        <f>E23+E21-E22</f>
        <v>3205.439886741503</v>
      </c>
      <c r="F24" s="69">
        <f t="shared" ref="F24:J24" si="13">F23+F21-F22</f>
        <v>1898.7779700051906</v>
      </c>
      <c r="G24" s="69">
        <f t="shared" si="13"/>
        <v>1898.7779700051906</v>
      </c>
      <c r="H24" s="69">
        <f t="shared" si="13"/>
        <v>1898.7779700051906</v>
      </c>
      <c r="I24" s="69">
        <f t="shared" si="13"/>
        <v>1898.7779700051906</v>
      </c>
      <c r="J24" s="70">
        <f t="shared" si="13"/>
        <v>1898.7779700051906</v>
      </c>
    </row>
    <row r="25" spans="2:10" ht="15" thickBot="1" x14ac:dyDescent="0.35"/>
    <row r="26" spans="2:10" ht="15.6" x14ac:dyDescent="0.3">
      <c r="B26" s="53" t="s">
        <v>174</v>
      </c>
      <c r="C26" s="60">
        <f>C9/'P&amp;L'!C7</f>
        <v>0.48584505258108357</v>
      </c>
      <c r="D26" s="60">
        <f>D9/'P&amp;L'!D7</f>
        <v>0.53571443665423513</v>
      </c>
      <c r="E26" s="60">
        <f>E9/'P&amp;L'!E7</f>
        <v>0.8185063542601535</v>
      </c>
      <c r="F26" s="61">
        <v>0.61335528116515736</v>
      </c>
      <c r="G26" s="60">
        <v>0.61335528116515736</v>
      </c>
      <c r="H26" s="60">
        <v>0.61335528116515736</v>
      </c>
      <c r="I26" s="60">
        <v>0.61335528116515736</v>
      </c>
      <c r="J26" s="62">
        <v>0.61335528116515736</v>
      </c>
    </row>
    <row r="27" spans="2:10" ht="16.2" thickBot="1" x14ac:dyDescent="0.35">
      <c r="B27" s="53" t="s">
        <v>175</v>
      </c>
      <c r="C27" s="63">
        <f>C15/'P&amp;L'!C7</f>
        <v>0.51124871546114026</v>
      </c>
      <c r="D27" s="63">
        <f>D15/'P&amp;L'!D7</f>
        <v>0.49459349908589301</v>
      </c>
      <c r="E27" s="63">
        <f>E15/'P&amp;L'!E7</f>
        <v>0.3618170134172724</v>
      </c>
      <c r="F27" s="64">
        <v>0.45588640932143526</v>
      </c>
      <c r="G27" s="63">
        <v>0.45588640932143526</v>
      </c>
      <c r="H27" s="63">
        <v>0.45588640932143526</v>
      </c>
      <c r="I27" s="63">
        <v>0.45588640932143526</v>
      </c>
      <c r="J27" s="65">
        <v>0.45588640932143526</v>
      </c>
    </row>
  </sheetData>
  <mergeCells count="1">
    <mergeCell ref="F2:J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FC8529-046B-4A1A-94BD-75C5EBEE3A95}">
  <dimension ref="B1:J9"/>
  <sheetViews>
    <sheetView zoomScale="78" workbookViewId="0">
      <selection activeCell="H30" sqref="H30"/>
    </sheetView>
  </sheetViews>
  <sheetFormatPr defaultRowHeight="14.4" x14ac:dyDescent="0.3"/>
  <cols>
    <col min="1" max="1" width="6.6640625" customWidth="1"/>
    <col min="2" max="2" width="36.109375" bestFit="1" customWidth="1"/>
    <col min="3" max="5" width="10" bestFit="1" customWidth="1"/>
    <col min="6" max="6" width="12.6640625" bestFit="1" customWidth="1"/>
    <col min="7" max="7" width="12" bestFit="1" customWidth="1"/>
    <col min="8" max="10" width="10" bestFit="1" customWidth="1"/>
  </cols>
  <sheetData>
    <row r="1" spans="2:10" ht="28.8" x14ac:dyDescent="0.55000000000000004">
      <c r="B1" s="49" t="s">
        <v>176</v>
      </c>
    </row>
    <row r="2" spans="2:10" ht="15" thickBot="1" x14ac:dyDescent="0.35"/>
    <row r="3" spans="2:10" ht="15" thickBot="1" x14ac:dyDescent="0.35">
      <c r="B3" s="43"/>
      <c r="C3" s="48">
        <v>44926</v>
      </c>
      <c r="D3" s="48">
        <v>45291</v>
      </c>
      <c r="E3" s="48">
        <v>45657</v>
      </c>
      <c r="F3" s="55">
        <v>46022</v>
      </c>
      <c r="G3" s="55">
        <v>46387</v>
      </c>
      <c r="H3" s="55">
        <v>46752</v>
      </c>
      <c r="I3" s="55">
        <v>47118</v>
      </c>
      <c r="J3" s="56">
        <v>47483</v>
      </c>
    </row>
    <row r="4" spans="2:10" ht="15.6" x14ac:dyDescent="0.3">
      <c r="B4" s="71" t="s">
        <v>177</v>
      </c>
      <c r="D4">
        <f>C7</f>
        <v>632500000</v>
      </c>
      <c r="E4">
        <f>D7</f>
        <v>632500000</v>
      </c>
      <c r="F4">
        <f>E7</f>
        <v>695500000</v>
      </c>
      <c r="G4" s="73">
        <f>F7</f>
        <v>730137549.40711462</v>
      </c>
      <c r="H4" s="73">
        <f t="shared" ref="H4:J4" si="0">G7</f>
        <v>766500130.91908944</v>
      </c>
      <c r="I4" s="73">
        <f t="shared" si="0"/>
        <v>804673655.22573185</v>
      </c>
      <c r="J4" s="73">
        <f t="shared" si="0"/>
        <v>844748311.57294226</v>
      </c>
    </row>
    <row r="5" spans="2:10" ht="15.6" x14ac:dyDescent="0.3">
      <c r="B5" s="71" t="s">
        <v>38</v>
      </c>
      <c r="D5">
        <f>'P&amp;L'!D12</f>
        <v>-1400000</v>
      </c>
      <c r="E5">
        <f>'P&amp;L'!E12</f>
        <v>-2000000</v>
      </c>
      <c r="F5">
        <f>F8*F4</f>
        <v>-1869328.0632411067</v>
      </c>
      <c r="G5" s="73">
        <f t="shared" ref="G5:J5" si="1">G8*G4</f>
        <v>-1962425.0339795966</v>
      </c>
      <c r="H5" s="73">
        <f t="shared" si="1"/>
        <v>-2060158.4546441929</v>
      </c>
      <c r="I5" s="73">
        <f t="shared" si="1"/>
        <v>-2162759.2314367495</v>
      </c>
      <c r="J5" s="73">
        <f t="shared" si="1"/>
        <v>-2270469.7702355757</v>
      </c>
    </row>
    <row r="6" spans="2:10" ht="15.6" x14ac:dyDescent="0.3">
      <c r="B6" s="71" t="s">
        <v>178</v>
      </c>
      <c r="D6">
        <f>D7-D4-D5</f>
        <v>1400000</v>
      </c>
      <c r="E6">
        <f>E7-E4-E5</f>
        <v>65000000</v>
      </c>
      <c r="F6">
        <f>F9*F4</f>
        <v>36506877.470355734</v>
      </c>
      <c r="G6" s="73">
        <f t="shared" ref="G6:J6" si="2">G9*G4</f>
        <v>38325006.545954473</v>
      </c>
      <c r="H6" s="73">
        <f t="shared" si="2"/>
        <v>40233682.761286594</v>
      </c>
      <c r="I6" s="73">
        <f t="shared" si="2"/>
        <v>42237415.578647107</v>
      </c>
      <c r="J6" s="73">
        <f t="shared" si="2"/>
        <v>44340939.04224772</v>
      </c>
    </row>
    <row r="7" spans="2:10" ht="15" thickBot="1" x14ac:dyDescent="0.35">
      <c r="B7" s="72" t="s">
        <v>179</v>
      </c>
      <c r="C7" s="50">
        <f>BS!C7</f>
        <v>632500000</v>
      </c>
      <c r="D7" s="50">
        <f>BS!D7</f>
        <v>632500000</v>
      </c>
      <c r="E7" s="50">
        <f>BS!E7</f>
        <v>695500000</v>
      </c>
      <c r="F7" s="50">
        <f>SUM(F4:F6)</f>
        <v>730137549.40711462</v>
      </c>
      <c r="G7" s="50">
        <f t="shared" ref="G7:J7" si="3">SUM(G4:G6)</f>
        <v>766500130.91908944</v>
      </c>
      <c r="H7" s="74">
        <f t="shared" si="3"/>
        <v>804673655.22573185</v>
      </c>
      <c r="I7" s="74">
        <f t="shared" si="3"/>
        <v>844748311.57294226</v>
      </c>
      <c r="J7" s="74">
        <f t="shared" si="3"/>
        <v>886818780.84495449</v>
      </c>
    </row>
    <row r="8" spans="2:10" ht="16.2" thickTop="1" x14ac:dyDescent="0.3">
      <c r="B8" s="71" t="s">
        <v>180</v>
      </c>
      <c r="D8" s="16">
        <f>D5/D4</f>
        <v>-2.2134387351778655E-3</v>
      </c>
      <c r="E8" s="16">
        <f>E5/E4</f>
        <v>-3.1620553359683794E-3</v>
      </c>
      <c r="F8" s="59">
        <f>AVERAGE(D8:E8)</f>
        <v>-2.6877470355731225E-3</v>
      </c>
      <c r="G8" s="16">
        <v>-2.6877470355731225E-3</v>
      </c>
      <c r="H8" s="16">
        <v>-2.6877470355731225E-3</v>
      </c>
      <c r="I8" s="16">
        <v>-2.6877470355731225E-3</v>
      </c>
      <c r="J8" s="16">
        <v>-2.6877470355731225E-3</v>
      </c>
    </row>
    <row r="9" spans="2:10" x14ac:dyDescent="0.3">
      <c r="B9" t="s">
        <v>181</v>
      </c>
      <c r="D9" s="16">
        <f>D6/D4</f>
        <v>2.2134387351778655E-3</v>
      </c>
      <c r="E9" s="16">
        <f>E6/E4</f>
        <v>0.10276679841897234</v>
      </c>
      <c r="F9" s="59">
        <f>AVERAGE(D9:E9)</f>
        <v>5.2490118577075098E-2</v>
      </c>
      <c r="G9" s="16">
        <v>5.2490118577075098E-2</v>
      </c>
      <c r="H9" s="16">
        <v>5.2490118577075098E-2</v>
      </c>
      <c r="I9" s="16">
        <v>5.2490118577075098E-2</v>
      </c>
      <c r="J9" s="16">
        <v>5.2490118577075098E-2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B2ED9-7DAF-459F-BDD8-41EA87E07A16}">
  <dimension ref="B1:L19"/>
  <sheetViews>
    <sheetView showGridLines="0" topLeftCell="B1" workbookViewId="0">
      <selection activeCell="B10" sqref="B10"/>
    </sheetView>
  </sheetViews>
  <sheetFormatPr defaultRowHeight="14.4" x14ac:dyDescent="0.3"/>
  <cols>
    <col min="1" max="1" width="6.33203125" customWidth="1"/>
    <col min="2" max="2" width="49.88671875" bestFit="1" customWidth="1"/>
    <col min="3" max="12" width="15.21875" bestFit="1" customWidth="1"/>
  </cols>
  <sheetData>
    <row r="1" spans="2:12" ht="29.4" thickBot="1" x14ac:dyDescent="0.6">
      <c r="B1" s="49" t="s">
        <v>182</v>
      </c>
    </row>
    <row r="2" spans="2:12" ht="15" thickBot="1" x14ac:dyDescent="0.35">
      <c r="B2" s="43"/>
      <c r="C2" s="48">
        <v>44926</v>
      </c>
      <c r="D2" s="48">
        <v>45291</v>
      </c>
      <c r="E2" s="48">
        <v>45657</v>
      </c>
      <c r="F2" s="55">
        <v>46022</v>
      </c>
      <c r="G2" s="55">
        <v>46387</v>
      </c>
      <c r="H2" s="55">
        <v>46752</v>
      </c>
      <c r="I2" s="55">
        <v>47118</v>
      </c>
      <c r="J2" s="56">
        <v>47483</v>
      </c>
    </row>
    <row r="3" spans="2:12" ht="15.6" x14ac:dyDescent="0.3">
      <c r="B3" s="71" t="s">
        <v>191</v>
      </c>
      <c r="D3">
        <f>C6</f>
        <v>615800000</v>
      </c>
      <c r="E3">
        <f t="shared" ref="E3:J3" si="0">D6</f>
        <v>610400000</v>
      </c>
      <c r="F3">
        <f t="shared" si="0"/>
        <v>605000000</v>
      </c>
      <c r="G3">
        <f t="shared" si="0"/>
        <v>563237159.33826935</v>
      </c>
      <c r="H3">
        <f t="shared" si="0"/>
        <v>518133291.42360026</v>
      </c>
      <c r="I3">
        <f t="shared" si="0"/>
        <v>469421114.07575768</v>
      </c>
      <c r="J3">
        <f t="shared" si="0"/>
        <v>416811962.5400877</v>
      </c>
    </row>
    <row r="4" spans="2:12" ht="15.6" x14ac:dyDescent="0.3">
      <c r="B4" s="71" t="s">
        <v>183</v>
      </c>
      <c r="D4">
        <v>0</v>
      </c>
      <c r="E4">
        <v>0</v>
      </c>
    </row>
    <row r="5" spans="2:12" ht="15.6" x14ac:dyDescent="0.3">
      <c r="B5" s="71" t="s">
        <v>184</v>
      </c>
      <c r="D5">
        <f>D6-D3</f>
        <v>-5400000</v>
      </c>
      <c r="E5">
        <f>E6-E3</f>
        <v>-5400000</v>
      </c>
      <c r="F5" s="38">
        <f>C18</f>
        <v>-41762840.661730625</v>
      </c>
      <c r="G5" s="38">
        <f t="shared" ref="G5:J5" si="1">D18</f>
        <v>-45103867.914669074</v>
      </c>
      <c r="H5" s="38">
        <f t="shared" si="1"/>
        <v>-48712177.347842596</v>
      </c>
      <c r="I5" s="38">
        <f t="shared" si="1"/>
        <v>-52609151.535670012</v>
      </c>
      <c r="J5" s="38">
        <f t="shared" si="1"/>
        <v>-56817883.658523619</v>
      </c>
    </row>
    <row r="6" spans="2:12" ht="15" thickBot="1" x14ac:dyDescent="0.35">
      <c r="B6" s="50" t="s">
        <v>190</v>
      </c>
      <c r="C6" s="50">
        <f>BS!C14</f>
        <v>615800000</v>
      </c>
      <c r="D6" s="50">
        <f>BS!D14</f>
        <v>610400000</v>
      </c>
      <c r="E6" s="50">
        <f>BS!E14</f>
        <v>605000000</v>
      </c>
      <c r="F6" s="50">
        <f>SUM(F3:F5)</f>
        <v>563237159.33826935</v>
      </c>
      <c r="G6" s="50">
        <f t="shared" ref="G6:J6" si="2">SUM(G3:G5)</f>
        <v>518133291.42360026</v>
      </c>
      <c r="H6" s="50">
        <f t="shared" si="2"/>
        <v>469421114.07575768</v>
      </c>
      <c r="I6" s="50">
        <f t="shared" si="2"/>
        <v>416811962.5400877</v>
      </c>
      <c r="J6" s="50">
        <f t="shared" si="2"/>
        <v>359994078.88156408</v>
      </c>
    </row>
    <row r="7" spans="2:12" ht="15" thickTop="1" x14ac:dyDescent="0.3"/>
    <row r="10" spans="2:12" x14ac:dyDescent="0.3">
      <c r="B10" t="s">
        <v>185</v>
      </c>
      <c r="C10">
        <v>10</v>
      </c>
    </row>
    <row r="11" spans="2:12" x14ac:dyDescent="0.3">
      <c r="B11" t="s">
        <v>186</v>
      </c>
      <c r="C11" s="76">
        <v>0.08</v>
      </c>
    </row>
    <row r="12" spans="2:12" x14ac:dyDescent="0.3">
      <c r="B12" t="s">
        <v>187</v>
      </c>
      <c r="C12" s="77">
        <f>PMT(C11,C10,F3)</f>
        <v>-90162840.661730617</v>
      </c>
    </row>
    <row r="15" spans="2:12" x14ac:dyDescent="0.3">
      <c r="B15" s="51"/>
      <c r="C15" s="51">
        <v>1</v>
      </c>
      <c r="D15" s="51">
        <v>2</v>
      </c>
      <c r="E15" s="51">
        <v>3</v>
      </c>
      <c r="F15" s="51">
        <v>4</v>
      </c>
      <c r="G15" s="51">
        <v>5</v>
      </c>
      <c r="H15" s="51">
        <v>6</v>
      </c>
      <c r="I15" s="51">
        <v>7</v>
      </c>
      <c r="J15" s="51">
        <v>8</v>
      </c>
      <c r="K15" s="51">
        <v>9</v>
      </c>
      <c r="L15" s="51">
        <v>10</v>
      </c>
    </row>
    <row r="16" spans="2:12" ht="15.6" x14ac:dyDescent="0.3">
      <c r="B16" s="78" t="s">
        <v>188</v>
      </c>
      <c r="C16" s="81">
        <f>$C$12</f>
        <v>-90162840.661730617</v>
      </c>
      <c r="D16" s="81">
        <f t="shared" ref="D16:L16" si="3">$C$12</f>
        <v>-90162840.661730617</v>
      </c>
      <c r="E16" s="81">
        <f t="shared" si="3"/>
        <v>-90162840.661730617</v>
      </c>
      <c r="F16" s="81">
        <f t="shared" si="3"/>
        <v>-90162840.661730617</v>
      </c>
      <c r="G16" s="81">
        <f t="shared" si="3"/>
        <v>-90162840.661730617</v>
      </c>
      <c r="H16" s="81">
        <f t="shared" si="3"/>
        <v>-90162840.661730617</v>
      </c>
      <c r="I16" s="81">
        <f t="shared" si="3"/>
        <v>-90162840.661730617</v>
      </c>
      <c r="J16" s="81">
        <f t="shared" si="3"/>
        <v>-90162840.661730617</v>
      </c>
      <c r="K16" s="81">
        <f t="shared" si="3"/>
        <v>-90162840.661730617</v>
      </c>
      <c r="L16" s="81">
        <f t="shared" si="3"/>
        <v>-90162840.661730617</v>
      </c>
    </row>
    <row r="17" spans="2:12" ht="15.6" x14ac:dyDescent="0.3">
      <c r="B17" s="79" t="s">
        <v>186</v>
      </c>
      <c r="C17" s="82">
        <f>IPMT($C$11,C15,$C$10,F3)</f>
        <v>-48400000</v>
      </c>
      <c r="D17" s="82">
        <f>IPMT($C$11,D15,$C$10,$F$3)</f>
        <v>-45058972.747061551</v>
      </c>
      <c r="E17" s="82">
        <f t="shared" ref="E17:L17" si="4">IPMT($C$11,E15,$C$10,$F$3)</f>
        <v>-41450663.313888013</v>
      </c>
      <c r="F17" s="82">
        <f t="shared" si="4"/>
        <v>-37553689.126060598</v>
      </c>
      <c r="G17" s="82">
        <f t="shared" si="4"/>
        <v>-33344957.003207002</v>
      </c>
      <c r="H17" s="82">
        <f t="shared" si="4"/>
        <v>-28799526.310525119</v>
      </c>
      <c r="I17" s="82">
        <f t="shared" si="4"/>
        <v>-23890461.162428673</v>
      </c>
      <c r="J17" s="82">
        <f t="shared" si="4"/>
        <v>-18588670.802484524</v>
      </c>
      <c r="K17" s="82">
        <f t="shared" si="4"/>
        <v>-12862737.213744834</v>
      </c>
      <c r="L17" s="82">
        <f t="shared" si="4"/>
        <v>-6678728.937905971</v>
      </c>
    </row>
    <row r="18" spans="2:12" ht="15.6" x14ac:dyDescent="0.3">
      <c r="B18" s="78" t="s">
        <v>189</v>
      </c>
      <c r="C18" s="81">
        <f>PPMT($C$11,C15,$C$10,$F$3)</f>
        <v>-41762840.661730625</v>
      </c>
      <c r="D18" s="81">
        <f>PPMT($C$11,D15,$C$10,$F$3)</f>
        <v>-45103867.914669074</v>
      </c>
      <c r="E18" s="81">
        <f t="shared" ref="E18:L18" si="5">PPMT($C$11,E15,$C$10,$F$3)</f>
        <v>-48712177.347842596</v>
      </c>
      <c r="F18" s="81">
        <f t="shared" si="5"/>
        <v>-52609151.535670012</v>
      </c>
      <c r="G18" s="81">
        <f t="shared" si="5"/>
        <v>-56817883.658523619</v>
      </c>
      <c r="H18" s="81">
        <f t="shared" si="5"/>
        <v>-61363314.351205491</v>
      </c>
      <c r="I18" s="81">
        <f t="shared" si="5"/>
        <v>-66272379.49930194</v>
      </c>
      <c r="J18" s="81">
        <f t="shared" si="5"/>
        <v>-71574169.85924609</v>
      </c>
      <c r="K18" s="81">
        <f t="shared" si="5"/>
        <v>-77300103.447985768</v>
      </c>
      <c r="L18" s="81">
        <f t="shared" si="5"/>
        <v>-83484111.72382465</v>
      </c>
    </row>
    <row r="19" spans="2:12" ht="15.6" x14ac:dyDescent="0.3">
      <c r="B19" s="78" t="s">
        <v>190</v>
      </c>
      <c r="C19" s="80">
        <f>F3+C18</f>
        <v>563237159.33826935</v>
      </c>
      <c r="D19" s="80">
        <f>C19+D18</f>
        <v>518133291.42360026</v>
      </c>
      <c r="E19" s="80">
        <f t="shared" ref="E19:L19" si="6">D19+E18</f>
        <v>469421114.07575768</v>
      </c>
      <c r="F19" s="80">
        <f t="shared" si="6"/>
        <v>416811962.5400877</v>
      </c>
      <c r="G19" s="80">
        <f t="shared" si="6"/>
        <v>359994078.88156408</v>
      </c>
      <c r="H19" s="80">
        <f t="shared" si="6"/>
        <v>298630764.53035861</v>
      </c>
      <c r="I19" s="80">
        <f t="shared" si="6"/>
        <v>232358385.03105667</v>
      </c>
      <c r="J19" s="80">
        <f t="shared" si="6"/>
        <v>160784215.17181057</v>
      </c>
      <c r="K19" s="80">
        <f t="shared" si="6"/>
        <v>83484111.723824799</v>
      </c>
      <c r="L19" s="80">
        <f t="shared" si="6"/>
        <v>1.4901161193847656E-7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3E0CF-5B66-4603-A305-BB6B3F7CDFC6}">
  <dimension ref="B1:J10"/>
  <sheetViews>
    <sheetView showGridLines="0" workbookViewId="0">
      <selection activeCell="E16" sqref="E16"/>
    </sheetView>
  </sheetViews>
  <sheetFormatPr defaultRowHeight="14.4" x14ac:dyDescent="0.3"/>
  <cols>
    <col min="2" max="2" width="31.21875" bestFit="1" customWidth="1"/>
    <col min="3" max="5" width="10" bestFit="1" customWidth="1"/>
    <col min="6" max="9" width="16.21875" bestFit="1" customWidth="1"/>
    <col min="10" max="10" width="17.77734375" bestFit="1" customWidth="1"/>
  </cols>
  <sheetData>
    <row r="1" spans="2:10" ht="29.4" thickBot="1" x14ac:dyDescent="0.6">
      <c r="B1" s="49" t="s">
        <v>192</v>
      </c>
    </row>
    <row r="2" spans="2:10" ht="15" thickBot="1" x14ac:dyDescent="0.35">
      <c r="B2" s="43"/>
      <c r="C2" s="48">
        <v>44926</v>
      </c>
      <c r="D2" s="48">
        <v>45291</v>
      </c>
      <c r="E2" s="48">
        <v>45657</v>
      </c>
      <c r="F2" s="55">
        <v>46022</v>
      </c>
      <c r="G2" s="55">
        <v>46387</v>
      </c>
      <c r="H2" s="55">
        <v>46752</v>
      </c>
      <c r="I2" s="55">
        <v>47118</v>
      </c>
      <c r="J2" s="56">
        <v>47483</v>
      </c>
    </row>
    <row r="3" spans="2:10" ht="15.6" x14ac:dyDescent="0.3">
      <c r="B3" s="71" t="s">
        <v>193</v>
      </c>
      <c r="D3">
        <f>C7</f>
        <v>167500000</v>
      </c>
      <c r="E3">
        <f>D7</f>
        <v>196700000</v>
      </c>
      <c r="F3">
        <f>E7</f>
        <v>210000000</v>
      </c>
      <c r="G3">
        <f t="shared" ref="G3:J3" si="0">F7</f>
        <v>612660547.07714736</v>
      </c>
      <c r="H3">
        <f t="shared" si="0"/>
        <v>1126062510.7302427</v>
      </c>
      <c r="I3">
        <f t="shared" si="0"/>
        <v>1850590837.689692</v>
      </c>
      <c r="J3">
        <f t="shared" si="0"/>
        <v>2993792607.4920473</v>
      </c>
    </row>
    <row r="4" spans="2:10" ht="15.6" x14ac:dyDescent="0.3">
      <c r="B4" s="71" t="s">
        <v>194</v>
      </c>
    </row>
    <row r="5" spans="2:10" ht="15.6" x14ac:dyDescent="0.3">
      <c r="B5" s="71" t="s">
        <v>195</v>
      </c>
      <c r="F5" s="38">
        <f>IF(F6&gt;30,F6*F10,0)</f>
        <v>-268440364.71809828</v>
      </c>
      <c r="G5" s="38">
        <f t="shared" ref="G5:J5" si="1">IF(G6&gt;30,G6*G10,0)</f>
        <v>-342267975.76873016</v>
      </c>
      <c r="H5" s="38">
        <f t="shared" si="1"/>
        <v>-483018884.63963282</v>
      </c>
      <c r="I5" s="38">
        <f t="shared" si="1"/>
        <v>-762134513.20157027</v>
      </c>
      <c r="J5" s="38">
        <f t="shared" si="1"/>
        <v>-1327989546.7142591</v>
      </c>
    </row>
    <row r="6" spans="2:10" ht="15.6" x14ac:dyDescent="0.3">
      <c r="B6" s="71" t="s">
        <v>196</v>
      </c>
      <c r="D6">
        <f>'P&amp;L'!D17</f>
        <v>59327059</v>
      </c>
      <c r="E6">
        <f>'P&amp;L'!E17</f>
        <v>68578669</v>
      </c>
      <c r="F6">
        <f>'P&amp;L'!J17</f>
        <v>671100911.79524565</v>
      </c>
      <c r="G6">
        <f>'P&amp;L'!K17</f>
        <v>855669939.42182541</v>
      </c>
      <c r="H6">
        <f>'P&amp;L'!L17</f>
        <v>1207547211.599082</v>
      </c>
      <c r="I6">
        <f>'P&amp;L'!M17</f>
        <v>1905336283.0039256</v>
      </c>
      <c r="J6">
        <f>'P&amp;L'!N17</f>
        <v>3319973866.7856479</v>
      </c>
    </row>
    <row r="7" spans="2:10" ht="15" thickBot="1" x14ac:dyDescent="0.35">
      <c r="B7" s="50" t="s">
        <v>197</v>
      </c>
      <c r="C7" s="50">
        <f>BS!C16</f>
        <v>167500000</v>
      </c>
      <c r="D7" s="50">
        <f>BS!D16</f>
        <v>196700000</v>
      </c>
      <c r="E7" s="50">
        <f>BS!E16</f>
        <v>210000000</v>
      </c>
      <c r="F7" s="50">
        <f>SUM(F3:F6)</f>
        <v>612660547.07714736</v>
      </c>
      <c r="G7" s="50">
        <f t="shared" ref="G7:J7" si="2">SUM(G3:G6)</f>
        <v>1126062510.7302427</v>
      </c>
      <c r="H7" s="50">
        <f t="shared" si="2"/>
        <v>1850590837.689692</v>
      </c>
      <c r="I7" s="50">
        <f t="shared" si="2"/>
        <v>2993792607.4920473</v>
      </c>
      <c r="J7" s="50">
        <f t="shared" si="2"/>
        <v>4985776927.5634365</v>
      </c>
    </row>
    <row r="8" spans="2:10" ht="15" thickTop="1" x14ac:dyDescent="0.3"/>
    <row r="10" spans="2:10" ht="15.6" x14ac:dyDescent="0.3">
      <c r="B10" s="75" t="s">
        <v>198</v>
      </c>
      <c r="F10" s="76">
        <v>-0.4</v>
      </c>
      <c r="G10" s="76">
        <v>-0.4</v>
      </c>
      <c r="H10" s="76">
        <v>-0.4</v>
      </c>
      <c r="I10" s="76">
        <v>-0.4</v>
      </c>
      <c r="J10" s="76">
        <v>-0.4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6704B-B55B-442D-B264-7537D230CACB}">
  <dimension ref="B4:I29"/>
  <sheetViews>
    <sheetView showGridLines="0" topLeftCell="A8" workbookViewId="0">
      <selection activeCell="E23" sqref="E23:I23"/>
    </sheetView>
  </sheetViews>
  <sheetFormatPr defaultRowHeight="14.4" x14ac:dyDescent="0.3"/>
  <cols>
    <col min="1" max="1" width="4.109375" customWidth="1"/>
    <col min="4" max="4" width="33.33203125" bestFit="1" customWidth="1"/>
    <col min="5" max="5" width="17" bestFit="1" customWidth="1"/>
    <col min="6" max="7" width="18.44140625" bestFit="1" customWidth="1"/>
    <col min="8" max="9" width="19.21875" bestFit="1" customWidth="1"/>
  </cols>
  <sheetData>
    <row r="4" spans="2:9" ht="29.4" thickBot="1" x14ac:dyDescent="0.6">
      <c r="D4" s="86" t="s">
        <v>214</v>
      </c>
      <c r="E4" s="51">
        <f>BS!E8</f>
        <v>21000000</v>
      </c>
      <c r="F4" s="90">
        <f>E29</f>
        <v>-611810146.53802991</v>
      </c>
      <c r="G4" s="90">
        <f t="shared" ref="G4:I4" si="0">F29</f>
        <v>-1461770720.1588256</v>
      </c>
      <c r="H4" s="90">
        <f t="shared" si="0"/>
        <v>-2697451593.9417629</v>
      </c>
      <c r="I4" s="90">
        <f t="shared" si="0"/>
        <v>-4709542522.212944</v>
      </c>
    </row>
    <row r="5" spans="2:9" ht="15" thickBot="1" x14ac:dyDescent="0.35"/>
    <row r="6" spans="2:9" ht="15" thickBot="1" x14ac:dyDescent="0.35">
      <c r="D6" s="84"/>
      <c r="E6" s="55">
        <v>46022</v>
      </c>
      <c r="F6" s="55">
        <v>46387</v>
      </c>
      <c r="G6" s="55">
        <v>46752</v>
      </c>
      <c r="H6" s="55">
        <v>47118</v>
      </c>
      <c r="I6" s="56">
        <v>47483</v>
      </c>
    </row>
    <row r="7" spans="2:9" ht="15.6" x14ac:dyDescent="0.3">
      <c r="D7" s="71" t="s">
        <v>199</v>
      </c>
      <c r="E7" s="38">
        <f>'P&amp;L'!J11</f>
        <v>184199110.97384745</v>
      </c>
      <c r="F7" s="38">
        <f>'P&amp;L'!K11</f>
        <v>382649086.24323082</v>
      </c>
      <c r="G7" s="38">
        <f>'P&amp;L'!L11</f>
        <v>794902442.40955234</v>
      </c>
      <c r="H7" s="38">
        <f>'P&amp;L'!M11</f>
        <v>1651303807.2356029</v>
      </c>
      <c r="I7" s="38">
        <f>'P&amp;L'!N11</f>
        <v>3430363423.6236043</v>
      </c>
    </row>
    <row r="8" spans="2:9" ht="15.6" x14ac:dyDescent="0.3">
      <c r="D8" s="71" t="s">
        <v>6</v>
      </c>
      <c r="E8" s="38">
        <f>'P&amp;L'!J14</f>
        <v>-48400000</v>
      </c>
      <c r="F8" s="38">
        <f>'P&amp;L'!K14</f>
        <v>-45058972.747061551</v>
      </c>
      <c r="G8" s="38">
        <f>'P&amp;L'!L14</f>
        <v>-41450663.313888013</v>
      </c>
      <c r="H8" s="38">
        <f>'P&amp;L'!M14</f>
        <v>-37553689.126060598</v>
      </c>
      <c r="I8" s="38">
        <f>'P&amp;L'!N14</f>
        <v>-33344957.003207002</v>
      </c>
    </row>
    <row r="9" spans="2:9" ht="15.6" x14ac:dyDescent="0.3">
      <c r="D9" s="71" t="s">
        <v>5</v>
      </c>
      <c r="E9" s="38">
        <f>'P&amp;L'!J16</f>
        <v>-194835748.58571649</v>
      </c>
      <c r="F9" s="38">
        <f>'P&amp;L'!K16</f>
        <v>-248420304.99343321</v>
      </c>
      <c r="G9" s="38">
        <f>'P&amp;L'!L16</f>
        <v>-350578222.72231412</v>
      </c>
      <c r="H9" s="38">
        <f>'P&amp;L'!M16</f>
        <v>-553162146.67855906</v>
      </c>
      <c r="I9" s="38">
        <f>'P&amp;L'!N16</f>
        <v>-963863380.67970419</v>
      </c>
    </row>
    <row r="10" spans="2:9" ht="15.6" x14ac:dyDescent="0.3">
      <c r="D10" s="71"/>
      <c r="E10" s="38"/>
      <c r="F10" s="38"/>
      <c r="G10" s="38"/>
      <c r="H10" s="38"/>
      <c r="I10" s="38"/>
    </row>
    <row r="11" spans="2:9" ht="16.2" thickBot="1" x14ac:dyDescent="0.35">
      <c r="D11" s="83" t="s">
        <v>200</v>
      </c>
      <c r="E11" s="87">
        <f>SUM(E7:E10)</f>
        <v>-59036637.611869037</v>
      </c>
      <c r="F11" s="87">
        <f t="shared" ref="F11:I11" si="1">SUM(F7:F10)</f>
        <v>89169808.502736062</v>
      </c>
      <c r="G11" s="87">
        <f t="shared" si="1"/>
        <v>402873556.37335014</v>
      </c>
      <c r="H11" s="87">
        <f t="shared" si="1"/>
        <v>1060587971.4309833</v>
      </c>
      <c r="I11" s="87">
        <f t="shared" si="1"/>
        <v>2433155085.9406929</v>
      </c>
    </row>
    <row r="12" spans="2:9" ht="14.4" customHeight="1" x14ac:dyDescent="0.3">
      <c r="B12" s="93" t="s">
        <v>211</v>
      </c>
      <c r="C12" s="93"/>
      <c r="D12" s="71" t="s">
        <v>201</v>
      </c>
      <c r="E12" s="38">
        <f>-(BS!F5-BS!E5)</f>
        <v>-194651469.68045497</v>
      </c>
      <c r="F12" s="38">
        <f>-(BS!G5-BS!F5)</f>
        <v>-392109168.03825772</v>
      </c>
      <c r="G12" s="38">
        <f>-(BS!H5-BS!G5)</f>
        <v>-814554500.63890612</v>
      </c>
      <c r="H12" s="38">
        <f>-(BS!I5-BS!H5)</f>
        <v>-1692128337.1939945</v>
      </c>
      <c r="I12" s="38">
        <f>-(BS!J5-BS!I5)</f>
        <v>-3515170939.807035</v>
      </c>
    </row>
    <row r="13" spans="2:9" ht="15.6" x14ac:dyDescent="0.3">
      <c r="B13" s="93"/>
      <c r="C13" s="93"/>
      <c r="D13" s="71" t="s">
        <v>202</v>
      </c>
      <c r="E13" s="38">
        <f>-(BS!F6-BS!E6)</f>
        <v>-180541617.09873551</v>
      </c>
      <c r="F13" s="38">
        <f>-(BS!G6-BS!F6)</f>
        <v>-302246176.33025056</v>
      </c>
      <c r="G13" s="38">
        <f>-(BS!H6-BS!G6)</f>
        <v>-627876120.47542024</v>
      </c>
      <c r="H13" s="38">
        <f>-(BS!I6-BS!H6)</f>
        <v>-1304328899.8717039</v>
      </c>
      <c r="I13" s="38">
        <f>-(BS!J6-BS!I6)</f>
        <v>-2709569329.937798</v>
      </c>
    </row>
    <row r="14" spans="2:9" ht="15.6" x14ac:dyDescent="0.3">
      <c r="B14" s="93"/>
      <c r="C14" s="93"/>
      <c r="D14" s="71" t="s">
        <v>203</v>
      </c>
      <c r="E14" s="38">
        <f>BS!F12-BS!E12</f>
        <v>134199346.12474641</v>
      </c>
      <c r="F14" s="38">
        <f>BS!G12-BS!F12</f>
        <v>218812457.90272215</v>
      </c>
      <c r="G14" s="38">
        <f>BS!H12-BS!G12</f>
        <v>454553698.07403588</v>
      </c>
      <c r="H14" s="38">
        <f>BS!I12-BS!H12</f>
        <v>944274683.50380051</v>
      </c>
      <c r="I14" s="38">
        <f>BS!J12-BS!I12</f>
        <v>1961604716.1956508</v>
      </c>
    </row>
    <row r="15" spans="2:9" ht="15.6" x14ac:dyDescent="0.3">
      <c r="B15" s="93"/>
      <c r="C15" s="93"/>
      <c r="D15" s="71" t="s">
        <v>204</v>
      </c>
      <c r="E15" s="38">
        <f>-(BS!F9-BS!E9)</f>
        <v>-48989057.187266737</v>
      </c>
      <c r="F15" s="38">
        <f>-(BS!G9-BS!F9)</f>
        <v>-147587438.76266059</v>
      </c>
      <c r="G15" s="38">
        <f>-(BS!H9-BS!G9)</f>
        <v>-306593220.15690422</v>
      </c>
      <c r="H15" s="38">
        <f>-(BS!I9-BS!H9)</f>
        <v>-636906524.25605822</v>
      </c>
      <c r="I15" s="38">
        <f>-(BS!J9-BS!I9)</f>
        <v>-1323088359.332716</v>
      </c>
    </row>
    <row r="16" spans="2:9" ht="15.6" x14ac:dyDescent="0.3">
      <c r="B16" s="93"/>
      <c r="C16" s="93"/>
      <c r="D16" s="71" t="s">
        <v>205</v>
      </c>
      <c r="E16" s="38">
        <f>BS!F15-BS!E15</f>
        <v>62919371.765734524</v>
      </c>
      <c r="F16" s="38">
        <f>BS!G15-BS!F15</f>
        <v>109696793.33426869</v>
      </c>
      <c r="G16" s="38">
        <f>BS!H15-BS!G15</f>
        <v>227880457.78966931</v>
      </c>
      <c r="H16" s="38">
        <f>BS!I15-BS!H15</f>
        <v>473391258.43167865</v>
      </c>
      <c r="I16" s="38">
        <f>BS!J15-BS!I15</f>
        <v>983407202.76404369</v>
      </c>
    </row>
    <row r="17" spans="2:9" ht="16.2" thickBot="1" x14ac:dyDescent="0.35">
      <c r="D17" s="71"/>
      <c r="E17" s="38"/>
      <c r="F17" s="38"/>
      <c r="G17" s="38"/>
      <c r="H17" s="38"/>
      <c r="I17" s="38"/>
    </row>
    <row r="18" spans="2:9" ht="15.6" x14ac:dyDescent="0.3">
      <c r="B18" s="94" t="s">
        <v>212</v>
      </c>
      <c r="C18" s="94"/>
      <c r="D18" s="85" t="s">
        <v>178</v>
      </c>
      <c r="E18" s="88">
        <f>-'Fixed Asset forward'!F6</f>
        <v>-36506877.470355734</v>
      </c>
      <c r="F18" s="88">
        <f>-'Fixed Asset forward'!G6</f>
        <v>-38325006.545954473</v>
      </c>
      <c r="G18" s="88">
        <f>-'Fixed Asset forward'!H6</f>
        <v>-40233682.761286594</v>
      </c>
      <c r="H18" s="88">
        <f>-'Fixed Asset forward'!I6</f>
        <v>-42237415.578647107</v>
      </c>
      <c r="I18" s="88">
        <f>-'Fixed Asset forward'!J6</f>
        <v>-44340939.04224772</v>
      </c>
    </row>
    <row r="19" spans="2:9" ht="15" thickBot="1" x14ac:dyDescent="0.35">
      <c r="B19" s="94"/>
      <c r="C19" s="94"/>
      <c r="E19" s="38"/>
      <c r="F19" s="38"/>
      <c r="G19" s="38"/>
      <c r="H19" s="38"/>
      <c r="I19" s="38"/>
    </row>
    <row r="20" spans="2:9" ht="15.6" x14ac:dyDescent="0.3">
      <c r="D20" s="53" t="s">
        <v>206</v>
      </c>
      <c r="E20" s="89">
        <f>SUM(E11:E19)</f>
        <v>-322606941.15820098</v>
      </c>
      <c r="F20" s="89">
        <f t="shared" ref="F20:I20" si="2">SUM(F11:F19)</f>
        <v>-462588729.93739653</v>
      </c>
      <c r="G20" s="89">
        <f t="shared" si="2"/>
        <v>-703949811.79546189</v>
      </c>
      <c r="H20" s="89">
        <f t="shared" si="2"/>
        <v>-1197347263.5339413</v>
      </c>
      <c r="I20" s="89">
        <f t="shared" si="2"/>
        <v>-2214002563.219409</v>
      </c>
    </row>
    <row r="21" spans="2:9" ht="15.6" x14ac:dyDescent="0.3">
      <c r="D21" s="71"/>
      <c r="E21" s="38"/>
      <c r="F21" s="38"/>
      <c r="G21" s="38"/>
      <c r="H21" s="38"/>
      <c r="I21" s="38"/>
    </row>
    <row r="22" spans="2:9" ht="15.6" x14ac:dyDescent="0.3">
      <c r="B22" s="93" t="s">
        <v>213</v>
      </c>
      <c r="C22" s="93"/>
      <c r="D22" s="71" t="s">
        <v>195</v>
      </c>
      <c r="E22" s="38">
        <f>'Equity schuedule'!F5</f>
        <v>-268440364.71809828</v>
      </c>
      <c r="F22" s="38">
        <f>'Equity schuedule'!G5</f>
        <v>-342267975.76873016</v>
      </c>
      <c r="G22" s="38">
        <f>'Equity schuedule'!H5</f>
        <v>-483018884.63963282</v>
      </c>
      <c r="H22" s="38">
        <f>'Equity schuedule'!I5</f>
        <v>-762134513.20157027</v>
      </c>
      <c r="I22" s="38">
        <f>'Equity schuedule'!J5</f>
        <v>-1327989546.7142591</v>
      </c>
    </row>
    <row r="23" spans="2:9" ht="15.6" x14ac:dyDescent="0.3">
      <c r="B23" s="93"/>
      <c r="C23" s="93"/>
      <c r="D23" s="71" t="s">
        <v>207</v>
      </c>
      <c r="E23" s="38">
        <f>BS!F14-BS!E14</f>
        <v>-41762840.661730647</v>
      </c>
      <c r="F23" s="38">
        <f>BS!G14-BS!F14</f>
        <v>-45103867.914669096</v>
      </c>
      <c r="G23" s="38">
        <f>BS!H14-BS!G14</f>
        <v>-48712177.347842574</v>
      </c>
      <c r="H23" s="38">
        <f>BS!I14-BS!H14</f>
        <v>-52609151.535669982</v>
      </c>
      <c r="I23" s="38">
        <f>BS!J14-BS!I14</f>
        <v>-56817883.658523619</v>
      </c>
    </row>
    <row r="24" spans="2:9" ht="15.6" x14ac:dyDescent="0.3">
      <c r="B24" s="93"/>
      <c r="C24" s="93"/>
      <c r="D24" s="71" t="s">
        <v>215</v>
      </c>
      <c r="E24" s="38">
        <f>BS!F13-BS!E13</f>
        <v>0</v>
      </c>
      <c r="F24" s="38">
        <f>BS!G13-BS!F13</f>
        <v>0</v>
      </c>
      <c r="G24" s="38">
        <f>BS!H13-BS!G13</f>
        <v>0</v>
      </c>
      <c r="H24" s="38">
        <f>BS!I13-BS!H13</f>
        <v>0</v>
      </c>
      <c r="I24" s="38">
        <f>BS!J13-BS!I13</f>
        <v>0</v>
      </c>
    </row>
    <row r="25" spans="2:9" ht="16.2" thickBot="1" x14ac:dyDescent="0.35">
      <c r="B25" s="93"/>
      <c r="C25" s="93"/>
      <c r="D25" s="71" t="s">
        <v>208</v>
      </c>
      <c r="E25" s="38">
        <f>'Equity schuedule'!F7-'Equity schuedule'!E7-'Equity schuedule'!F6-'Equity schuedule'!F5</f>
        <v>0</v>
      </c>
      <c r="F25" s="38">
        <f>'Equity schuedule'!G7-'Equity schuedule'!F7-'Equity schuedule'!G6-'Equity schuedule'!G5</f>
        <v>0</v>
      </c>
      <c r="G25" s="38">
        <f>'Equity schuedule'!H7-'Equity schuedule'!G7-'Equity schuedule'!H6-'Equity schuedule'!H5</f>
        <v>0</v>
      </c>
      <c r="H25" s="38">
        <f>'Equity schuedule'!I7-'Equity schuedule'!H7-'Equity schuedule'!I6-'Equity schuedule'!I5</f>
        <v>0</v>
      </c>
      <c r="I25" s="38">
        <f>'Equity schuedule'!J7-'Equity schuedule'!I7-'Equity schuedule'!J6-'Equity schuedule'!J5</f>
        <v>0</v>
      </c>
    </row>
    <row r="26" spans="2:9" ht="15.6" x14ac:dyDescent="0.3">
      <c r="B26" s="93"/>
      <c r="C26" s="93"/>
      <c r="D26" s="71" t="s">
        <v>209</v>
      </c>
      <c r="E26" s="88">
        <f>SUM(E20:E25)</f>
        <v>-632810146.53802991</v>
      </c>
      <c r="F26" s="88">
        <f t="shared" ref="F26:I26" si="3">SUM(F20:F25)</f>
        <v>-849960573.62079573</v>
      </c>
      <c r="G26" s="88">
        <f t="shared" si="3"/>
        <v>-1235680873.7829375</v>
      </c>
      <c r="H26" s="88">
        <f t="shared" si="3"/>
        <v>-2012090928.2711816</v>
      </c>
      <c r="I26" s="88">
        <f t="shared" si="3"/>
        <v>-3598809993.5921917</v>
      </c>
    </row>
    <row r="27" spans="2:9" ht="15.6" x14ac:dyDescent="0.3">
      <c r="D27" s="71"/>
    </row>
    <row r="28" spans="2:9" ht="15.6" x14ac:dyDescent="0.3">
      <c r="D28" s="71"/>
    </row>
    <row r="29" spans="2:9" ht="16.2" thickBot="1" x14ac:dyDescent="0.35">
      <c r="D29" s="83" t="s">
        <v>210</v>
      </c>
      <c r="E29" s="91">
        <f>E4+E26</f>
        <v>-611810146.53802991</v>
      </c>
      <c r="F29" s="91">
        <f>F4+F26</f>
        <v>-1461770720.1588256</v>
      </c>
      <c r="G29" s="91">
        <f>G4+G26</f>
        <v>-2697451593.9417629</v>
      </c>
      <c r="H29" s="91">
        <f>H4+H26</f>
        <v>-4709542522.212944</v>
      </c>
      <c r="I29" s="91">
        <f>I4+I26</f>
        <v>-8308352515.8051357</v>
      </c>
    </row>
  </sheetData>
  <mergeCells count="3">
    <mergeCell ref="B12:C16"/>
    <mergeCell ref="B18:C19"/>
    <mergeCell ref="B22:C2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HOME</vt:lpstr>
      <vt:lpstr>Income - Accounts</vt:lpstr>
      <vt:lpstr>Balance sheet</vt:lpstr>
      <vt:lpstr>P&amp;L</vt:lpstr>
      <vt:lpstr>BS</vt:lpstr>
      <vt:lpstr>Fixed Asset forward</vt:lpstr>
      <vt:lpstr>Finanical liabilities schedule</vt:lpstr>
      <vt:lpstr>Equity schuedule</vt:lpstr>
      <vt:lpstr>Cash Flow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abdulrahman.com_15143</cp:lastModifiedBy>
  <cp:lastPrinted>2025-06-30T19:22:05Z</cp:lastPrinted>
  <dcterms:created xsi:type="dcterms:W3CDTF">2025-06-24T13:48:54Z</dcterms:created>
  <dcterms:modified xsi:type="dcterms:W3CDTF">2025-06-30T19:59:17Z</dcterms:modified>
</cp:coreProperties>
</file>