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 firstSheet="1" activeTab="4"/>
  </bookViews>
  <sheets>
    <sheet name="1" sheetId="16" r:id="rId1"/>
    <sheet name="2" sheetId="17" r:id="rId2"/>
    <sheet name="3" sheetId="18" r:id="rId3"/>
    <sheet name="4" sheetId="19" r:id="rId4"/>
    <sheet name="5" sheetId="20" r:id="rId5"/>
    <sheet name="6" sheetId="21" r:id="rId6"/>
    <sheet name="7" sheetId="22" r:id="rId7"/>
    <sheet name="8" sheetId="23" r:id="rId8"/>
    <sheet name="9" sheetId="24" r:id="rId9"/>
    <sheet name="10" sheetId="25" r:id="rId10"/>
    <sheet name="11" sheetId="26" r:id="rId11"/>
    <sheet name="12" sheetId="27" r:id="rId12"/>
    <sheet name="13" sheetId="28" r:id="rId13"/>
    <sheet name="14" sheetId="29" r:id="rId14"/>
    <sheet name="15" sheetId="30" r:id="rId15"/>
    <sheet name="16" sheetId="31" r:id="rId16"/>
    <sheet name="17" sheetId="7" r:id="rId17"/>
    <sheet name="18" sheetId="15" r:id="rId18"/>
    <sheet name="19" sheetId="2" r:id="rId19"/>
    <sheet name="20" sheetId="3" r:id="rId20"/>
    <sheet name="21" sheetId="4" r:id="rId21"/>
    <sheet name="22" sheetId="5" r:id="rId22"/>
    <sheet name="23" sheetId="6" r:id="rId23"/>
    <sheet name="24" sheetId="8" r:id="rId24"/>
    <sheet name="25" sheetId="9" r:id="rId25"/>
    <sheet name="26" sheetId="10" r:id="rId26"/>
    <sheet name="27" sheetId="11" r:id="rId27"/>
    <sheet name="28" sheetId="12" r:id="rId28"/>
    <sheet name="29" sheetId="13" r:id="rId29"/>
    <sheet name="30" sheetId="14" r:id="rId30"/>
    <sheet name="31" sheetId="32" r:id="rId31"/>
    <sheet name="Total Juillet" sheetId="33" r:id="rId32"/>
    <sheet name="Feuil1" sheetId="34" r:id="rId33"/>
  </sheets>
  <calcPr calcId="144525"/>
</workbook>
</file>

<file path=xl/sharedStrings.xml><?xml version="1.0" encoding="utf-8"?>
<sst xmlns="http://schemas.openxmlformats.org/spreadsheetml/2006/main" count="700" uniqueCount="27">
  <si>
    <t>N° CPT</t>
  </si>
  <si>
    <t>FOURNISSEUR</t>
  </si>
  <si>
    <t>T1</t>
  </si>
  <si>
    <t>T2</t>
  </si>
  <si>
    <t>T3</t>
  </si>
  <si>
    <t>T4</t>
  </si>
  <si>
    <t>T5</t>
  </si>
  <si>
    <t>T6</t>
  </si>
  <si>
    <t>T7</t>
  </si>
  <si>
    <t>T8</t>
  </si>
  <si>
    <t>T01</t>
  </si>
  <si>
    <t>T02</t>
  </si>
  <si>
    <t>T03</t>
  </si>
  <si>
    <t>T04</t>
  </si>
  <si>
    <t>T05</t>
  </si>
  <si>
    <t>T06</t>
  </si>
  <si>
    <t>T07</t>
  </si>
  <si>
    <t>T08</t>
  </si>
  <si>
    <t>PR1</t>
  </si>
  <si>
    <t>PR2</t>
  </si>
  <si>
    <t>PR3</t>
  </si>
  <si>
    <t>PR</t>
  </si>
  <si>
    <t>TOTAL</t>
  </si>
  <si>
    <t>Babah</t>
  </si>
  <si>
    <t>Ahd  Med</t>
  </si>
  <si>
    <t xml:space="preserve"> </t>
  </si>
  <si>
    <t>2161/1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</si>
</sst>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-* #,##0.00\ _€_-;\-* #,##0.00\ _€_-;_-* &quot;-&quot;??\ _€_-;_-@_-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name val="MS Sans Serif"/>
      <charset val="134"/>
    </font>
    <font>
      <sz val="10"/>
      <color theme="1"/>
      <name val="MS Sans Serif"/>
      <charset val="134"/>
    </font>
    <font>
      <b/>
      <sz val="10"/>
      <name val="MS Sans Serif"/>
      <charset val="134"/>
    </font>
    <font>
      <sz val="10"/>
      <name val="MS Sans Serif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/>
    <xf numFmtId="0" fontId="22" fillId="20" borderId="1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58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0" fillId="2" borderId="1" xfId="0" applyNumberFormat="1" applyFill="1" applyBorder="1"/>
    <xf numFmtId="0" fontId="0" fillId="2" borderId="0" xfId="0" applyFill="1"/>
    <xf numFmtId="2" fontId="0" fillId="0" borderId="2" xfId="0" applyNumberFormat="1" applyFill="1" applyBorder="1"/>
    <xf numFmtId="2" fontId="0" fillId="0" borderId="0" xfId="0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/>
    <xf numFmtId="2" fontId="0" fillId="2" borderId="0" xfId="0" applyNumberFormat="1" applyFill="1"/>
    <xf numFmtId="0" fontId="3" fillId="0" borderId="0" xfId="0" applyFont="1"/>
    <xf numFmtId="176" fontId="0" fillId="0" borderId="0" xfId="44" applyFont="1"/>
    <xf numFmtId="2" fontId="3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1048546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/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3:23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39" activePane="bottomLeft" state="frozen"/>
      <selection/>
      <selection pane="bottomLeft" activeCell="A69" sqref="A69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2425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20.7</v>
      </c>
      <c r="N2" s="3">
        <v>20.7</v>
      </c>
      <c r="O2" s="3">
        <v>2.85</v>
      </c>
      <c r="P2" s="3">
        <v>2.15</v>
      </c>
      <c r="Q2" s="3">
        <v>0.75</v>
      </c>
      <c r="R2" s="3"/>
      <c r="S2" s="3">
        <v>18.7</v>
      </c>
      <c r="T2" s="3">
        <v>8.5</v>
      </c>
      <c r="U2" s="3"/>
      <c r="V2" s="3"/>
      <c r="W2" s="3">
        <f t="shared" ref="W2:W67" si="0">SUM(C2:V2)</f>
        <v>74.35</v>
      </c>
    </row>
    <row r="3" spans="1:23">
      <c r="A3" s="1">
        <v>478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15.3+18.5+21.25+23.2</f>
        <v>78.25</v>
      </c>
      <c r="N3" s="3">
        <f>19.9+19.55+18.65+18.89+20.5+14.1+22.65</f>
        <v>134.24</v>
      </c>
      <c r="O3" s="3">
        <f>17.75+20.8+12.45</f>
        <v>51</v>
      </c>
      <c r="P3" s="3">
        <f>16.1+14.25</f>
        <v>30.35</v>
      </c>
      <c r="Q3" s="3"/>
      <c r="R3" s="3"/>
      <c r="S3" s="3">
        <f>18.5+13.6+10.05+20.25+14.5+16.55+23.1+14.25+9.2+23.05</f>
        <v>163.05</v>
      </c>
      <c r="T3" s="3">
        <f>22.3+26.75</f>
        <v>49.05</v>
      </c>
      <c r="U3" s="3"/>
      <c r="V3" s="3"/>
      <c r="W3" s="3">
        <f t="shared" si="0"/>
        <v>505.94</v>
      </c>
    </row>
    <row r="4" spans="1:23">
      <c r="A4" s="1">
        <v>478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15.15+15.35+17.25+14.1+14.15+16.85+14.9+2.35</f>
        <v>110.1</v>
      </c>
      <c r="N4" s="3">
        <f>15.75+14.3+14.05+16.85+14+20.3+17.55+14.05+18.5+15.9</f>
        <v>161.25</v>
      </c>
      <c r="O4" s="3">
        <f>14.85+13.6+13.4+11.45+14.95+3.1</f>
        <v>71.35</v>
      </c>
      <c r="P4" s="3">
        <f>13.5+17.65+15.3+2.45</f>
        <v>48.9</v>
      </c>
      <c r="Q4" s="3">
        <f>19.3+12.4</f>
        <v>31.7</v>
      </c>
      <c r="R4" s="3"/>
      <c r="S4" s="3">
        <f>20.15+16.4</f>
        <v>36.55</v>
      </c>
      <c r="T4" s="3">
        <f>15.75+13</f>
        <v>28.75</v>
      </c>
      <c r="U4" s="3">
        <f>17.4+7.9</f>
        <v>25.3</v>
      </c>
      <c r="V4" s="3"/>
      <c r="W4" s="3">
        <f t="shared" si="0"/>
        <v>513.9</v>
      </c>
    </row>
    <row r="5" spans="1:23">
      <c r="A5" s="1">
        <v>444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8.9</v>
      </c>
      <c r="N5" s="3">
        <v>15.3</v>
      </c>
      <c r="O5" s="3">
        <v>10.35</v>
      </c>
      <c r="P5" s="3">
        <v>17.1</v>
      </c>
      <c r="Q5" s="3">
        <v>4.85</v>
      </c>
      <c r="R5" s="3"/>
      <c r="S5" s="3">
        <v>15.6</v>
      </c>
      <c r="T5" s="3">
        <v>12.35</v>
      </c>
      <c r="U5" s="3"/>
      <c r="V5" s="3"/>
      <c r="W5" s="3">
        <f t="shared" si="0"/>
        <v>84.45</v>
      </c>
    </row>
    <row r="6" spans="1:23">
      <c r="A6" s="1">
        <v>2167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12.55+14.25+16.8+15.8</f>
        <v>59.4</v>
      </c>
      <c r="N6" s="3">
        <f>13.9+17.9+14.15+17+10.55+12.1+19.15+11.4</f>
        <v>116.15</v>
      </c>
      <c r="O6" s="3">
        <f>14.15+13.8+10.4+15.35+16.3+13.5</f>
        <v>83.5</v>
      </c>
      <c r="P6" s="3">
        <f>16.05+11+13.95+17.8+20.45+16.55+11+17.25</f>
        <v>124.05</v>
      </c>
      <c r="Q6" s="3">
        <f>16.5+14.7+12.5</f>
        <v>43.7</v>
      </c>
      <c r="R6" s="3"/>
      <c r="S6" s="3">
        <f>19.25+16.8+13.75+23.8</f>
        <v>73.6</v>
      </c>
      <c r="T6" s="3">
        <f>16.25+20.55+11.85</f>
        <v>48.65</v>
      </c>
      <c r="U6" s="3">
        <f>18.25+17.05+11.45</f>
        <v>46.75</v>
      </c>
      <c r="V6" s="3"/>
      <c r="W6" s="3">
        <f t="shared" si="0"/>
        <v>595.8</v>
      </c>
    </row>
    <row r="7" spans="1:23">
      <c r="A7" s="1">
        <v>2167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14.25+16.95+15.55+14.75+13.6</f>
        <v>75.1</v>
      </c>
      <c r="N7" s="3">
        <f>16.35+17.2+21.55+11.65+15.9+13.6+13.3+11.2</f>
        <v>120.75</v>
      </c>
      <c r="O7" s="3">
        <f>15.15+15.1+14.1+17.95+17.85+15.55+11.55+12.95</f>
        <v>120.2</v>
      </c>
      <c r="P7" s="3">
        <f>10.65+17.45+13.7+14.75+10.85+13.15+15.4+12.7+12.4</f>
        <v>121.05</v>
      </c>
      <c r="Q7" s="3">
        <f>14.25+16.75+16.15+18.55+14.95</f>
        <v>80.65</v>
      </c>
      <c r="R7" s="3"/>
      <c r="S7" s="3">
        <f>20.8+29.85+17.6+12.05+13.55</f>
        <v>93.85</v>
      </c>
      <c r="T7" s="3">
        <f>19.6+14.55+21.4+11.85+17.4+11.9+11.1</f>
        <v>107.8</v>
      </c>
      <c r="U7" s="3">
        <f>18.6+15.75+12.1+13.25</f>
        <v>59.7</v>
      </c>
      <c r="V7" s="3"/>
      <c r="W7" s="3">
        <f t="shared" si="0"/>
        <v>779.1</v>
      </c>
    </row>
    <row r="8" spans="1:23">
      <c r="A8" s="1">
        <v>2167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17.3+17.25+16.55</f>
        <v>51.1</v>
      </c>
      <c r="N8" s="3">
        <f>13+11.3+12.9+14</f>
        <v>51.2</v>
      </c>
      <c r="O8" s="3">
        <f>12.5+12.7+17.6+15.9+16+14.5</f>
        <v>89.2</v>
      </c>
      <c r="P8" s="3">
        <f>12.95+14.05+12.9+11.5+14+14.75+12.7+13.6+17.4+14.55</f>
        <v>138.4</v>
      </c>
      <c r="Q8" s="3">
        <f>16.15+16.3+12.25+10.6+13.55+17+15.05</f>
        <v>100.9</v>
      </c>
      <c r="R8" s="3"/>
      <c r="S8" s="3">
        <f>14.7+15.55</f>
        <v>30.25</v>
      </c>
      <c r="T8" s="3">
        <f>11.25+15.4+12.4+18.55</f>
        <v>57.6</v>
      </c>
      <c r="U8" s="3">
        <f>14.05+11.75+12.5+12.95+16.35+24.8</f>
        <v>92.4</v>
      </c>
      <c r="V8" s="3"/>
      <c r="W8" s="3">
        <f t="shared" si="0"/>
        <v>611.05</v>
      </c>
    </row>
    <row r="9" spans="1:23">
      <c r="A9" s="1">
        <v>2167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17.1+13.75</f>
        <v>30.85</v>
      </c>
      <c r="N9" s="3">
        <v>11.2</v>
      </c>
      <c r="O9" s="3">
        <v>16.95</v>
      </c>
      <c r="P9" s="3">
        <v>10.55</v>
      </c>
      <c r="Q9" s="3">
        <v>11</v>
      </c>
      <c r="R9" s="3"/>
      <c r="S9" s="3">
        <v>8.15</v>
      </c>
      <c r="T9" s="3">
        <v>6.75</v>
      </c>
      <c r="U9" s="3">
        <v>16.35</v>
      </c>
      <c r="V9" s="3"/>
      <c r="W9" s="3">
        <f t="shared" si="0"/>
        <v>111.8</v>
      </c>
    </row>
    <row r="10" spans="1:23">
      <c r="A10" s="1">
        <v>1023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16.9+19.4+21.05+16.65+14.5+14.55</f>
        <v>103.05</v>
      </c>
      <c r="N10" s="3">
        <f>19+15.75+9.3+14.25+13.35+22.35+11.25+17.6+16+11.15+19.5+17.65</f>
        <v>187.15</v>
      </c>
      <c r="O10" s="3">
        <f>8.5+14.45+12.65+20+15.65+17.4+15.55+13.15</f>
        <v>117.35</v>
      </c>
      <c r="P10" s="3">
        <f>7.3+15.9+11.35+11.7+7.95</f>
        <v>54.2</v>
      </c>
      <c r="Q10" s="3">
        <f>16.85+11.8</f>
        <v>28.65</v>
      </c>
      <c r="R10" s="3"/>
      <c r="S10" s="3">
        <v>22.8</v>
      </c>
      <c r="T10" s="3">
        <v>12.1</v>
      </c>
      <c r="U10" s="3">
        <v>15</v>
      </c>
      <c r="V10" s="3"/>
      <c r="W10" s="3">
        <f t="shared" si="0"/>
        <v>540.3</v>
      </c>
    </row>
    <row r="11" spans="1:23">
      <c r="A11" s="1">
        <v>1023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f>14.65+19.65+21.7+20.8+20.45+14.5</f>
        <v>111.75</v>
      </c>
      <c r="N11" s="3">
        <f>17.75+18.2+13.2+19.6+20.25+14.8+16.15+19</f>
        <v>138.95</v>
      </c>
      <c r="O11" s="3">
        <f>17.75+20.9+18.1+21.35+17.2+18.95+16.25+10.3+15.55</f>
        <v>156.35</v>
      </c>
      <c r="P11" s="3">
        <f>17.55+16.35+19.75+17.55+21.4+15+19.7</f>
        <v>127.3</v>
      </c>
      <c r="Q11" s="3">
        <f>14.65+12.5+14.65+14.95</f>
        <v>56.75</v>
      </c>
      <c r="R11" s="3"/>
      <c r="S11" s="3"/>
      <c r="T11" s="3">
        <f>15.45+9.7</f>
        <v>25.15</v>
      </c>
      <c r="U11" s="3">
        <v>18.9</v>
      </c>
      <c r="V11" s="3"/>
      <c r="W11" s="3">
        <f t="shared" si="0"/>
        <v>635.15</v>
      </c>
    </row>
    <row r="12" spans="1:23">
      <c r="A12" s="1">
        <v>1023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28.15+11.75+10.35+22.7+13.3+2.3</f>
        <v>88.55</v>
      </c>
      <c r="N12" s="3">
        <f>20.8+14+13.7+17.25+14.15+20.3+16.3+13.6</f>
        <v>130.1</v>
      </c>
      <c r="O12" s="3">
        <f>18+20.5+16.65+11.5+15.2+10.9+15.75+15.75</f>
        <v>124.25</v>
      </c>
      <c r="P12" s="3">
        <f>18.55+26.75+18.8+17+11.35+11.1+12.7+12.3</f>
        <v>128.55</v>
      </c>
      <c r="Q12" s="3">
        <f>10.5+12.4+10.25+0.75</f>
        <v>33.9</v>
      </c>
      <c r="R12" s="3"/>
      <c r="S12" s="3">
        <f>23.5+7.1</f>
        <v>30.6</v>
      </c>
      <c r="T12" s="3">
        <f>13.8+12.25</f>
        <v>26.05</v>
      </c>
      <c r="U12" s="3">
        <f>13.3+13.7+5.85</f>
        <v>32.85</v>
      </c>
      <c r="V12" s="3"/>
      <c r="W12" s="3">
        <f t="shared" si="0"/>
        <v>594.85</v>
      </c>
    </row>
    <row r="13" spans="1:23">
      <c r="A13" s="1">
        <v>309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f>12.5+13.5</f>
        <v>26</v>
      </c>
      <c r="N13" s="3">
        <f>12.3+19.4+15.3+11.7+12.55+14.45</f>
        <v>85.7</v>
      </c>
      <c r="O13" s="3">
        <f>10.65+15.75+13.65+9.15+16.15</f>
        <v>65.35</v>
      </c>
      <c r="P13" s="3">
        <f>11.45+10.9</f>
        <v>22.35</v>
      </c>
      <c r="Q13" s="3">
        <v>11.5</v>
      </c>
      <c r="R13" s="3"/>
      <c r="S13" s="3">
        <f>14.5+17.3+18.95+16.7+14.18+12.55+18+18.7</f>
        <v>130.88</v>
      </c>
      <c r="T13" s="3">
        <f>16.45+11.25+17.5+18.2</f>
        <v>63.4</v>
      </c>
      <c r="U13" s="3">
        <v>13.1</v>
      </c>
      <c r="V13" s="3"/>
      <c r="W13" s="3">
        <f t="shared" si="0"/>
        <v>418.28</v>
      </c>
    </row>
    <row r="14" spans="1:23">
      <c r="A14" s="1">
        <v>309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1">
        <f>19.5+22.85+16.6+16.05+21.85+17.8+15.7+26.6+18.2+17.25+12.05</f>
        <v>204.45</v>
      </c>
      <c r="N14" s="3">
        <f>15.05+22.85+18.95+22.55+23.3+22.9+23.3+22.5+21.75+21.3+16.8+14.6</f>
        <v>245.85</v>
      </c>
      <c r="O14" s="3">
        <f>15.95+11.8+17.65+16.85+25.4+16.55</f>
        <v>104.2</v>
      </c>
      <c r="P14" s="3">
        <f>13.25+22.55+21.9+14.55+11.5</f>
        <v>83.75</v>
      </c>
      <c r="Q14" s="3">
        <f>13.3+19.05</f>
        <v>32.35</v>
      </c>
      <c r="R14" s="3"/>
      <c r="S14" s="3">
        <f>16.85+15.95+23+17.35+16.75+13.15+16.9+16.55+13</f>
        <v>149.5</v>
      </c>
      <c r="T14" s="3">
        <f>13.95+23.75+9.75+27.7+13.2+15.25</f>
        <v>103.6</v>
      </c>
      <c r="U14" s="3">
        <f>10.8+15.35</f>
        <v>26.15</v>
      </c>
      <c r="V14" s="3"/>
      <c r="W14" s="3">
        <f t="shared" si="0"/>
        <v>949.85</v>
      </c>
    </row>
    <row r="15" spans="1:23">
      <c r="A15" s="1">
        <v>309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f>15.15+14.95</f>
        <v>30.1</v>
      </c>
      <c r="N15" s="3">
        <f>21.75+18.95</f>
        <v>40.7</v>
      </c>
      <c r="O15" s="3">
        <f>18.05+22.8+7.6</f>
        <v>48.45</v>
      </c>
      <c r="P15" s="3">
        <f>18.5+18.45</f>
        <v>36.95</v>
      </c>
      <c r="Q15" s="3">
        <v>14.8</v>
      </c>
      <c r="R15" s="3"/>
      <c r="S15" s="3">
        <f>21.2+4.8</f>
        <v>26</v>
      </c>
      <c r="T15" s="3">
        <v>14.75</v>
      </c>
      <c r="U15" s="3">
        <v>11.65</v>
      </c>
      <c r="V15" s="3"/>
      <c r="W15" s="3">
        <f t="shared" si="0"/>
        <v>223.4</v>
      </c>
    </row>
    <row r="16" spans="1:23">
      <c r="A16" s="1">
        <v>1013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14.1+2.1</f>
        <v>16.2</v>
      </c>
      <c r="N16" s="3">
        <f>15.3+11.1+1.75</f>
        <v>28.15</v>
      </c>
      <c r="O16" s="3">
        <f>24.7+12.7+16.3+3.15</f>
        <v>56.85</v>
      </c>
      <c r="P16" s="3">
        <f>20.05+17.3+12.9</f>
        <v>50.25</v>
      </c>
      <c r="Q16" s="3">
        <f>10.5+7.3</f>
        <v>17.8</v>
      </c>
      <c r="R16" s="3"/>
      <c r="S16" s="3">
        <v>2.15</v>
      </c>
      <c r="T16" s="3">
        <v>15.55</v>
      </c>
      <c r="U16" s="3">
        <v>6.75</v>
      </c>
      <c r="V16" s="3"/>
      <c r="W16" s="3">
        <f t="shared" si="0"/>
        <v>193.7</v>
      </c>
    </row>
    <row r="17" spans="1:23">
      <c r="A17" s="13">
        <v>354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22.8+20.6+13.2+19.55+19.6+25.6+18.05</f>
        <v>139.4</v>
      </c>
      <c r="N17" s="3">
        <f>14.3+17+14.1+17.7+15.75+14.2+16.4+5.4</f>
        <v>114.85</v>
      </c>
      <c r="O17" s="3">
        <f>11.65+13.3+19.85+10.65</f>
        <v>55.45</v>
      </c>
      <c r="P17" s="3">
        <f>11.9+9.3</f>
        <v>21.2</v>
      </c>
      <c r="Q17" s="3">
        <v>4.1</v>
      </c>
      <c r="R17" s="3"/>
      <c r="S17" s="3">
        <f>16.5+13.2+16.8+19.45+20.6</f>
        <v>86.55</v>
      </c>
      <c r="T17" s="3">
        <v>12.3</v>
      </c>
      <c r="U17" s="3">
        <v>2.9</v>
      </c>
      <c r="V17" s="3"/>
      <c r="W17" s="3">
        <f t="shared" si="0"/>
        <v>436.75</v>
      </c>
    </row>
    <row r="18" spans="1:23">
      <c r="A18" s="1">
        <v>822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2.5</v>
      </c>
      <c r="N18" s="3"/>
      <c r="O18" s="3"/>
      <c r="P18" s="3"/>
      <c r="Q18" s="3"/>
      <c r="R18" s="3"/>
      <c r="S18" s="3">
        <v>9</v>
      </c>
      <c r="T18" s="3">
        <v>12.15</v>
      </c>
      <c r="U18" s="3">
        <v>2.35</v>
      </c>
      <c r="V18" s="3"/>
      <c r="W18" s="3">
        <f t="shared" si="0"/>
        <v>26</v>
      </c>
    </row>
    <row r="19" spans="1:23">
      <c r="A19" s="1">
        <v>689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2.5</v>
      </c>
      <c r="N19" s="3">
        <v>1.65</v>
      </c>
      <c r="O19" s="3">
        <v>6</v>
      </c>
      <c r="P19" s="3">
        <v>1</v>
      </c>
      <c r="Q19" s="3">
        <v>0.75</v>
      </c>
      <c r="R19" s="3"/>
      <c r="S19" s="3">
        <v>7.55</v>
      </c>
      <c r="T19" s="3">
        <v>11.7</v>
      </c>
      <c r="U19" s="3">
        <v>2.05</v>
      </c>
      <c r="V19" s="3"/>
      <c r="W19" s="3">
        <f t="shared" si="0"/>
        <v>33.2</v>
      </c>
    </row>
    <row r="20" spans="1:23">
      <c r="A20" s="1">
        <v>1722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10.05</v>
      </c>
      <c r="N20" s="3">
        <v>3.9</v>
      </c>
      <c r="O20" s="3">
        <v>11.95</v>
      </c>
      <c r="P20" s="3">
        <v>3.5</v>
      </c>
      <c r="Q20" s="3"/>
      <c r="R20" s="3"/>
      <c r="S20" s="3">
        <v>8.75</v>
      </c>
      <c r="T20" s="3">
        <v>17.5</v>
      </c>
      <c r="U20" s="3"/>
      <c r="V20" s="3"/>
      <c r="W20" s="3">
        <f t="shared" si="0"/>
        <v>55.65</v>
      </c>
    </row>
    <row r="21" spans="1:23">
      <c r="A21" s="1">
        <v>445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f>11.7+12.5+14.35+16.15+22.9+16.7+7.15</f>
        <v>101.45</v>
      </c>
      <c r="N21" s="3">
        <f>23.585+23.1+19.4+21.9+13.45+27.55+16.2+9.6+9.35+5.4</f>
        <v>169.535</v>
      </c>
      <c r="O21" s="3">
        <f>11.05+20+19.95+21.15+16.7+13.95+13.25</f>
        <v>116.05</v>
      </c>
      <c r="P21" s="3">
        <f>9.4+10.65+15.9+19.2+10.25+13.35+1.15</f>
        <v>79.9</v>
      </c>
      <c r="Q21" s="3">
        <f>16.25+13.35</f>
        <v>29.6</v>
      </c>
      <c r="R21" s="3"/>
      <c r="S21" s="3">
        <v>8.75</v>
      </c>
      <c r="T21" s="3">
        <f>14.25+15.35</f>
        <v>29.6</v>
      </c>
      <c r="U21" s="3">
        <f>14.75+7.95</f>
        <v>22.7</v>
      </c>
      <c r="V21" s="3"/>
      <c r="W21" s="3">
        <f t="shared" si="0"/>
        <v>557.585</v>
      </c>
    </row>
    <row r="22" spans="1:23">
      <c r="A22" s="1">
        <v>4005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f>18.65+15.35+15.3+16.25+20.5+18.4+20.05+16.25</f>
        <v>140.75</v>
      </c>
      <c r="N22" s="3">
        <f>10.85+9.85+12.95+12.55+16+9.6+24.25+12.25+15.6</f>
        <v>123.9</v>
      </c>
      <c r="O22" s="3">
        <f>15.55+14.25+12.25+16.65+15.85+15.1+15.45+17.35</f>
        <v>122.45</v>
      </c>
      <c r="P22" s="3">
        <f>15.8+8.4+15.6+11.5+12.9+14.45</f>
        <v>78.65</v>
      </c>
      <c r="Q22" s="3">
        <f>17.45+11.85</f>
        <v>29.3</v>
      </c>
      <c r="R22" s="3"/>
      <c r="S22" s="3">
        <v>26.2</v>
      </c>
      <c r="T22" s="3">
        <v>19.65</v>
      </c>
      <c r="U22" s="3">
        <v>8.2</v>
      </c>
      <c r="V22" s="3"/>
      <c r="W22" s="3">
        <f t="shared" si="0"/>
        <v>549.1</v>
      </c>
    </row>
    <row r="23" spans="1:23">
      <c r="A23" s="1">
        <v>4005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10.4</v>
      </c>
      <c r="N23" s="3">
        <v>11.65</v>
      </c>
      <c r="O23" s="3">
        <f>13.65+7.75</f>
        <v>21.4</v>
      </c>
      <c r="P23" s="3">
        <f>15+1.1</f>
        <v>16.1</v>
      </c>
      <c r="Q23" s="3">
        <v>7.8</v>
      </c>
      <c r="R23" s="3"/>
      <c r="S23" s="3">
        <v>10.05</v>
      </c>
      <c r="T23" s="3">
        <v>12.55</v>
      </c>
      <c r="U23" s="3">
        <v>12.35</v>
      </c>
      <c r="V23" s="3"/>
      <c r="W23" s="3">
        <f t="shared" si="0"/>
        <v>102.3</v>
      </c>
    </row>
    <row r="24" spans="1:23">
      <c r="A24" s="1">
        <v>180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2.15</v>
      </c>
      <c r="N24" s="3">
        <v>3.6</v>
      </c>
      <c r="O24" s="3">
        <v>10.15</v>
      </c>
      <c r="P24" s="3">
        <f>8.2+1</f>
        <v>9.2</v>
      </c>
      <c r="Q24" s="3"/>
      <c r="R24" s="3"/>
      <c r="S24" s="3"/>
      <c r="T24" s="3"/>
      <c r="U24" s="3">
        <v>1.4</v>
      </c>
      <c r="V24" s="3"/>
      <c r="W24" s="3">
        <f t="shared" si="0"/>
        <v>26.5</v>
      </c>
    </row>
    <row r="25" spans="1:23">
      <c r="A25" s="1">
        <v>560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13.65</v>
      </c>
      <c r="N25" s="3">
        <f>16.55+9.95</f>
        <v>26.5</v>
      </c>
      <c r="O25" s="3">
        <f>15.95+15.05+17.45+5.2</f>
        <v>53.65</v>
      </c>
      <c r="P25" s="3">
        <f>14.45+15.45+13.25+13.85+2.05</f>
        <v>59.05</v>
      </c>
      <c r="Q25" s="3">
        <v>14.3</v>
      </c>
      <c r="R25" s="3"/>
      <c r="S25" s="3">
        <v>2.55</v>
      </c>
      <c r="T25" s="3">
        <v>8.8</v>
      </c>
      <c r="U25" s="3">
        <v>6.7</v>
      </c>
      <c r="V25" s="3"/>
      <c r="W25" s="3">
        <f t="shared" si="0"/>
        <v>185.2</v>
      </c>
    </row>
    <row r="26" spans="1:23">
      <c r="A26" s="1">
        <v>999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f>10.4+11.9+4.45</f>
        <v>26.75</v>
      </c>
      <c r="N26" s="3">
        <f>18.05+11.3+9.45+10.5+7.65</f>
        <v>56.95</v>
      </c>
      <c r="O26" s="3">
        <f>17.95+17.75+11.9</f>
        <v>47.6</v>
      </c>
      <c r="P26" s="3">
        <f>13.65+10.1+9.05+7.2</f>
        <v>40</v>
      </c>
      <c r="Q26" s="3">
        <f>12.45+4.05</f>
        <v>16.5</v>
      </c>
      <c r="R26" s="3"/>
      <c r="S26" s="3">
        <v>10.05</v>
      </c>
      <c r="T26" s="3">
        <f>13.75+4.85</f>
        <v>18.6</v>
      </c>
      <c r="U26" s="3">
        <v>10.65</v>
      </c>
      <c r="V26" s="3"/>
      <c r="W26" s="3">
        <f t="shared" si="0"/>
        <v>227.1</v>
      </c>
    </row>
    <row r="27" spans="1:23">
      <c r="A27" s="1">
        <v>977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1.85</v>
      </c>
      <c r="O27" s="3">
        <v>1.4</v>
      </c>
      <c r="P27" s="3">
        <v>3.9</v>
      </c>
      <c r="Q27" s="3"/>
      <c r="R27" s="3"/>
      <c r="S27" s="3">
        <v>2.4</v>
      </c>
      <c r="T27" s="3">
        <v>19.25</v>
      </c>
      <c r="U27" s="3">
        <v>6.7</v>
      </c>
      <c r="V27" s="3"/>
      <c r="W27" s="3">
        <f t="shared" si="0"/>
        <v>35.5</v>
      </c>
    </row>
    <row r="28" spans="1:23">
      <c r="A28" s="1">
        <v>2205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16.05+13+2.45</f>
        <v>31.5</v>
      </c>
      <c r="N28" s="3">
        <f>21.05+19.4+13.75</f>
        <v>54.2</v>
      </c>
      <c r="O28" s="3">
        <f>14+14.15+1.45</f>
        <v>29.6</v>
      </c>
      <c r="P28" s="3">
        <f>14.95+11.8</f>
        <v>26.75</v>
      </c>
      <c r="Q28" s="3">
        <v>12.55</v>
      </c>
      <c r="R28" s="3"/>
      <c r="S28" s="3">
        <v>6.05</v>
      </c>
      <c r="T28" s="3">
        <v>9.65</v>
      </c>
      <c r="U28" s="3">
        <v>2.5</v>
      </c>
      <c r="V28" s="3"/>
      <c r="W28" s="3">
        <f t="shared" si="0"/>
        <v>172.8</v>
      </c>
    </row>
    <row r="29" spans="1:23">
      <c r="A29" s="1">
        <v>2415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19.2</v>
      </c>
      <c r="N29" s="3">
        <v>20.25</v>
      </c>
      <c r="O29" s="3">
        <v>6.7</v>
      </c>
      <c r="P29" s="3"/>
      <c r="Q29" s="3"/>
      <c r="R29" s="3"/>
      <c r="S29" s="3">
        <f>27.8+21.55+12.6</f>
        <v>61.95</v>
      </c>
      <c r="T29" s="3">
        <v>9.8</v>
      </c>
      <c r="U29" s="3">
        <v>1.55</v>
      </c>
      <c r="V29" s="3"/>
      <c r="W29" s="3">
        <f t="shared" si="0"/>
        <v>119.45</v>
      </c>
    </row>
    <row r="30" spans="1:23">
      <c r="A30" s="1">
        <v>672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f>13.15+12.65+2.8</f>
        <v>28.6</v>
      </c>
      <c r="N30" s="3">
        <f>12.2+10.9+9.45+14.3+14.75</f>
        <v>61.6</v>
      </c>
      <c r="O30" s="3">
        <f>11.5+9.3+9.25+14.35+3.05</f>
        <v>47.45</v>
      </c>
      <c r="P30" s="3">
        <f>10.2+11.45+11.05+9.55+9.75</f>
        <v>52</v>
      </c>
      <c r="Q30" s="3">
        <f>11.35+9.7</f>
        <v>21.05</v>
      </c>
      <c r="R30" s="3"/>
      <c r="S30" s="3">
        <f>18.25+14.4+13.35+4.55</f>
        <v>50.55</v>
      </c>
      <c r="T30" s="3">
        <f>11.5+19.8+5.4</f>
        <v>36.7</v>
      </c>
      <c r="U30" s="3">
        <f>10.85+7.95</f>
        <v>18.8</v>
      </c>
      <c r="V30" s="3"/>
      <c r="W30" s="3">
        <f t="shared" si="0"/>
        <v>316.75</v>
      </c>
    </row>
    <row r="31" spans="1:23">
      <c r="A31" s="1">
        <v>672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f>19.45+11.7+12.85</f>
        <v>44</v>
      </c>
      <c r="N31" s="3">
        <f>19.4+19.1+17.6+23.45+18.8+11.25+22.35+15.4</f>
        <v>147.35</v>
      </c>
      <c r="O31" s="3">
        <f>19.2+16.95+17.4+14.9+9.4+17+11.75</f>
        <v>106.6</v>
      </c>
      <c r="P31" s="3">
        <f>14.8+13.05+13.25+13.95+11.4</f>
        <v>66.45</v>
      </c>
      <c r="Q31" s="3">
        <v>10.65</v>
      </c>
      <c r="R31" s="3"/>
      <c r="S31" s="3">
        <f>23.4+15+21.35+20.15+28.55+19.85+22.9+11.1</f>
        <v>162.3</v>
      </c>
      <c r="T31" s="3">
        <f>18.35+30.7+17.5+15.75+18.5</f>
        <v>100.8</v>
      </c>
      <c r="U31" s="3">
        <v>9.65</v>
      </c>
      <c r="V31" s="3"/>
      <c r="W31" s="3">
        <f t="shared" si="0"/>
        <v>647.8</v>
      </c>
    </row>
    <row r="32" spans="1:23">
      <c r="A32" s="1">
        <v>672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f>16.6+19.5+17.2+7.1</f>
        <v>60.4</v>
      </c>
      <c r="N32" s="3">
        <f>18.95+15.3+19.05+19.55+11.15</f>
        <v>84</v>
      </c>
      <c r="O32" s="3">
        <f>13.25+14.3+18.5</f>
        <v>46.05</v>
      </c>
      <c r="P32" s="3">
        <f>11.55+27.5+1.1+4.15</f>
        <v>44.3</v>
      </c>
      <c r="Q32" s="3">
        <v>14.9</v>
      </c>
      <c r="R32" s="3"/>
      <c r="S32" s="3">
        <f>14.7+21.75+23.3+17+6.85</f>
        <v>83.6</v>
      </c>
      <c r="T32" s="3">
        <f>13.15+15.75+17.55</f>
        <v>46.45</v>
      </c>
      <c r="U32" s="3">
        <f>13.55+3.65</f>
        <v>17.2</v>
      </c>
      <c r="V32" s="3"/>
      <c r="W32" s="3">
        <f t="shared" si="0"/>
        <v>396.9</v>
      </c>
    </row>
    <row r="33" spans="1:23">
      <c r="A33" s="1">
        <v>444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5.4</v>
      </c>
      <c r="N33" s="3">
        <v>8.55</v>
      </c>
      <c r="O33" s="3">
        <v>14.25</v>
      </c>
      <c r="P33" s="3">
        <v>8</v>
      </c>
      <c r="Q33" s="3">
        <v>2.85</v>
      </c>
      <c r="R33" s="3"/>
      <c r="S33" s="3">
        <v>2.9</v>
      </c>
      <c r="T33" s="3">
        <v>5</v>
      </c>
      <c r="U33" s="3">
        <v>8.3</v>
      </c>
      <c r="V33" s="3"/>
      <c r="W33" s="3">
        <f t="shared" si="0"/>
        <v>55.25</v>
      </c>
    </row>
    <row r="34" spans="1:23">
      <c r="A34" s="1">
        <v>260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f>15.45+14.7+17.05+16.65+12.05+19.4</f>
        <v>95.3</v>
      </c>
      <c r="N34" s="3">
        <f>14.65+17.05+16.9+18.3+14+15.55+17.6+12.4</f>
        <v>126.45</v>
      </c>
      <c r="O34" s="3">
        <f>12.05+13.6+14.5+16.5+17.25+14.55+16.85+9.15</f>
        <v>114.45</v>
      </c>
      <c r="P34" s="3">
        <f>12.2+12.9+18.4+15.95+15.65+18.15+8.65</f>
        <v>101.9</v>
      </c>
      <c r="Q34" s="3">
        <f>10.35+12.85+11.2+17.05+3.6</f>
        <v>55.05</v>
      </c>
      <c r="R34" s="3"/>
      <c r="S34" s="3">
        <f>19.35+17.4+14.6+7.9</f>
        <v>59.25</v>
      </c>
      <c r="T34" s="3">
        <f>16.75+11.35+6.7</f>
        <v>34.8</v>
      </c>
      <c r="U34" s="3">
        <f>17.65+12.95</f>
        <v>30.6</v>
      </c>
      <c r="V34" s="3"/>
      <c r="W34" s="3">
        <f t="shared" si="0"/>
        <v>617.8</v>
      </c>
    </row>
    <row r="35" spans="1:23">
      <c r="A35" s="1">
        <v>478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>16.4+18.2+15.55+19.85+21.5+15.35+16.15+21.1+22+17.9</f>
        <v>184</v>
      </c>
      <c r="N35" s="3">
        <f>14.65+17.2+23+14.65+18+19.15+24.65+1.8</f>
        <v>133.1</v>
      </c>
      <c r="O35" s="3">
        <f>16.85+17.15+13.9+18.1+16.8+2.9</f>
        <v>85.7</v>
      </c>
      <c r="P35" s="3">
        <f>17.05+14.65</f>
        <v>31.7</v>
      </c>
      <c r="Q35" s="3">
        <v>10.95</v>
      </c>
      <c r="R35" s="3"/>
      <c r="S35" s="3">
        <f>24.7+20.9+16.7+15.85+19.05+20.75+23.25+14.4+18.45</f>
        <v>174.05</v>
      </c>
      <c r="T35" s="3">
        <f>19.25+18.15+12.45</f>
        <v>49.85</v>
      </c>
      <c r="U35" s="3">
        <f>11.4+9.75</f>
        <v>21.15</v>
      </c>
      <c r="V35" s="3"/>
      <c r="W35" s="3">
        <f t="shared" si="0"/>
        <v>690.5</v>
      </c>
    </row>
    <row r="36" spans="1:23">
      <c r="A36" s="1">
        <v>2425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14.05</v>
      </c>
      <c r="N36" s="3">
        <f>14.2+7.45</f>
        <v>21.65</v>
      </c>
      <c r="O36" s="3">
        <v>16.45</v>
      </c>
      <c r="P36" s="3">
        <v>16.65</v>
      </c>
      <c r="Q36" s="3">
        <v>5.1</v>
      </c>
      <c r="R36" s="3"/>
      <c r="S36" s="3">
        <v>14.45</v>
      </c>
      <c r="T36" s="3">
        <v>12.85</v>
      </c>
      <c r="U36" s="3">
        <v>5.65</v>
      </c>
      <c r="V36" s="3"/>
      <c r="W36" s="3">
        <f t="shared" si="0"/>
        <v>106.85</v>
      </c>
    </row>
    <row r="37" spans="1:23">
      <c r="A37" s="1">
        <v>1023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18.05+16.75+19.65+17.2+14.05+16.85+15.4+20.3+21.5+14.6+19.05</f>
        <v>193.4</v>
      </c>
      <c r="N37" s="3">
        <f>16.2+16.6+16.55+13.65+14.4+20.25+20.3+19.15+14+19.05+19.5</f>
        <v>189.65</v>
      </c>
      <c r="O37" s="3">
        <f>18.55+20.15+18.8+15.3+19.2+18.7+16.05</f>
        <v>126.75</v>
      </c>
      <c r="P37" s="3">
        <f>13.2+14.7+17.95+15.9+17.5</f>
        <v>79.25</v>
      </c>
      <c r="Q37" s="3">
        <f>14.05+15.4+17.3</f>
        <v>46.75</v>
      </c>
      <c r="R37" s="3"/>
      <c r="S37" s="3">
        <f>18.3+24.55+18.05+12.1+18.6+20.95</f>
        <v>112.55</v>
      </c>
      <c r="T37" s="3">
        <f>21.05+20.7+14.5</f>
        <v>56.25</v>
      </c>
      <c r="U37" s="3">
        <f>20.1+13</f>
        <v>33.1</v>
      </c>
      <c r="V37" s="3"/>
      <c r="W37" s="3">
        <f t="shared" si="0"/>
        <v>837.7</v>
      </c>
    </row>
    <row r="38" spans="1:23">
      <c r="A38" s="1">
        <v>1023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>23.55+22.55+13+21.1+4.4</f>
        <v>84.6</v>
      </c>
      <c r="N38" s="3">
        <f>16.7+21.55+29.95+15.95+17.85+7.55</f>
        <v>109.55</v>
      </c>
      <c r="O38" s="3">
        <f>20.15+17.65+13.6+15.4+10.35</f>
        <v>77.15</v>
      </c>
      <c r="P38" s="3">
        <f>15.65+17.75+7.9</f>
        <v>41.3</v>
      </c>
      <c r="Q38" s="3">
        <v>9.75</v>
      </c>
      <c r="R38" s="3"/>
      <c r="S38" s="3">
        <f>20.3+8.7</f>
        <v>29</v>
      </c>
      <c r="T38" s="3">
        <f>21+21.75</f>
        <v>42.75</v>
      </c>
      <c r="U38" s="3">
        <f>22.5+0.8</f>
        <v>23.3</v>
      </c>
      <c r="V38" s="3"/>
      <c r="W38" s="3">
        <f t="shared" si="0"/>
        <v>417.4</v>
      </c>
    </row>
    <row r="39" spans="1:23">
      <c r="A39" s="13">
        <v>1009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16.8</v>
      </c>
      <c r="N39" s="3">
        <v>16.65</v>
      </c>
      <c r="O39" s="3"/>
      <c r="P39" s="3">
        <v>2.55</v>
      </c>
      <c r="Q39" s="3"/>
      <c r="R39" s="3"/>
      <c r="S39" s="3">
        <f>20.95+21.85+17.55+14.6</f>
        <v>74.95</v>
      </c>
      <c r="T39" s="3">
        <f>18.95+8.8</f>
        <v>27.75</v>
      </c>
      <c r="U39" s="3">
        <v>0.95</v>
      </c>
      <c r="V39" s="3"/>
      <c r="W39" s="3">
        <f t="shared" si="0"/>
        <v>139.65</v>
      </c>
    </row>
    <row r="40" spans="1:23">
      <c r="A40" s="1">
        <v>445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23.15+18.3</f>
        <v>41.45</v>
      </c>
      <c r="N40" s="3">
        <f>13.2+11.35+15.65</f>
        <v>40.2</v>
      </c>
      <c r="O40" s="3">
        <f>18+9.4+13.95</f>
        <v>41.35</v>
      </c>
      <c r="P40" s="3">
        <f>8.35+11.3</f>
        <v>19.65</v>
      </c>
      <c r="Q40" s="3">
        <v>2.75</v>
      </c>
      <c r="R40" s="3"/>
      <c r="S40" s="3">
        <f>15.6+16.75</f>
        <v>32.35</v>
      </c>
      <c r="T40" s="3">
        <f>13.85+13.85</f>
        <v>27.7</v>
      </c>
      <c r="U40" s="3">
        <v>17.9</v>
      </c>
      <c r="V40" s="3"/>
      <c r="W40" s="3">
        <f t="shared" si="0"/>
        <v>223.35</v>
      </c>
    </row>
    <row r="41" spans="1:23">
      <c r="A41" s="1">
        <v>2425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6.55</v>
      </c>
      <c r="N41" s="3">
        <v>3.55</v>
      </c>
      <c r="O41" s="3"/>
      <c r="P41" s="3"/>
      <c r="Q41" s="3"/>
      <c r="R41" s="3"/>
      <c r="S41" s="3">
        <v>3.5</v>
      </c>
      <c r="T41" s="3"/>
      <c r="U41" s="3"/>
      <c r="V41" s="3"/>
      <c r="W41" s="3">
        <f t="shared" si="0"/>
        <v>13.6</v>
      </c>
    </row>
    <row r="42" spans="1:23">
      <c r="A42" s="1">
        <v>4005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f>24.75+13+12.75+14.6+9.7</f>
        <v>74.8</v>
      </c>
      <c r="N42" s="3">
        <f>20.05+13.3+17.45+5.4</f>
        <v>56.2</v>
      </c>
      <c r="O42" s="3">
        <f>19.7+16.3+13.25+11.2+12.9+7.6</f>
        <v>80.95</v>
      </c>
      <c r="P42" s="3">
        <f>13.95+10.6+4</f>
        <v>28.55</v>
      </c>
      <c r="Q42" s="3">
        <v>13.3</v>
      </c>
      <c r="R42" s="3"/>
      <c r="S42" s="3">
        <f>14.05+21.7+13.1+16.95+10.25</f>
        <v>76.05</v>
      </c>
      <c r="T42" s="3">
        <f>17.85+14.5+13.55+3.5</f>
        <v>49.4</v>
      </c>
      <c r="U42" s="3">
        <v>8.75</v>
      </c>
      <c r="V42" s="3"/>
      <c r="W42" s="3">
        <f t="shared" si="0"/>
        <v>388</v>
      </c>
    </row>
    <row r="43" spans="1:23">
      <c r="A43" s="1">
        <v>2167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f>12.7+17.7</f>
        <v>30.4</v>
      </c>
      <c r="N43" s="3">
        <f>14.85+15.7+19.2+12.35</f>
        <v>62.1</v>
      </c>
      <c r="O43" s="3">
        <f>12.1+12.5+18.2+15+15.75+11.8</f>
        <v>85.35</v>
      </c>
      <c r="P43" s="3">
        <f>13.9+14.7+18.95+17.1+16.85+10.9+12.75</f>
        <v>105.15</v>
      </c>
      <c r="Q43" s="3">
        <f>12.85+14.65+14.7+11.6+21.05</f>
        <v>74.85</v>
      </c>
      <c r="R43" s="3"/>
      <c r="S43" s="3">
        <f>19.3+12.6+21.95+21.75</f>
        <v>75.6</v>
      </c>
      <c r="T43" s="3">
        <f>14.45+15.7+14.5+15.95+13.05+13.85+16.3+16.1</f>
        <v>119.9</v>
      </c>
      <c r="U43" s="3">
        <f>15.35+14+15+13.7+21.25+16.8+11.15+11.25+17.6+14.35</f>
        <v>150.45</v>
      </c>
      <c r="V43" s="3"/>
      <c r="W43" s="3">
        <f t="shared" si="0"/>
        <v>703.8</v>
      </c>
    </row>
    <row r="44" spans="1:23">
      <c r="A44" s="1">
        <v>2167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f>19.2+11.25</f>
        <v>30.45</v>
      </c>
      <c r="N44" s="3">
        <f>21.4+12.3+11.9</f>
        <v>45.6</v>
      </c>
      <c r="O44" s="3">
        <f>12+17.8+18.4</f>
        <v>48.2</v>
      </c>
      <c r="P44" s="3">
        <f>10.25+13.2+15.25</f>
        <v>38.7</v>
      </c>
      <c r="Q44" s="3">
        <f>16.6+17.95+11.35</f>
        <v>45.9</v>
      </c>
      <c r="R44" s="3"/>
      <c r="S44" s="3">
        <f>9.95+17.25+29.3+14.55+18.85+15.7</f>
        <v>105.6</v>
      </c>
      <c r="T44" s="3">
        <f>12.35+22.7+10.55+14.8</f>
        <v>60.4</v>
      </c>
      <c r="U44" s="3">
        <f>12.65+10.65+11.65+13.05</f>
        <v>48</v>
      </c>
      <c r="V44" s="3"/>
      <c r="W44" s="3">
        <f t="shared" si="0"/>
        <v>422.85</v>
      </c>
    </row>
    <row r="45" spans="1:23">
      <c r="A45" s="1">
        <v>2167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16.95+19.15+18</f>
        <v>54.1</v>
      </c>
      <c r="N45" s="3">
        <f>11.85+22.3+14.7+13.85+18.2+20.7+1.6</f>
        <v>103.2</v>
      </c>
      <c r="O45" s="3">
        <f>18.8+14.6+19.3</f>
        <v>52.7</v>
      </c>
      <c r="P45" s="3">
        <f>15.15+14.85+15.75+12.05</f>
        <v>57.8</v>
      </c>
      <c r="Q45" s="3">
        <f>16.65+13.65</f>
        <v>30.3</v>
      </c>
      <c r="R45" s="3"/>
      <c r="S45" s="3">
        <f>24.9+14.75+16.75+25.15+20.25</f>
        <v>101.8</v>
      </c>
      <c r="T45" s="3">
        <f>16.2+15.8+15.4+19.75+33.65+15.7</f>
        <v>116.5</v>
      </c>
      <c r="U45" s="3">
        <f>17.1+23.5+18.55+8.5</f>
        <v>67.65</v>
      </c>
      <c r="V45" s="3"/>
      <c r="W45" s="3">
        <f t="shared" si="0"/>
        <v>584.05</v>
      </c>
    </row>
    <row r="46" spans="1:23">
      <c r="A46" s="1">
        <v>754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f>18.55+15.15</f>
        <v>33.7</v>
      </c>
      <c r="N46" s="3">
        <f>23.05+14.85+10.85</f>
        <v>48.75</v>
      </c>
      <c r="O46" s="3">
        <f>18.05+13.05</f>
        <v>31.1</v>
      </c>
      <c r="P46" s="3">
        <v>5.1</v>
      </c>
      <c r="Q46" s="3"/>
      <c r="R46" s="3"/>
      <c r="S46" s="3">
        <v>22.05</v>
      </c>
      <c r="T46" s="3">
        <v>4.45</v>
      </c>
      <c r="U46" s="3">
        <v>1.85</v>
      </c>
      <c r="V46" s="3"/>
      <c r="W46" s="3">
        <f t="shared" si="0"/>
        <v>147</v>
      </c>
    </row>
    <row r="47" spans="1:23">
      <c r="A47" s="1">
        <v>354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f>13.9+20.9+16.75+15+24.95+21.9+9.3+15.4+16.35</f>
        <v>154.45</v>
      </c>
      <c r="N47" s="3">
        <f>19.15+13.8+17.8+13.3+16.95+19.8+22.8+20.65+11.25+20.35</f>
        <v>175.85</v>
      </c>
      <c r="O47" s="3">
        <f>16.25+15.55+17.9+18.7+17.9+16.95+19.55+20.6</f>
        <v>143.4</v>
      </c>
      <c r="P47" s="3">
        <f>16.45+18.6</f>
        <v>35.05</v>
      </c>
      <c r="Q47" s="3"/>
      <c r="R47" s="3"/>
      <c r="S47" s="3">
        <f>24.4+26</f>
        <v>50.4</v>
      </c>
      <c r="T47" s="3">
        <f>14.05+19.05</f>
        <v>33.1</v>
      </c>
      <c r="U47" s="3">
        <v>15.25</v>
      </c>
      <c r="V47" s="3"/>
      <c r="W47" s="3">
        <f t="shared" si="0"/>
        <v>607.5</v>
      </c>
    </row>
    <row r="48" spans="1:23">
      <c r="A48" s="1">
        <v>354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f>15.2+27.25</f>
        <v>42.45</v>
      </c>
      <c r="N48" s="3">
        <f>16+22.1+20.55+8.8</f>
        <v>67.45</v>
      </c>
      <c r="O48" s="3">
        <f>18.25+22.85+17.1+21.2</f>
        <v>79.4</v>
      </c>
      <c r="P48" s="3">
        <f>17.25+14+7.1</f>
        <v>38.35</v>
      </c>
      <c r="Q48" s="3">
        <v>19.15</v>
      </c>
      <c r="R48" s="3"/>
      <c r="S48" s="3">
        <f>18.95+19+14.95</f>
        <v>52.9</v>
      </c>
      <c r="T48" s="3">
        <f>20.3+19.4+16.75</f>
        <v>56.45</v>
      </c>
      <c r="U48" s="3">
        <v>21.75</v>
      </c>
      <c r="V48" s="3"/>
      <c r="W48" s="3">
        <f t="shared" si="0"/>
        <v>377.9</v>
      </c>
    </row>
    <row r="49" spans="1:23">
      <c r="A49" s="1">
        <v>309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21.2+15+17.8+18.25+15.9+21.9</f>
        <v>110.05</v>
      </c>
      <c r="N49" s="3">
        <f>19.6+14.95+23.05+13.2+25.15+21.55+24+23.25+20.45+13.95+22.1</f>
        <v>221.25</v>
      </c>
      <c r="O49" s="3">
        <f>18.05+18.6+16.45+18.95+18.25+17.5</f>
        <v>107.8</v>
      </c>
      <c r="P49" s="3">
        <f>22.95+15.95</f>
        <v>38.9</v>
      </c>
      <c r="Q49" s="3"/>
      <c r="R49" s="3"/>
      <c r="S49" s="3">
        <f>17.5+16+23.4+25+18.25+18.1+18.6+19.95</f>
        <v>156.8</v>
      </c>
      <c r="T49" s="3">
        <f>24.8+15.6+18.3</f>
        <v>58.7</v>
      </c>
      <c r="U49" s="3"/>
      <c r="V49" s="3"/>
      <c r="W49" s="3">
        <f t="shared" si="0"/>
        <v>693.5</v>
      </c>
    </row>
    <row r="50" spans="1:23">
      <c r="A50" s="1">
        <v>309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15.7+22.65+19.15</f>
        <v>57.5</v>
      </c>
      <c r="N50" s="3">
        <f>18.55+23.85+17.6+12.7+15+15.2+16.15+14.75</f>
        <v>133.8</v>
      </c>
      <c r="O50" s="3">
        <f>12.25+22.3+16.85</f>
        <v>51.4</v>
      </c>
      <c r="P50" s="3">
        <f>18.1+12.4+11.4</f>
        <v>41.9</v>
      </c>
      <c r="Q50" s="3"/>
      <c r="R50" s="3"/>
      <c r="S50" s="3">
        <f>22.75+15.85+27+12+18.65+21.95+20.9+15.2</f>
        <v>154.3</v>
      </c>
      <c r="T50" s="3">
        <f>19.5+19.45+16.45+17.3+16.55+18.5+18.9+20.05</f>
        <v>146.7</v>
      </c>
      <c r="U50" s="3">
        <v>22.15</v>
      </c>
      <c r="V50" s="3"/>
      <c r="W50" s="3">
        <f t="shared" si="0"/>
        <v>607.75</v>
      </c>
    </row>
    <row r="51" spans="1:23">
      <c r="A51" s="1">
        <v>309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f>18.4+18.85+21.25+11.8+20.7</f>
        <v>91</v>
      </c>
      <c r="N51" s="3">
        <f>15+17.3+16.9+16.15+20.65+13.55</f>
        <v>99.55</v>
      </c>
      <c r="O51" s="3">
        <f>22.65+24+18.6+19.1</f>
        <v>84.35</v>
      </c>
      <c r="P51" s="3">
        <f>17.95+14.5+22.05+22.5+14.8+16</f>
        <v>107.8</v>
      </c>
      <c r="Q51" s="3">
        <f>22.75+13.65+17.9</f>
        <v>54.3</v>
      </c>
      <c r="R51" s="3"/>
      <c r="S51" s="3">
        <f>8.85+17.65+21.55+23.6+19.35+19.8+13.35+12.6</f>
        <v>136.75</v>
      </c>
      <c r="T51" s="3">
        <f>28+12.35+21.35+13.1+14.95+13.15+18.8+19.95</f>
        <v>141.65</v>
      </c>
      <c r="U51" s="3">
        <f>17.4+18.05+23.75</f>
        <v>59.2</v>
      </c>
      <c r="V51" s="3"/>
      <c r="W51" s="3">
        <f t="shared" si="0"/>
        <v>774.6</v>
      </c>
    </row>
    <row r="52" spans="1:23">
      <c r="A52" s="1">
        <v>309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f>24.6+19.05+17.95+16.7+17.7+18.95+7.35</f>
        <v>122.3</v>
      </c>
      <c r="N52" s="3">
        <f>19.8+20.05+16.4+24.75+21.35+30.15+17.8+9.75</f>
        <v>160.05</v>
      </c>
      <c r="O52" s="3">
        <f>19.2+15.2+15.95+22.9+14.55+14.85+14.55+16.6</f>
        <v>133.8</v>
      </c>
      <c r="P52" s="3">
        <f>19.15+15.5+17.3</f>
        <v>51.95</v>
      </c>
      <c r="Q52" s="3">
        <f>14.05+0.9</f>
        <v>14.95</v>
      </c>
      <c r="R52" s="3"/>
      <c r="S52" s="3">
        <f>23.75+19.6+18.15+13.2+7.05</f>
        <v>81.75</v>
      </c>
      <c r="T52" s="3">
        <f>26.45+15.45+13.9+17.85</f>
        <v>73.65</v>
      </c>
      <c r="U52" s="3">
        <f>19.6+13.8</f>
        <v>33.4</v>
      </c>
      <c r="V52" s="3"/>
      <c r="W52" s="3">
        <f t="shared" si="0"/>
        <v>671.85</v>
      </c>
    </row>
    <row r="53" spans="1:23">
      <c r="A53" s="1">
        <v>2161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f>15.85+11.2</f>
        <v>27.05</v>
      </c>
      <c r="N53" s="3">
        <f>24.3+15.4+21.95+14.45</f>
        <v>76.1</v>
      </c>
      <c r="O53" s="3">
        <f>19.45+18.6+21.4+6.05</f>
        <v>65.5</v>
      </c>
      <c r="P53" s="3">
        <v>12.2</v>
      </c>
      <c r="Q53" s="3">
        <v>5.05</v>
      </c>
      <c r="R53" s="3"/>
      <c r="S53" s="3">
        <f>14.5+16.5+21.55+15.7+7.05</f>
        <v>75.3</v>
      </c>
      <c r="T53" s="3">
        <f>22+21.55+15.15</f>
        <v>58.7</v>
      </c>
      <c r="U53" s="3">
        <v>14.6</v>
      </c>
      <c r="V53" s="3"/>
      <c r="W53" s="3">
        <f t="shared" si="0"/>
        <v>334.5</v>
      </c>
    </row>
    <row r="54" spans="1:23">
      <c r="A54" s="1">
        <v>1791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f>19.3+20.05+17.15+4.65</f>
        <v>61.15</v>
      </c>
      <c r="N54" s="18">
        <f>21.5+14.35+23.7+22.05+22.6+17.05+8.75</f>
        <v>130</v>
      </c>
      <c r="O54" s="3">
        <f>18.15+23.5+19.35</f>
        <v>61</v>
      </c>
      <c r="P54" s="3">
        <f>19.45+15.45+5.8</f>
        <v>40.7</v>
      </c>
      <c r="Q54" s="3">
        <v>7.6</v>
      </c>
      <c r="R54" s="3"/>
      <c r="S54" s="3">
        <f>17.1+16.6+11.55+17.9+20.15+10.95+6.95</f>
        <v>101.2</v>
      </c>
      <c r="T54" s="3">
        <f>20.65+16.35+14.5+9.45+5.7</f>
        <v>66.65</v>
      </c>
      <c r="U54" s="3">
        <f>22.1+1.8</f>
        <v>23.9</v>
      </c>
      <c r="V54" s="3"/>
      <c r="W54" s="3">
        <f t="shared" si="0"/>
        <v>492.2</v>
      </c>
    </row>
    <row r="55" spans="1:23">
      <c r="A55" s="1">
        <v>1792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f>22.7+16.4</f>
        <v>39.1</v>
      </c>
      <c r="N55" s="3">
        <f>25.7+14.6+7.25</f>
        <v>47.55</v>
      </c>
      <c r="O55" s="3">
        <f>17.8+14.85+23.1+7.5</f>
        <v>63.25</v>
      </c>
      <c r="P55" s="3">
        <f>20.6+13.15</f>
        <v>33.75</v>
      </c>
      <c r="Q55" s="3">
        <v>2.95</v>
      </c>
      <c r="R55" s="3"/>
      <c r="S55" s="3">
        <f>17.65+16.35+7.05</f>
        <v>41.05</v>
      </c>
      <c r="T55" s="3">
        <f>22.7+4.8</f>
        <v>27.5</v>
      </c>
      <c r="U55" s="3">
        <v>3.5</v>
      </c>
      <c r="V55" s="3"/>
      <c r="W55" s="3">
        <f t="shared" si="0"/>
        <v>258.65</v>
      </c>
    </row>
    <row r="56" spans="1:23">
      <c r="A56" s="1">
        <v>1006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f>18.95+16.8+7.2</f>
        <v>42.95</v>
      </c>
      <c r="N56" s="3">
        <f>17.95+17.85+16.6+19.85</f>
        <v>72.25</v>
      </c>
      <c r="O56" s="3">
        <f>15+21.35+17.35+22.75</f>
        <v>76.45</v>
      </c>
      <c r="P56" s="3">
        <f>21.55+25.85</f>
        <v>47.4</v>
      </c>
      <c r="Q56" s="3">
        <v>12.25</v>
      </c>
      <c r="R56" s="3"/>
      <c r="S56" s="3">
        <f>12.7+19.8+18.45</f>
        <v>50.95</v>
      </c>
      <c r="T56" s="3">
        <f>20.45+21.25+9.6</f>
        <v>51.3</v>
      </c>
      <c r="U56" s="3">
        <v>20.654</v>
      </c>
      <c r="V56" s="3"/>
      <c r="W56" s="3">
        <f t="shared" si="0"/>
        <v>374.204</v>
      </c>
    </row>
    <row r="57" spans="1:23">
      <c r="A57" s="1">
        <v>999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5.05</v>
      </c>
      <c r="N57" s="3">
        <v>25.25</v>
      </c>
      <c r="O57" s="3">
        <f>15.65+15.3</f>
        <v>30.95</v>
      </c>
      <c r="P57" s="3">
        <f>15.39+6</f>
        <v>21.39</v>
      </c>
      <c r="Q57" s="3">
        <v>3.65</v>
      </c>
      <c r="R57" s="3"/>
      <c r="S57" s="3">
        <v>13.85</v>
      </c>
      <c r="T57" s="3">
        <f>24.95+16.8+20.7</f>
        <v>62.45</v>
      </c>
      <c r="U57" s="3">
        <f>23.1+18.2+3.95</f>
        <v>45.25</v>
      </c>
      <c r="V57" s="3"/>
      <c r="W57" s="3">
        <f t="shared" si="0"/>
        <v>207.84</v>
      </c>
    </row>
    <row r="58" spans="1:23">
      <c r="A58" s="1">
        <v>1005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f>17.2+2.05</f>
        <v>19.25</v>
      </c>
      <c r="N58" s="3">
        <f>14.55+18+21.8+1.95</f>
        <v>56.3</v>
      </c>
      <c r="O58" s="3">
        <f>19.75+18.2</f>
        <v>37.95</v>
      </c>
      <c r="P58" s="3">
        <v>21.6</v>
      </c>
      <c r="Q58" s="3">
        <v>0.95</v>
      </c>
      <c r="R58" s="3"/>
      <c r="S58" s="3">
        <v>25.85</v>
      </c>
      <c r="T58" s="3">
        <f>20.35+8.4</f>
        <v>28.75</v>
      </c>
      <c r="U58" s="3"/>
      <c r="V58" s="3"/>
      <c r="W58" s="3">
        <f t="shared" si="0"/>
        <v>190.65</v>
      </c>
    </row>
    <row r="59" spans="1:23">
      <c r="A59" s="1">
        <v>260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15.9</v>
      </c>
      <c r="N59" s="3">
        <f>19.3+14.75</f>
        <v>34.05</v>
      </c>
      <c r="O59" s="3">
        <f>13.5+20.95</f>
        <v>34.45</v>
      </c>
      <c r="P59" s="18">
        <v>18.1</v>
      </c>
      <c r="Q59" s="3"/>
      <c r="R59" s="3"/>
      <c r="S59" s="3">
        <f>14.8+19.7+18.95+27.15+20.3+15.85+20.15+19.95</f>
        <v>156.85</v>
      </c>
      <c r="T59" s="3">
        <f>18.7+16.7+12.15+20.35+19.8+23.75+25.55+18.1+20.5+13.8</f>
        <v>189.4</v>
      </c>
      <c r="U59" s="3">
        <f>15.25+20.9</f>
        <v>36.15</v>
      </c>
      <c r="V59" s="3"/>
      <c r="W59" s="3">
        <f t="shared" si="0"/>
        <v>484.9</v>
      </c>
    </row>
    <row r="60" spans="1:23">
      <c r="A60" s="1">
        <v>260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17.85</v>
      </c>
      <c r="N60" s="3">
        <f>19.5+16.058</f>
        <v>35.558</v>
      </c>
      <c r="O60" s="3">
        <f>15.9+14.95</f>
        <v>30.85</v>
      </c>
      <c r="P60" s="3">
        <f>19.9+15.25</f>
        <v>35.15</v>
      </c>
      <c r="Q60" s="3">
        <v>14.85</v>
      </c>
      <c r="R60" s="3"/>
      <c r="S60" s="3">
        <f>15.3+11.95+14.35+21.25+19.6+22.95</f>
        <v>105.4</v>
      </c>
      <c r="T60" s="3">
        <f>15.65+17.55+15.6+20.1+20.15+19.5+20.35+22.1+19.55+25.75+26.75+16.1+26.45+17.35+22.15+19.45+16.55+23.75</f>
        <v>364.85</v>
      </c>
      <c r="U60" s="3">
        <f>18.05+17.5+17.4+22.45</f>
        <v>75.4</v>
      </c>
      <c r="V60" s="3"/>
      <c r="W60" s="3">
        <f t="shared" si="0"/>
        <v>679.908</v>
      </c>
    </row>
    <row r="61" spans="1:23">
      <c r="A61" s="1">
        <v>260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11.45</v>
      </c>
      <c r="N61" s="3">
        <v>22.3</v>
      </c>
      <c r="O61" s="3">
        <v>15.6</v>
      </c>
      <c r="P61" s="3">
        <v>4.75</v>
      </c>
      <c r="Q61" s="3"/>
      <c r="R61" s="3"/>
      <c r="S61" s="3">
        <f>20.25+16.8+4.65</f>
        <v>41.7</v>
      </c>
      <c r="T61" s="3">
        <f>19.4+20.8+14.95+23.1+9.45</f>
        <v>87.7</v>
      </c>
      <c r="U61" s="3">
        <v>12.35</v>
      </c>
      <c r="V61" s="3"/>
      <c r="W61" s="3">
        <f t="shared" si="0"/>
        <v>195.85</v>
      </c>
    </row>
    <row r="62" spans="1:23">
      <c r="A62" s="1">
        <v>1023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16.75</v>
      </c>
      <c r="N62" s="3">
        <v>16.45</v>
      </c>
      <c r="O62" s="3"/>
      <c r="P62" s="3"/>
      <c r="Q62" s="3"/>
      <c r="R62" s="3"/>
      <c r="S62" s="3">
        <f>16+11.25+9.05+13.45+11.1+14.35+21.6+22.5+16.3</f>
        <v>135.6</v>
      </c>
      <c r="T62" s="3">
        <f>18.05+16.7+21.7+17+23.2+21.7+20.55+18+17.95</f>
        <v>174.85</v>
      </c>
      <c r="U62" s="3"/>
      <c r="V62" s="3"/>
      <c r="W62" s="3">
        <f t="shared" si="0"/>
        <v>343.65</v>
      </c>
    </row>
    <row r="63" spans="1:23">
      <c r="A63" s="1">
        <v>1023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>
        <f>24.05+20+13.3</f>
        <v>57.35</v>
      </c>
      <c r="O63" s="3"/>
      <c r="P63" s="3"/>
      <c r="Q63" s="3"/>
      <c r="R63" s="3"/>
      <c r="S63" s="3">
        <f>22.02+20.35+17.7+16.45+17.2+18.75+19.9+19.75+15.7+23.95+20.05+16.5</f>
        <v>228.32</v>
      </c>
      <c r="T63" s="3">
        <f>16+16.1+19.35+18.75+20.45+16.35+14.8+21.1+16.15+20.2+20.05+10.75+20.15</f>
        <v>230.2</v>
      </c>
      <c r="U63" s="3">
        <v>18.2</v>
      </c>
      <c r="V63" s="3"/>
      <c r="W63" s="3">
        <f t="shared" si="0"/>
        <v>534.07</v>
      </c>
    </row>
    <row r="64" spans="1:23">
      <c r="A64" s="1">
        <v>1023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14.35+15.4+15.45+15.85</f>
        <v>61.05</v>
      </c>
      <c r="N64" s="3">
        <f>13.55+16.8+16.4+12.6</f>
        <v>59.35</v>
      </c>
      <c r="O64" s="3">
        <f>15.45+16.058</f>
        <v>31.508</v>
      </c>
      <c r="P64" s="3"/>
      <c r="Q64" s="3"/>
      <c r="R64" s="3"/>
      <c r="S64" s="3">
        <f>19.75+10.15+16.1+28.2+22.65+23.55+19.6+13.45</f>
        <v>153.45</v>
      </c>
      <c r="T64" s="3">
        <f>18.1+14.85+24.6+13.8+17.55+19.7+19.35+27.75+20.05+22.4+23.25+17.65+16.75+17.45+19.05</f>
        <v>292.3</v>
      </c>
      <c r="U64" s="3">
        <f>16+16.15</f>
        <v>32.15</v>
      </c>
      <c r="V64" s="3"/>
      <c r="W64" s="3">
        <f t="shared" si="0"/>
        <v>629.808</v>
      </c>
    </row>
    <row r="65" spans="1:23">
      <c r="A65" s="1">
        <v>1023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>
        <f>22.2+19.1+15.5+18.6+21.9+12.15+14.35+11.65+22.3+21.1</f>
        <v>178.85</v>
      </c>
      <c r="T65" s="3">
        <f>21.25+18.55+19.15+17.6+17+16.2+18.75+26.7+16.25+18.7+19.1+19.2+22.55</f>
        <v>251</v>
      </c>
      <c r="U65" s="3"/>
      <c r="V65" s="3"/>
      <c r="W65" s="3">
        <f t="shared" si="0"/>
        <v>429.85</v>
      </c>
    </row>
    <row r="66" spans="1:23">
      <c r="A66" s="1">
        <v>1023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f>19.2+14.7+14.3</f>
        <v>48.2</v>
      </c>
      <c r="T66" s="3">
        <f>15.6+14.75+17.5+14.55+19.5+25.8+22.7+19.05+16.65+18.3+13.5+17.45+25.15+15+23+14.15+20.65+15.2</f>
        <v>328.5</v>
      </c>
      <c r="U66" s="3"/>
      <c r="V66" s="3"/>
      <c r="W66" s="3">
        <f t="shared" si="0"/>
        <v>376.7</v>
      </c>
    </row>
    <row r="67" spans="1:23">
      <c r="A67" s="1">
        <v>1023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>19.35+14.25+23</f>
        <v>56.6</v>
      </c>
      <c r="N67" s="3">
        <f>26.75+29.3+19+26.7+20.35</f>
        <v>122.1</v>
      </c>
      <c r="O67" s="3">
        <f>14.25+19.05+17.55+20.45</f>
        <v>71.3</v>
      </c>
      <c r="P67" s="3">
        <f>18.3+19.95+16.7</f>
        <v>54.95</v>
      </c>
      <c r="Q67" s="3">
        <v>11.75</v>
      </c>
      <c r="R67" s="3"/>
      <c r="S67" s="3">
        <f>19.05+19.95+19.25+16.6+18</f>
        <v>92.85</v>
      </c>
      <c r="T67" s="3">
        <v>15.6</v>
      </c>
      <c r="U67" s="3">
        <f>15.55+16.15+18.65+9.4</f>
        <v>59.75</v>
      </c>
      <c r="V67" s="3"/>
      <c r="W67" s="3">
        <f t="shared" si="0"/>
        <v>484.9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3464.7</v>
      </c>
      <c r="N349" s="4">
        <f t="shared" si="6"/>
        <v>4946.933</v>
      </c>
      <c r="O349" s="4">
        <f t="shared" si="6"/>
        <v>3694.058</v>
      </c>
      <c r="P349" s="4">
        <f t="shared" si="6"/>
        <v>2638.14</v>
      </c>
      <c r="Q349" s="4">
        <f t="shared" si="6"/>
        <v>1075.8</v>
      </c>
      <c r="R349" s="4">
        <f t="shared" si="6"/>
        <v>0</v>
      </c>
      <c r="S349" s="4">
        <f t="shared" si="6"/>
        <v>4304.4</v>
      </c>
      <c r="T349" s="4">
        <f t="shared" si="6"/>
        <v>4293.15</v>
      </c>
      <c r="U349" s="4">
        <f t="shared" si="6"/>
        <v>1401.904</v>
      </c>
      <c r="V349" s="4">
        <f t="shared" si="6"/>
        <v>0</v>
      </c>
      <c r="W349" s="4">
        <f>SUM(W2:W348)</f>
        <v>25819.085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f t="shared" ref="W2:W67" si="0">SUM(C2:V2)</f>
        <v>0</v>
      </c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f t="shared" si="0"/>
        <v>0</v>
      </c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f t="shared" si="0"/>
        <v>0</v>
      </c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f t="shared" si="0"/>
        <v>0</v>
      </c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f t="shared" si="0"/>
        <v>0</v>
      </c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f t="shared" si="0"/>
        <v>0</v>
      </c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f t="shared" si="0"/>
        <v>0</v>
      </c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1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0</v>
      </c>
      <c r="N349" s="4">
        <f t="shared" si="6"/>
        <v>0</v>
      </c>
      <c r="O349" s="4">
        <f t="shared" si="6"/>
        <v>0</v>
      </c>
      <c r="P349" s="4">
        <f t="shared" si="6"/>
        <v>0</v>
      </c>
      <c r="Q349" s="4">
        <f t="shared" si="6"/>
        <v>0</v>
      </c>
      <c r="R349" s="4">
        <f t="shared" si="6"/>
        <v>0</v>
      </c>
      <c r="S349" s="4">
        <f t="shared" si="6"/>
        <v>0</v>
      </c>
      <c r="T349" s="4">
        <f t="shared" si="6"/>
        <v>0</v>
      </c>
      <c r="U349" s="4">
        <f t="shared" si="6"/>
        <v>0</v>
      </c>
      <c r="V349" s="4">
        <f t="shared" si="6"/>
        <v>0</v>
      </c>
      <c r="W349" s="4">
        <f>SUM(W2:W348)</f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1013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14.3+14.9</f>
        <v>29.2</v>
      </c>
      <c r="N2" s="3">
        <f>13.5+14.15+10.7</f>
        <v>38.35</v>
      </c>
      <c r="O2" s="3">
        <f>12.75+14.5+2.8</f>
        <v>30.05</v>
      </c>
      <c r="P2" s="3">
        <f>12.1+12.4</f>
        <v>24.5</v>
      </c>
      <c r="Q2" s="3">
        <v>7.25</v>
      </c>
      <c r="R2" s="3"/>
      <c r="S2" s="3">
        <v>9.1</v>
      </c>
      <c r="T2" s="3">
        <v>10.15</v>
      </c>
      <c r="U2" s="3">
        <v>7.35</v>
      </c>
      <c r="V2" s="3"/>
      <c r="W2" s="3">
        <f t="shared" ref="W2:W36" si="0">SUM(C2:V2)</f>
        <v>155.95</v>
      </c>
    </row>
    <row r="3" spans="1:23">
      <c r="A3" s="1">
        <v>444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>
        <v>17.4</v>
      </c>
      <c r="O3" s="3">
        <f>14.5+14.1</f>
        <v>28.6</v>
      </c>
      <c r="P3" s="3">
        <f>13.45+4.7</f>
        <v>18.15</v>
      </c>
      <c r="Q3" s="3">
        <v>7.85</v>
      </c>
      <c r="R3" s="3"/>
      <c r="S3" s="3">
        <v>4.6</v>
      </c>
      <c r="T3" s="3">
        <v>18.3</v>
      </c>
      <c r="U3" s="3">
        <v>9.45</v>
      </c>
      <c r="V3" s="3"/>
      <c r="W3" s="3">
        <f t="shared" si="0"/>
        <v>104.35</v>
      </c>
    </row>
    <row r="4" spans="1:23">
      <c r="A4" s="1">
        <v>2425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2</v>
      </c>
      <c r="N4" s="3">
        <f>9+5.5</f>
        <v>14.5</v>
      </c>
      <c r="O4" s="3">
        <f>12.2+6.25</f>
        <v>18.45</v>
      </c>
      <c r="P4" s="3">
        <f>12.25+10.4</f>
        <v>22.65</v>
      </c>
      <c r="Q4" s="3">
        <v>8.2</v>
      </c>
      <c r="R4" s="3"/>
      <c r="S4" s="3">
        <v>10.75</v>
      </c>
      <c r="T4" s="3">
        <f>17.05+15.35+13.25</f>
        <v>45.65</v>
      </c>
      <c r="U4" s="3">
        <v>5.05</v>
      </c>
      <c r="V4" s="3"/>
      <c r="W4" s="3">
        <f t="shared" si="0"/>
        <v>127.25</v>
      </c>
    </row>
    <row r="5" spans="1:23">
      <c r="A5" s="1">
        <v>260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9.75</v>
      </c>
      <c r="N5" s="3">
        <f>11.5+10.05+5.5</f>
        <v>27.05</v>
      </c>
      <c r="O5" s="3">
        <f>6+12.15+9.85</f>
        <v>28</v>
      </c>
      <c r="P5" s="3">
        <f>12.45+5.2</f>
        <v>17.65</v>
      </c>
      <c r="Q5" s="3">
        <v>2.7</v>
      </c>
      <c r="R5" s="3"/>
      <c r="S5" s="3">
        <f>16.35+15+2.35</f>
        <v>33.7</v>
      </c>
      <c r="T5" s="3">
        <f>13.25+14.3+18.2+15.5+13.05+10.35</f>
        <v>84.65</v>
      </c>
      <c r="U5" s="3">
        <f>14.85+13.85+14.2</f>
        <v>42.9</v>
      </c>
      <c r="V5" s="3"/>
      <c r="W5" s="3">
        <f t="shared" si="0"/>
        <v>246.4</v>
      </c>
    </row>
    <row r="6" spans="1:23">
      <c r="A6" s="1">
        <v>445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20.3+9.8</f>
        <v>30.1</v>
      </c>
      <c r="N6" s="3">
        <f>13.25+9.55+17.35+17.1+15.6+14.85+20.65+16.98</f>
        <v>125.33</v>
      </c>
      <c r="O6" s="3">
        <f>7.5+20.35+11.95+22.1+13.5+11.8+11.95+11.8+2.98</f>
        <v>113.93</v>
      </c>
      <c r="P6" s="3">
        <f>6.6+23.85+11.05+15.35+11.55+13.1</f>
        <v>81.5</v>
      </c>
      <c r="Q6" s="3">
        <f>13.4+4.65</f>
        <v>18.05</v>
      </c>
      <c r="R6" s="3"/>
      <c r="S6" s="3">
        <f>10.25+26.75+11.6+20.45+11.1+11</f>
        <v>91.15</v>
      </c>
      <c r="T6" s="3">
        <f>13.35+17.45+16.95+19.1+19.1+12.45+13.85+13.6+15.25+12.55</f>
        <v>153.65</v>
      </c>
      <c r="U6" s="3">
        <f>19.2+13.4+15.75</f>
        <v>48.35</v>
      </c>
      <c r="V6" s="3"/>
      <c r="W6" s="3">
        <f t="shared" si="0"/>
        <v>662.06</v>
      </c>
    </row>
    <row r="7" spans="1:23">
      <c r="A7" s="1">
        <v>1792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16.1+11.15+11.05</f>
        <v>38.3</v>
      </c>
      <c r="N7" s="3">
        <f>18.25+16.85+17.05+12.15+13.25+6</f>
        <v>83.55</v>
      </c>
      <c r="O7" s="3">
        <f>13.35+17.5+13.55+12.75+19.35+13.65</f>
        <v>90.15</v>
      </c>
      <c r="P7" s="3">
        <f>13+17.15+11.6+9.45</f>
        <v>51.2</v>
      </c>
      <c r="Q7" s="3">
        <v>4.8</v>
      </c>
      <c r="R7" s="3"/>
      <c r="S7" s="3">
        <f>11.45+10.4+13.3+14.45+19.2+14.8+6.05</f>
        <v>89.65</v>
      </c>
      <c r="T7" s="3">
        <f>14.9+15.9+14.65+28.35+10.75</f>
        <v>84.55</v>
      </c>
      <c r="U7" s="3"/>
      <c r="V7" s="3"/>
      <c r="W7" s="3">
        <f t="shared" si="0"/>
        <v>442.2</v>
      </c>
    </row>
    <row r="8" spans="1:23">
      <c r="A8" s="1">
        <v>46383898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25.5+15.7+11.8+15.35+19.3+15.4+8.3</f>
        <v>111.35</v>
      </c>
      <c r="N8" s="3">
        <f>25.4+11.95+12.45+17.05+11.35+20+18.05+18+6.8</f>
        <v>141.05</v>
      </c>
      <c r="O8" s="3">
        <f>28.1+19.35+18.7+21.35+17.4+7.6</f>
        <v>112.5</v>
      </c>
      <c r="P8" s="3">
        <f>28.65+14.05+17.6+19.25</f>
        <v>79.55</v>
      </c>
      <c r="Q8" s="3">
        <f>22.75+2.65</f>
        <v>25.4</v>
      </c>
      <c r="R8" s="3"/>
      <c r="S8" s="3">
        <f>15+15.95+17.45+22.6+8.1</f>
        <v>79.1</v>
      </c>
      <c r="T8" s="3">
        <f>10.85+22.6</f>
        <v>33.45</v>
      </c>
      <c r="U8" s="3">
        <v>15.6</v>
      </c>
      <c r="V8" s="3"/>
      <c r="W8" s="3">
        <f t="shared" si="0"/>
        <v>598</v>
      </c>
    </row>
    <row r="9" spans="1:23">
      <c r="A9" s="1">
        <v>354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12.5+15.75+16.6+18.55</f>
        <v>63.4</v>
      </c>
      <c r="N9" s="3">
        <f>15.1+14.85+18.45+16.85+14.8+16+12.85+12.85+13.75+16.55+13.25</f>
        <v>165.3</v>
      </c>
      <c r="O9" s="3">
        <f>17.7+18.15+16.15+14.75+18.85+17.3+14.65+13.2</f>
        <v>130.75</v>
      </c>
      <c r="P9" s="3">
        <f>16.2+13.6+14.75+13.5+12.65+20.4+16.85</f>
        <v>107.95</v>
      </c>
      <c r="Q9" s="3">
        <v>16.2</v>
      </c>
      <c r="R9" s="3"/>
      <c r="S9" s="3"/>
      <c r="T9" s="3">
        <v>16.95</v>
      </c>
      <c r="U9" s="3"/>
      <c r="V9" s="3"/>
      <c r="W9" s="3">
        <f t="shared" si="0"/>
        <v>500.55</v>
      </c>
    </row>
    <row r="10" spans="1:23">
      <c r="A10" s="1">
        <v>354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14.4+7.3</f>
        <v>21.7</v>
      </c>
      <c r="N10" s="3">
        <f>16.85+5.45</f>
        <v>22.3</v>
      </c>
      <c r="O10" s="3">
        <f>15.55+10.75</f>
        <v>26.3</v>
      </c>
      <c r="P10" s="3">
        <f>15.35+18.55+10.6</f>
        <v>44.5</v>
      </c>
      <c r="Q10" s="3">
        <f>14.7+8.4</f>
        <v>23.1</v>
      </c>
      <c r="R10" s="3"/>
      <c r="S10" s="3">
        <v>18.8</v>
      </c>
      <c r="T10" s="3">
        <v>14.55</v>
      </c>
      <c r="U10" s="3">
        <v>18.9</v>
      </c>
      <c r="V10" s="3"/>
      <c r="W10" s="3">
        <f t="shared" si="0"/>
        <v>190.15</v>
      </c>
    </row>
    <row r="11" spans="1:23">
      <c r="A11" s="1">
        <v>4005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f>20.85+17.3+18.75+11.4+18.5</f>
        <v>86.8</v>
      </c>
      <c r="N11" s="3">
        <f>18.75+20.8+16.2+17.35+18.5+15.4+24.05</f>
        <v>131.05</v>
      </c>
      <c r="O11" s="3">
        <f>17.9+18+18.45</f>
        <v>54.35</v>
      </c>
      <c r="P11" s="3">
        <f>14.1+18.95+2</f>
        <v>35.05</v>
      </c>
      <c r="Q11" s="3">
        <v>9.3</v>
      </c>
      <c r="R11" s="3"/>
      <c r="S11" s="3">
        <f>21.8+20.45+19.3</f>
        <v>61.55</v>
      </c>
      <c r="T11" s="3">
        <f>19.35+13.9</f>
        <v>33.25</v>
      </c>
      <c r="U11" s="3">
        <f>8.1+2.1</f>
        <v>10.2</v>
      </c>
      <c r="V11" s="3"/>
      <c r="W11" s="3">
        <f t="shared" si="0"/>
        <v>421.55</v>
      </c>
    </row>
    <row r="12" spans="1:23">
      <c r="A12" s="1">
        <v>2161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20.2+16.35+13.85+19.5+2.35</f>
        <v>72.25</v>
      </c>
      <c r="N12" s="3">
        <f>19.7+16.6+16.15+17.9+16.2</f>
        <v>86.55</v>
      </c>
      <c r="O12" s="3">
        <f>20.4+16</f>
        <v>36.4</v>
      </c>
      <c r="P12" s="3">
        <v>14.55</v>
      </c>
      <c r="Q12" s="3">
        <v>2.95</v>
      </c>
      <c r="R12" s="3"/>
      <c r="S12" s="3">
        <f>19.05+16.75+18.75+19.25+7.05</f>
        <v>80.85</v>
      </c>
      <c r="T12" s="3">
        <v>16.25</v>
      </c>
      <c r="U12" s="3">
        <v>8.5</v>
      </c>
      <c r="V12" s="3"/>
      <c r="W12" s="3">
        <f t="shared" si="0"/>
        <v>318.3</v>
      </c>
    </row>
    <row r="13" spans="1:23">
      <c r="A13" s="1">
        <v>309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f>19.8+21.85+16.5+15.75</f>
        <v>73.9</v>
      </c>
      <c r="N13" s="3">
        <f>16.35+19.1+18.55+13.45+20.65+21.35+17.9+16.3+16.75+16.4+20.25</f>
        <v>197.05</v>
      </c>
      <c r="O13" s="3">
        <f>18.85+10.6+16.2+20.55</f>
        <v>66.2</v>
      </c>
      <c r="P13" s="3">
        <f>19.1+24.4</f>
        <v>43.5</v>
      </c>
      <c r="Q13" s="3"/>
      <c r="R13" s="3"/>
      <c r="S13" s="3">
        <f>18.45+11.25+25.55</f>
        <v>55.25</v>
      </c>
      <c r="T13" s="3"/>
      <c r="U13" s="3"/>
      <c r="V13" s="3"/>
      <c r="W13" s="3">
        <f t="shared" si="0"/>
        <v>435.9</v>
      </c>
    </row>
    <row r="14" spans="1:23">
      <c r="A14" s="1">
        <v>309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17.45+19.1+14.7+19.4+22.15+10.9</f>
        <v>103.7</v>
      </c>
      <c r="N14" s="3">
        <f>21.5+25+20.95+20.9+20.5+18.2+13.9+13+19.6+14.35+18.05+19.25+8.85</f>
        <v>234.05</v>
      </c>
      <c r="O14" s="3">
        <f>21.6+14.45+16.8+20.8+17.15+14.85+20.2+11.85+24.45+17.75+8.35</f>
        <v>188.25</v>
      </c>
      <c r="P14" s="3">
        <f>18.4+19.1+16.95+15.3+3.5</f>
        <v>73.25</v>
      </c>
      <c r="Q14" s="3">
        <v>11.4</v>
      </c>
      <c r="R14" s="3"/>
      <c r="S14" s="3">
        <f>16.15+15.45+20.3</f>
        <v>51.9</v>
      </c>
      <c r="T14" s="3">
        <f>18.65+20.2+25.25</f>
        <v>64.1</v>
      </c>
      <c r="U14" s="3">
        <v>17.9</v>
      </c>
      <c r="V14" s="3"/>
      <c r="W14" s="3">
        <f t="shared" si="0"/>
        <v>744.55</v>
      </c>
    </row>
    <row r="15" spans="1:23">
      <c r="A15" s="1">
        <v>444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7.3</v>
      </c>
      <c r="N15" s="3">
        <v>14.25</v>
      </c>
      <c r="O15" s="3">
        <v>16.45</v>
      </c>
      <c r="P15" s="3">
        <f>21.25+0.95</f>
        <v>22.2</v>
      </c>
      <c r="Q15" s="3"/>
      <c r="R15" s="3"/>
      <c r="S15" s="3">
        <v>4.6</v>
      </c>
      <c r="T15" s="3">
        <v>6.3</v>
      </c>
      <c r="U15" s="3">
        <v>8.25</v>
      </c>
      <c r="V15" s="3"/>
      <c r="W15" s="3">
        <f t="shared" si="0"/>
        <v>79.35</v>
      </c>
    </row>
    <row r="16" spans="1:23">
      <c r="A16" s="1">
        <v>1005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16.05+2.1</f>
        <v>18.15</v>
      </c>
      <c r="N16" s="3">
        <f>12.75+14.95+7.6</f>
        <v>35.3</v>
      </c>
      <c r="O16" s="3">
        <f>13.6+6.3+16.45</f>
        <v>36.35</v>
      </c>
      <c r="P16" s="3">
        <f>14.15+7.85+5.6+8.55</f>
        <v>36.15</v>
      </c>
      <c r="Q16" s="3">
        <v>11.4</v>
      </c>
      <c r="R16" s="3"/>
      <c r="S16" s="3">
        <v>25.3</v>
      </c>
      <c r="T16" s="3">
        <f>19.4+4.4</f>
        <v>23.8</v>
      </c>
      <c r="U16" s="3">
        <f>16.85+4.75</f>
        <v>21.6</v>
      </c>
      <c r="V16" s="3"/>
      <c r="W16" s="3">
        <f t="shared" si="0"/>
        <v>208.05</v>
      </c>
    </row>
    <row r="17" spans="1:23">
      <c r="A17" s="1">
        <v>1006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15.85+15.8+16.4+11.9</f>
        <v>59.95</v>
      </c>
      <c r="N17" s="3">
        <f>16.15+18+21.3+16.8+15+16.55+19.25</f>
        <v>123.05</v>
      </c>
      <c r="O17" s="3">
        <f>15.85+16.7+14.6+15.7+17.85+16.95+14.35+14.2</f>
        <v>126.2</v>
      </c>
      <c r="P17" s="3">
        <f>17.6+15.1+15.45+18+17.65+14.35</f>
        <v>98.15</v>
      </c>
      <c r="Q17" s="3">
        <v>9.2</v>
      </c>
      <c r="R17" s="3"/>
      <c r="S17" s="3">
        <f>23.6+15.15+19.6+12.6</f>
        <v>70.95</v>
      </c>
      <c r="T17" s="3">
        <f>11.9+15+18.3</f>
        <v>45.2</v>
      </c>
      <c r="U17" s="3">
        <f>3.5+6.6</f>
        <v>10.1</v>
      </c>
      <c r="V17" s="3"/>
      <c r="W17" s="3">
        <f t="shared" si="0"/>
        <v>542.8</v>
      </c>
    </row>
    <row r="18" spans="1:23">
      <c r="A18" s="1">
        <v>342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14.6</v>
      </c>
      <c r="N18" s="3">
        <f>23.55+16.95+19.45+1.85</f>
        <v>61.8</v>
      </c>
      <c r="O18" s="3">
        <f>11.7+19.3+15.65</f>
        <v>46.65</v>
      </c>
      <c r="P18" s="3">
        <v>19.7</v>
      </c>
      <c r="Q18" s="3">
        <v>2.8</v>
      </c>
      <c r="R18" s="3"/>
      <c r="S18" s="3">
        <f>16.5+16.35+14.95+14.85+9.3+11.6</f>
        <v>83.55</v>
      </c>
      <c r="T18" s="3">
        <f>15.85+12.65+20.85</f>
        <v>49.35</v>
      </c>
      <c r="U18" s="3">
        <v>7.9</v>
      </c>
      <c r="V18" s="3"/>
      <c r="W18" s="3">
        <f t="shared" si="0"/>
        <v>286.35</v>
      </c>
    </row>
    <row r="19" spans="1:23">
      <c r="A19" s="1">
        <v>309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f>12.25+19.95+19.25+9.25</f>
        <v>60.7</v>
      </c>
      <c r="N19" s="3">
        <f>21.9+14.8+24.35+15.85+11.1+11.7</f>
        <v>99.7</v>
      </c>
      <c r="O19" s="3">
        <f>14.25+22.4+15.8+9.35</f>
        <v>61.8</v>
      </c>
      <c r="P19" s="3">
        <f>21+16.4+6.4</f>
        <v>43.8</v>
      </c>
      <c r="Q19" s="3">
        <v>15</v>
      </c>
      <c r="R19" s="3"/>
      <c r="S19" s="3">
        <v>9.45</v>
      </c>
      <c r="T19" s="3">
        <v>7.8</v>
      </c>
      <c r="U19" s="3">
        <v>2.7</v>
      </c>
      <c r="V19" s="3"/>
      <c r="W19" s="3">
        <f t="shared" si="0"/>
        <v>300.95</v>
      </c>
    </row>
    <row r="20" spans="1:23">
      <c r="A20" s="1">
        <v>1036</v>
      </c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6.55</v>
      </c>
      <c r="N20" s="3">
        <v>12.15</v>
      </c>
      <c r="O20" s="3">
        <v>5.8</v>
      </c>
      <c r="P20" s="3">
        <v>4.5</v>
      </c>
      <c r="Q20" s="3"/>
      <c r="R20" s="3"/>
      <c r="S20" s="3">
        <v>11.85</v>
      </c>
      <c r="T20" s="3">
        <v>2.6</v>
      </c>
      <c r="U20" s="3"/>
      <c r="V20" s="3"/>
      <c r="W20" s="3">
        <f t="shared" si="0"/>
        <v>43.45</v>
      </c>
    </row>
    <row r="21" spans="1:23">
      <c r="A21" s="1">
        <v>754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f>22.1+11.5</f>
        <v>33.6</v>
      </c>
      <c r="N21" s="3">
        <f>17.95+11.7</f>
        <v>29.65</v>
      </c>
      <c r="O21" s="3">
        <v>10.7</v>
      </c>
      <c r="P21" s="3">
        <v>9.5</v>
      </c>
      <c r="Q21" s="3"/>
      <c r="R21" s="3"/>
      <c r="S21" s="3">
        <v>9.7</v>
      </c>
      <c r="T21" s="3">
        <v>1.15</v>
      </c>
      <c r="U21" s="3"/>
      <c r="V21" s="3"/>
      <c r="W21" s="3">
        <f t="shared" si="0"/>
        <v>94.3</v>
      </c>
    </row>
    <row r="22" spans="1:23">
      <c r="A22" s="1">
        <v>2425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9.65</v>
      </c>
      <c r="N22" s="3">
        <f>12.5+3.25</f>
        <v>15.75</v>
      </c>
      <c r="O22" s="3"/>
      <c r="P22" s="3">
        <v>4.8</v>
      </c>
      <c r="Q22" s="3">
        <v>0.85</v>
      </c>
      <c r="R22" s="3"/>
      <c r="S22" s="3">
        <v>8.55</v>
      </c>
      <c r="T22" s="3">
        <v>1.35</v>
      </c>
      <c r="U22" s="3">
        <v>0.9</v>
      </c>
      <c r="V22" s="3"/>
      <c r="W22" s="3">
        <f t="shared" si="0"/>
        <v>41.85</v>
      </c>
    </row>
    <row r="23" spans="1:23">
      <c r="A23" s="1">
        <v>444</v>
      </c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12.9</v>
      </c>
      <c r="N23" s="3">
        <f>21.5+7.75</f>
        <v>29.25</v>
      </c>
      <c r="O23" s="3">
        <v>10.75</v>
      </c>
      <c r="P23" s="3">
        <v>20.05</v>
      </c>
      <c r="Q23" s="3">
        <v>7.2</v>
      </c>
      <c r="R23" s="3"/>
      <c r="S23" s="3">
        <v>6.5</v>
      </c>
      <c r="T23" s="3">
        <v>1.1</v>
      </c>
      <c r="U23" s="3">
        <v>3.45</v>
      </c>
      <c r="V23" s="3"/>
      <c r="W23" s="3">
        <f t="shared" si="0"/>
        <v>91.2</v>
      </c>
    </row>
    <row r="24" spans="1:23">
      <c r="A24" s="1">
        <v>2198</v>
      </c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2.8</v>
      </c>
      <c r="N24" s="3">
        <v>1.75</v>
      </c>
      <c r="O24" s="3"/>
      <c r="P24" s="3"/>
      <c r="Q24" s="3"/>
      <c r="R24" s="3"/>
      <c r="S24" s="3">
        <v>8.35</v>
      </c>
      <c r="T24" s="3"/>
      <c r="U24" s="3"/>
      <c r="V24" s="3"/>
      <c r="W24" s="3">
        <f t="shared" si="0"/>
        <v>12.9</v>
      </c>
    </row>
    <row r="25" spans="1:23">
      <c r="A25" s="1">
        <v>672</v>
      </c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f>21+15.55+18.55+25.3+15.6+23.05+19.55+17.2+20+16.75+26.4+22.25</f>
        <v>241.2</v>
      </c>
      <c r="N25" s="3">
        <f>16.95+11.5+15+19.35+18.95+20.55+18.9+15.45+10.65+21.5</f>
        <v>168.8</v>
      </c>
      <c r="O25" s="3">
        <f>21.35+6.1+21.2</f>
        <v>48.65</v>
      </c>
      <c r="P25" s="3">
        <v>22.3</v>
      </c>
      <c r="Q25" s="3"/>
      <c r="R25" s="3"/>
      <c r="S25" s="3"/>
      <c r="T25" s="3"/>
      <c r="U25" s="3"/>
      <c r="V25" s="3"/>
      <c r="W25" s="3">
        <f t="shared" si="0"/>
        <v>480.95</v>
      </c>
    </row>
    <row r="26" spans="1:23">
      <c r="A26" s="1">
        <v>672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f>22.5+15+14.85+23.05+14.8+20.35+14.85+23.25</f>
        <v>148.65</v>
      </c>
      <c r="N26" s="3">
        <f>14.55+16.45+19.55+19.45+16.95+15+17.55+18.25</f>
        <v>137.75</v>
      </c>
      <c r="O26" s="3">
        <f>16.25+17.95+14.85+13.15+16.55</f>
        <v>78.75</v>
      </c>
      <c r="P26" s="3">
        <f>15.9+14.1</f>
        <v>30</v>
      </c>
      <c r="Q26" s="3">
        <v>17.3</v>
      </c>
      <c r="R26" s="3"/>
      <c r="S26" s="3">
        <f>16.1+18.9+19.1+14.7+13.1+19.5+16.65+21.95</f>
        <v>140</v>
      </c>
      <c r="T26" s="3">
        <v>29.9</v>
      </c>
      <c r="U26" s="3"/>
      <c r="V26" s="3"/>
      <c r="W26" s="3">
        <f t="shared" si="0"/>
        <v>582.35</v>
      </c>
    </row>
    <row r="27" spans="1:23">
      <c r="A27" s="1">
        <v>672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f>17.15+17.4+9.75</f>
        <v>44.3</v>
      </c>
      <c r="N27" s="3">
        <f>20.9+17.75+18.4</f>
        <v>57.05</v>
      </c>
      <c r="O27" s="3">
        <v>23.95</v>
      </c>
      <c r="P27" s="3">
        <v>14.6</v>
      </c>
      <c r="Q27" s="3">
        <v>4.45</v>
      </c>
      <c r="R27" s="3"/>
      <c r="S27" s="3">
        <f>15.25+4.05</f>
        <v>19.3</v>
      </c>
      <c r="T27" s="3"/>
      <c r="U27" s="3">
        <v>13.5</v>
      </c>
      <c r="V27" s="3"/>
      <c r="W27" s="3">
        <f t="shared" si="0"/>
        <v>177.15</v>
      </c>
    </row>
    <row r="28" spans="1:23">
      <c r="A28" s="1">
        <v>260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18.55+23.5+15.95+9.7</f>
        <v>67.7</v>
      </c>
      <c r="N28" s="3">
        <f>16.15+21.65+23.05</f>
        <v>60.85</v>
      </c>
      <c r="O28" s="3">
        <f>17.8+15.75+14.3+15.5</f>
        <v>63.35</v>
      </c>
      <c r="P28" s="3">
        <f>15.7+14.45+10.05</f>
        <v>40.2</v>
      </c>
      <c r="Q28" s="3">
        <f>17.7+12.2+2.8</f>
        <v>32.7</v>
      </c>
      <c r="R28" s="3"/>
      <c r="S28" s="3">
        <f>18+8.75</f>
        <v>26.75</v>
      </c>
      <c r="T28" s="3">
        <v>13.95</v>
      </c>
      <c r="U28" s="3">
        <f>15+2.35</f>
        <v>17.35</v>
      </c>
      <c r="V28" s="3"/>
      <c r="W28" s="3">
        <f t="shared" si="0"/>
        <v>322.85</v>
      </c>
    </row>
    <row r="29" spans="1:23">
      <c r="A29" s="1">
        <v>309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f>17.55+14.35+16+21.45+19.75+19+21.25+9.9</f>
        <v>139.25</v>
      </c>
      <c r="N29" s="3">
        <f>21.8+16.25+21.35+15.85+15.6+20.3+9.65</f>
        <v>120.8</v>
      </c>
      <c r="O29" s="3">
        <f>20.5+14.55+21.1+22.2+17.15+27.5+16.85</f>
        <v>139.85</v>
      </c>
      <c r="P29" s="3">
        <f>21.6+18.85+16.1+17.4+23+3.5</f>
        <v>100.45</v>
      </c>
      <c r="Q29" s="3">
        <f>16.9+10.25</f>
        <v>27.15</v>
      </c>
      <c r="R29" s="3"/>
      <c r="S29" s="3">
        <f>12.4+24.1</f>
        <v>36.5</v>
      </c>
      <c r="T29" s="3">
        <f>21.9+6.8</f>
        <v>28.7</v>
      </c>
      <c r="U29" s="3">
        <v>13.2</v>
      </c>
      <c r="V29" s="3"/>
      <c r="W29" s="3">
        <f t="shared" si="0"/>
        <v>605.9</v>
      </c>
    </row>
    <row r="30" spans="1:23">
      <c r="A30" s="1">
        <v>478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f>16.85+24.75+16.8+21.55+19+6.45</f>
        <v>105.4</v>
      </c>
      <c r="N30" s="3">
        <f>20.8+17.95+18.5+22.1+16.55+17.2+17.7+1.7</f>
        <v>132.5</v>
      </c>
      <c r="O30" s="3">
        <f>20.25+15.95+23.05+18.15+20.55+23.2+18.65+7.15</f>
        <v>146.95</v>
      </c>
      <c r="P30" s="3">
        <f>17.9+18.5+22.05+13.65</f>
        <v>72.1</v>
      </c>
      <c r="Q30" s="3">
        <v>18.55</v>
      </c>
      <c r="R30" s="3"/>
      <c r="S30" s="3">
        <f>21.95+20.95+17.2+17.55+20.45+8.9</f>
        <v>107</v>
      </c>
      <c r="T30" s="3">
        <v>28.8</v>
      </c>
      <c r="U30" s="3">
        <v>14.45</v>
      </c>
      <c r="V30" s="3"/>
      <c r="W30" s="3">
        <f t="shared" si="0"/>
        <v>625.75</v>
      </c>
    </row>
    <row r="31" spans="1:23">
      <c r="A31" s="1">
        <v>2441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7.3</v>
      </c>
      <c r="N31" s="3">
        <v>16.7</v>
      </c>
      <c r="O31" s="3">
        <v>6.1</v>
      </c>
      <c r="P31" s="3">
        <v>5.6</v>
      </c>
      <c r="Q31" s="3"/>
      <c r="R31" s="3"/>
      <c r="S31" s="3">
        <v>13.05</v>
      </c>
      <c r="T31" s="3"/>
      <c r="U31" s="3"/>
      <c r="V31" s="3"/>
      <c r="W31" s="3">
        <f t="shared" si="0"/>
        <v>48.75</v>
      </c>
    </row>
    <row r="32" spans="1:23">
      <c r="A32" s="1">
        <v>1006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f>19.25+2.05</f>
        <v>21.3</v>
      </c>
      <c r="N32" s="3">
        <v>6.7</v>
      </c>
      <c r="O32" s="3">
        <v>12.7</v>
      </c>
      <c r="P32" s="3">
        <v>5.7</v>
      </c>
      <c r="Q32" s="3"/>
      <c r="R32" s="3"/>
      <c r="S32" s="3">
        <f>22+10.15</f>
        <v>32.15</v>
      </c>
      <c r="T32" s="3">
        <v>1.3</v>
      </c>
      <c r="U32" s="3">
        <v>2.65</v>
      </c>
      <c r="V32" s="3"/>
      <c r="W32" s="3">
        <f t="shared" si="0"/>
        <v>82.5</v>
      </c>
    </row>
    <row r="33" spans="1:23">
      <c r="A33" s="1">
        <v>1005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5.45</v>
      </c>
      <c r="P33" s="3">
        <v>10.05</v>
      </c>
      <c r="Q33" s="3">
        <v>1.7</v>
      </c>
      <c r="R33" s="3"/>
      <c r="S33" s="3"/>
      <c r="T33" s="3">
        <v>1.3</v>
      </c>
      <c r="U33" s="3">
        <v>2.25</v>
      </c>
      <c r="V33" s="3"/>
      <c r="W33" s="3">
        <f t="shared" si="0"/>
        <v>20.75</v>
      </c>
    </row>
    <row r="34" spans="1:23">
      <c r="A34" s="1">
        <v>999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9.1</v>
      </c>
      <c r="N34" s="3">
        <v>9.55</v>
      </c>
      <c r="O34" s="3">
        <v>17.7</v>
      </c>
      <c r="P34" s="3">
        <v>19.3</v>
      </c>
      <c r="Q34" s="3">
        <v>7.2</v>
      </c>
      <c r="R34" s="3"/>
      <c r="S34" s="3">
        <v>7.6</v>
      </c>
      <c r="T34" s="3">
        <v>10.5</v>
      </c>
      <c r="U34" s="3">
        <v>2.25</v>
      </c>
      <c r="V34" s="3"/>
      <c r="W34" s="3">
        <f t="shared" si="0"/>
        <v>83.2</v>
      </c>
    </row>
    <row r="35" spans="1:23">
      <c r="A35" s="1">
        <v>2495</v>
      </c>
      <c r="B35" s="1"/>
      <c r="C35" s="1"/>
      <c r="D35" s="1"/>
      <c r="E35" s="1"/>
      <c r="F35" s="1"/>
      <c r="G35" s="1"/>
      <c r="H35" s="1"/>
      <c r="I35" s="1"/>
      <c r="J35" s="1"/>
      <c r="K35" s="3"/>
      <c r="L35" s="3"/>
      <c r="M35" s="3">
        <v>9.9</v>
      </c>
      <c r="N35" s="3">
        <v>12.8</v>
      </c>
      <c r="O35" s="3">
        <v>15.8</v>
      </c>
      <c r="P35" s="3">
        <v>17.1</v>
      </c>
      <c r="Q35" s="3">
        <v>7.05</v>
      </c>
      <c r="R35" s="3"/>
      <c r="S35" s="3"/>
      <c r="T35" s="3">
        <v>5.9</v>
      </c>
      <c r="U35" s="3">
        <v>4.35</v>
      </c>
      <c r="V35" s="3"/>
      <c r="W35" s="3">
        <f t="shared" si="0"/>
        <v>72.9</v>
      </c>
    </row>
    <row r="36" spans="1:23">
      <c r="A36" s="1">
        <v>445</v>
      </c>
      <c r="B36" s="1"/>
      <c r="C36" s="1"/>
      <c r="D36" s="1"/>
      <c r="E36" s="1"/>
      <c r="F36" s="1"/>
      <c r="G36" s="1"/>
      <c r="H36" s="1"/>
      <c r="I36" s="1"/>
      <c r="J36" s="1"/>
      <c r="K36" s="3"/>
      <c r="L36" s="3"/>
      <c r="M36" s="3">
        <f>25.1+17.35</f>
        <v>42.45</v>
      </c>
      <c r="N36" s="3">
        <f>25.95+24.85+5.6</f>
        <v>56.4</v>
      </c>
      <c r="O36" s="3">
        <f>21.65+21.65</f>
        <v>43.3</v>
      </c>
      <c r="P36" s="3">
        <f>22.9+5.95</f>
        <v>28.85</v>
      </c>
      <c r="Q36" s="3">
        <v>5.15</v>
      </c>
      <c r="R36" s="3"/>
      <c r="S36" s="3"/>
      <c r="T36" s="3">
        <v>2.9</v>
      </c>
      <c r="U36" s="3">
        <v>8.8</v>
      </c>
      <c r="V36" s="3"/>
      <c r="W36" s="3">
        <f t="shared" si="0"/>
        <v>187.85</v>
      </c>
    </row>
    <row r="37" spans="1:23">
      <c r="A37" s="1">
        <v>206</v>
      </c>
      <c r="B37" s="1"/>
      <c r="C37" s="1"/>
      <c r="D37" s="1"/>
      <c r="E37" s="1"/>
      <c r="F37" s="1"/>
      <c r="G37" s="1"/>
      <c r="H37" s="1"/>
      <c r="I37" s="1"/>
      <c r="J37" s="1"/>
      <c r="K37" s="3"/>
      <c r="L37" s="3"/>
      <c r="M37" s="3">
        <f>14.35+21.15+4.8</f>
        <v>40.3</v>
      </c>
      <c r="N37" s="3">
        <f>22.85+22.55+11.05</f>
        <v>56.45</v>
      </c>
      <c r="O37" s="3">
        <f>21.7+10.6</f>
        <v>32.3</v>
      </c>
      <c r="P37" s="3">
        <f>13.35+4.7</f>
        <v>18.05</v>
      </c>
      <c r="Q37" s="3">
        <v>5.5</v>
      </c>
      <c r="R37" s="3"/>
      <c r="S37" s="3">
        <v>14.75</v>
      </c>
      <c r="T37" s="3">
        <v>6.05</v>
      </c>
      <c r="U37" s="3">
        <v>0.8</v>
      </c>
      <c r="V37" s="3"/>
      <c r="W37" s="3">
        <f t="shared" ref="W37:W100" si="1">SUM(C37:V37)</f>
        <v>174.2</v>
      </c>
    </row>
    <row r="38" spans="1:23">
      <c r="A38" s="1">
        <v>478</v>
      </c>
      <c r="B38" s="1"/>
      <c r="C38" s="1"/>
      <c r="D38" s="1"/>
      <c r="E38" s="1"/>
      <c r="F38" s="1"/>
      <c r="G38" s="1"/>
      <c r="H38" s="1"/>
      <c r="I38" s="1"/>
      <c r="J38" s="1"/>
      <c r="K38" s="3"/>
      <c r="L38" s="3"/>
      <c r="M38" s="3">
        <f>8.85+15.05+19.05+21.7+30.7+10.85+21.4+20.6+11.15</f>
        <v>159.35</v>
      </c>
      <c r="N38" s="3">
        <f>10.45+15.9+12.6+12.4+11.95+9.15+18.4+8.25+13.9+8.65+12.2+7.4</f>
        <v>141.25</v>
      </c>
      <c r="O38" s="3">
        <f>12+9.15+14.55+9.9+13.25+15.7+15.2+6.7</f>
        <v>96.45</v>
      </c>
      <c r="P38" s="3">
        <f>14.2+6.65+15.2+16.25+4.55</f>
        <v>56.85</v>
      </c>
      <c r="Q38" s="3">
        <v>11</v>
      </c>
      <c r="R38" s="3"/>
      <c r="S38" s="3">
        <f>15.65+22.35+18.75+23.3+26.45+10.35</f>
        <v>116.85</v>
      </c>
      <c r="T38" s="3">
        <f>26.5+15.65</f>
        <v>42.15</v>
      </c>
      <c r="U38" s="3">
        <f>6+2.3</f>
        <v>8.3</v>
      </c>
      <c r="V38" s="3"/>
      <c r="W38" s="3">
        <f t="shared" si="1"/>
        <v>632.2</v>
      </c>
    </row>
    <row r="39" spans="1:23">
      <c r="A39" s="1">
        <v>1023</v>
      </c>
      <c r="B39" s="1"/>
      <c r="C39" s="1"/>
      <c r="D39" s="1"/>
      <c r="E39" s="1"/>
      <c r="F39" s="1"/>
      <c r="G39" s="1"/>
      <c r="H39" s="1"/>
      <c r="I39" s="1"/>
      <c r="J39" s="1"/>
      <c r="K39" s="3"/>
      <c r="L39" s="3"/>
      <c r="M39" s="3">
        <f>10.9+16.15+15.95+25.65+13.9+22.25+21.5+17.15</f>
        <v>143.45</v>
      </c>
      <c r="N39" s="3">
        <f>12.4+18.3+11.3+14.3+14.4+11.15+17.1+16.9+20.4+18.9</f>
        <v>155.15</v>
      </c>
      <c r="O39" s="3">
        <f>16.3+23.65+5.85+16.05+15.55+27.6+19.4</f>
        <v>124.4</v>
      </c>
      <c r="P39" s="3">
        <f>12.55+23.3+10.1+16.15+13.9+17.3+14.15</f>
        <v>107.45</v>
      </c>
      <c r="Q39" s="3">
        <f>9.65+10.25+0.85</f>
        <v>20.75</v>
      </c>
      <c r="R39" s="3"/>
      <c r="S39" s="3">
        <f>22.15+14.3+12.8</f>
        <v>49.25</v>
      </c>
      <c r="T39" s="3">
        <f>16.95+0.95</f>
        <v>17.9</v>
      </c>
      <c r="U39" s="3">
        <f>8.55+1.5</f>
        <v>10.05</v>
      </c>
      <c r="V39" s="3"/>
      <c r="W39" s="3">
        <f t="shared" si="1"/>
        <v>628.4</v>
      </c>
    </row>
    <row r="40" spans="1:23">
      <c r="A40" s="1">
        <v>354</v>
      </c>
      <c r="B40" s="1"/>
      <c r="C40" s="1"/>
      <c r="D40" s="1"/>
      <c r="E40" s="1"/>
      <c r="F40" s="1"/>
      <c r="G40" s="1"/>
      <c r="H40" s="1"/>
      <c r="I40" s="1"/>
      <c r="J40" s="1"/>
      <c r="K40" s="3"/>
      <c r="L40" s="3"/>
      <c r="M40" s="3">
        <f>15.4+13.65+16.15+15.25+18.7+12.7</f>
        <v>91.85</v>
      </c>
      <c r="N40" s="3">
        <f>13.85+12.95+14.9+12.2+19.05+15.95+12.6+10.7+14.75</f>
        <v>126.95</v>
      </c>
      <c r="O40" s="3">
        <f>12.4+11.1+13.35+10.85+15.45+12</f>
        <v>75.15</v>
      </c>
      <c r="P40" s="3">
        <f>17.4+13.55+15.3+13</f>
        <v>59.25</v>
      </c>
      <c r="Q40" s="3">
        <v>16.2</v>
      </c>
      <c r="R40" s="3"/>
      <c r="S40" s="3">
        <f>13.9+17.25+16.35+21.45+19.8+2.35</f>
        <v>91.1</v>
      </c>
      <c r="T40" s="3">
        <v>14.4</v>
      </c>
      <c r="U40" s="3">
        <v>11.15</v>
      </c>
      <c r="V40" s="3"/>
      <c r="W40" s="3">
        <f t="shared" si="1"/>
        <v>486.05</v>
      </c>
    </row>
    <row r="41" spans="1:23">
      <c r="A41" s="1">
        <v>309</v>
      </c>
      <c r="B41" s="1"/>
      <c r="C41" s="1"/>
      <c r="D41" s="1"/>
      <c r="E41" s="1"/>
      <c r="F41" s="1"/>
      <c r="G41" s="1"/>
      <c r="H41" s="1"/>
      <c r="I41" s="1"/>
      <c r="J41" s="1"/>
      <c r="K41" s="3"/>
      <c r="L41" s="3"/>
      <c r="M41" s="3">
        <f>19.5+15.2+14.15+12.45+18.45+20.3+15.45</f>
        <v>115.5</v>
      </c>
      <c r="N41" s="3">
        <f>12.4+15.55+18+15.1+18.3+14.75+13.6+16.8+17.35</f>
        <v>141.85</v>
      </c>
      <c r="O41" s="3">
        <f>16.95+12.95+12.3+12.15+17</f>
        <v>71.35</v>
      </c>
      <c r="P41" s="3">
        <f>14.6+12.7</f>
        <v>27.3</v>
      </c>
      <c r="Q41" s="3"/>
      <c r="R41" s="3"/>
      <c r="S41" s="3">
        <f>17.2+17.85+16.35+18.3+14.8+22.75+23.35+9.7+23.25+22.2+20.95+21.75+16.7</f>
        <v>245.15</v>
      </c>
      <c r="T41" s="3">
        <v>23.75</v>
      </c>
      <c r="U41" s="3"/>
      <c r="V41" s="3"/>
      <c r="W41" s="3">
        <f t="shared" si="1"/>
        <v>624.9</v>
      </c>
    </row>
    <row r="42" spans="1:23">
      <c r="A42" s="1">
        <v>309</v>
      </c>
      <c r="B42" s="1"/>
      <c r="C42" s="1"/>
      <c r="D42" s="1"/>
      <c r="E42" s="1"/>
      <c r="F42" s="1"/>
      <c r="G42" s="1"/>
      <c r="H42" s="1"/>
      <c r="I42" s="1"/>
      <c r="J42" s="1"/>
      <c r="K42" s="3"/>
      <c r="L42" s="3"/>
      <c r="M42" s="3">
        <f>16.3+16.85</f>
        <v>33.15</v>
      </c>
      <c r="N42" s="3">
        <v>24.5</v>
      </c>
      <c r="O42" s="3">
        <v>6.1</v>
      </c>
      <c r="P42" s="3">
        <f>3.55+0.95</f>
        <v>4.5</v>
      </c>
      <c r="Q42" s="3"/>
      <c r="R42" s="3"/>
      <c r="S42" s="3">
        <v>11.9</v>
      </c>
      <c r="T42" s="3">
        <v>5.7</v>
      </c>
      <c r="U42" s="3"/>
      <c r="V42" s="3"/>
      <c r="W42" s="3">
        <f t="shared" si="1"/>
        <v>85.85</v>
      </c>
    </row>
    <row r="43" spans="1:23">
      <c r="A43" s="1">
        <v>808</v>
      </c>
      <c r="B43" s="1"/>
      <c r="C43" s="1"/>
      <c r="D43" s="1"/>
      <c r="E43" s="1"/>
      <c r="F43" s="1"/>
      <c r="G43" s="1"/>
      <c r="H43" s="1"/>
      <c r="I43" s="1"/>
      <c r="J43" s="1"/>
      <c r="K43" s="3"/>
      <c r="L43" s="3"/>
      <c r="M43" s="3">
        <f>16.25+20.05+17.9</f>
        <v>54.2</v>
      </c>
      <c r="N43" s="3">
        <v>5.9</v>
      </c>
      <c r="O43" s="3"/>
      <c r="P43" s="3"/>
      <c r="Q43" s="3"/>
      <c r="R43" s="3"/>
      <c r="S43" s="3">
        <f>18.55+24.95</f>
        <v>43.5</v>
      </c>
      <c r="T43" s="3"/>
      <c r="U43" s="3"/>
      <c r="V43" s="3"/>
      <c r="W43" s="3">
        <f t="shared" si="1"/>
        <v>103.6</v>
      </c>
    </row>
    <row r="44" spans="1:23">
      <c r="A44" s="1">
        <v>477</v>
      </c>
      <c r="B44" s="1"/>
      <c r="C44" s="1"/>
      <c r="D44" s="1"/>
      <c r="E44" s="1"/>
      <c r="F44" s="1"/>
      <c r="G44" s="1"/>
      <c r="H44" s="1"/>
      <c r="I44" s="1"/>
      <c r="J44" s="1"/>
      <c r="K44" s="3"/>
      <c r="L44" s="3"/>
      <c r="M44" s="3">
        <f>11.35+12.8+15.85+20+12.15+15.95</f>
        <v>88.1</v>
      </c>
      <c r="N44" s="3">
        <f>13.8+13.25+16.2+13.6+15.6+15.25+14.1+13.4+24.95+18.05</f>
        <v>158.2</v>
      </c>
      <c r="O44" s="3">
        <f>13.25+13.3+14.25+13.15+18.1+15.3+13.4+14.55+15.15+15.95+11.5+19.45</f>
        <v>177.35</v>
      </c>
      <c r="P44" s="3">
        <f>15.8+14.85+16.9+17.2+14.55+18.55+10.8</f>
        <v>108.65</v>
      </c>
      <c r="Q44" s="3">
        <v>16.8</v>
      </c>
      <c r="R44" s="3"/>
      <c r="S44" s="3">
        <f>18.95+21.6</f>
        <v>40.55</v>
      </c>
      <c r="T44" s="3">
        <f>11.9+20.5</f>
        <v>32.4</v>
      </c>
      <c r="U44" s="3">
        <v>24.65</v>
      </c>
      <c r="V44" s="3"/>
      <c r="W44" s="3">
        <f t="shared" si="1"/>
        <v>646.7</v>
      </c>
    </row>
    <row r="45" spans="1:23">
      <c r="A45" s="1">
        <v>477</v>
      </c>
      <c r="B45" s="1"/>
      <c r="C45" s="1"/>
      <c r="D45" s="1"/>
      <c r="E45" s="1"/>
      <c r="F45" s="1"/>
      <c r="G45" s="1"/>
      <c r="H45" s="1"/>
      <c r="I45" s="1"/>
      <c r="J45" s="1"/>
      <c r="K45" s="3"/>
      <c r="L45" s="3"/>
      <c r="M45" s="3">
        <f>19.8+22.15</f>
        <v>41.95</v>
      </c>
      <c r="N45" s="3">
        <f>12.8+15.8+18.4+8.4</f>
        <v>55.4</v>
      </c>
      <c r="O45" s="3">
        <f>20.55+18.7</f>
        <v>39.25</v>
      </c>
      <c r="P45" s="3">
        <v>15.6</v>
      </c>
      <c r="Q45" s="3">
        <v>12.65</v>
      </c>
      <c r="R45" s="3"/>
      <c r="S45" s="3">
        <f>16.95+2.1</f>
        <v>19.05</v>
      </c>
      <c r="T45" s="3">
        <v>6.75</v>
      </c>
      <c r="U45" s="3"/>
      <c r="V45" s="3"/>
      <c r="W45" s="3">
        <f t="shared" si="1"/>
        <v>190.65</v>
      </c>
    </row>
    <row r="46" spans="1:23">
      <c r="A46" s="1">
        <v>4005</v>
      </c>
      <c r="B46" s="2"/>
      <c r="C46" s="1"/>
      <c r="D46" s="1"/>
      <c r="E46" s="1"/>
      <c r="F46" s="1"/>
      <c r="G46" s="1"/>
      <c r="H46" s="1"/>
      <c r="I46" s="1"/>
      <c r="J46" s="1"/>
      <c r="K46" s="3"/>
      <c r="L46" s="3"/>
      <c r="M46" s="3">
        <f>10.75+18.25+23.65+17.5+19.2+9.6+13.75</f>
        <v>112.7</v>
      </c>
      <c r="N46" s="3">
        <f>13.25+15.4+14.9+15.75+11.8+13.4+12.45+19.4+17.7+12.35+17.65</f>
        <v>164.05</v>
      </c>
      <c r="O46" s="3">
        <f>4.25+20.3+16.7+11.7+16.55+11.6+10.85+17.25+18.5+9.1</f>
        <v>136.8</v>
      </c>
      <c r="P46" s="3">
        <f>15.6+21+11.6+13.85+17.2+17.45+17.45</f>
        <v>114.15</v>
      </c>
      <c r="Q46" s="3">
        <f>15.05+14.25+14.7</f>
        <v>44</v>
      </c>
      <c r="R46" s="3"/>
      <c r="S46" s="3">
        <f>15.05+18.15</f>
        <v>33.2</v>
      </c>
      <c r="T46" s="3">
        <v>17.9</v>
      </c>
      <c r="U46" s="3">
        <v>25.3</v>
      </c>
      <c r="V46" s="3"/>
      <c r="W46" s="3">
        <f t="shared" si="1"/>
        <v>648.1</v>
      </c>
    </row>
    <row r="47" spans="1:23">
      <c r="A47" s="1">
        <v>4005</v>
      </c>
      <c r="B47" s="1"/>
      <c r="C47" s="1"/>
      <c r="D47" s="1"/>
      <c r="E47" s="1"/>
      <c r="F47" s="1"/>
      <c r="G47" s="1"/>
      <c r="H47" s="1"/>
      <c r="I47" s="1"/>
      <c r="J47" s="1"/>
      <c r="K47" s="3"/>
      <c r="L47" s="3"/>
      <c r="M47" s="3">
        <v>15.85</v>
      </c>
      <c r="N47" s="3">
        <v>12.65</v>
      </c>
      <c r="O47" s="3">
        <v>9.1</v>
      </c>
      <c r="P47" s="3">
        <v>11.95</v>
      </c>
      <c r="Q47" s="3">
        <v>9.15</v>
      </c>
      <c r="R47" s="3"/>
      <c r="S47" s="3"/>
      <c r="T47" s="3">
        <v>10.7</v>
      </c>
      <c r="U47" s="3">
        <v>17.7</v>
      </c>
      <c r="V47" s="3"/>
      <c r="W47" s="3">
        <f t="shared" si="1"/>
        <v>87.1</v>
      </c>
    </row>
    <row r="48" spans="1:23">
      <c r="A48" s="1">
        <v>2167</v>
      </c>
      <c r="B48" s="1"/>
      <c r="C48" s="1"/>
      <c r="D48" s="1"/>
      <c r="E48" s="1"/>
      <c r="F48" s="1"/>
      <c r="G48" s="1"/>
      <c r="H48" s="1"/>
      <c r="I48" s="1"/>
      <c r="J48" s="1"/>
      <c r="K48" s="3"/>
      <c r="L48" s="3"/>
      <c r="M48" s="3">
        <f>19.9+27.75+2.2</f>
        <v>49.85</v>
      </c>
      <c r="N48" s="3">
        <f>17.9+11.45+20.85+12.35+5.9</f>
        <v>68.45</v>
      </c>
      <c r="O48" s="3">
        <f>24.55+13.2+22.25+9.05</f>
        <v>69.05</v>
      </c>
      <c r="P48" s="3">
        <f>9.1+20.8+5.9</f>
        <v>35.8</v>
      </c>
      <c r="Q48" s="3">
        <v>7.8</v>
      </c>
      <c r="R48" s="3"/>
      <c r="S48" s="3">
        <f>13.45+15.75+16.3+11.3</f>
        <v>56.8</v>
      </c>
      <c r="T48" s="3">
        <f>24.5+19.65</f>
        <v>44.15</v>
      </c>
      <c r="U48" s="3">
        <v>4.65</v>
      </c>
      <c r="V48" s="3"/>
      <c r="W48" s="3">
        <f t="shared" si="1"/>
        <v>336.55</v>
      </c>
    </row>
    <row r="49" spans="1:23">
      <c r="A49" s="1">
        <v>2415</v>
      </c>
      <c r="B49" s="1"/>
      <c r="C49" s="1"/>
      <c r="D49" s="1"/>
      <c r="E49" s="1"/>
      <c r="F49" s="1"/>
      <c r="G49" s="1"/>
      <c r="H49" s="1"/>
      <c r="I49" s="1"/>
      <c r="J49" s="1"/>
      <c r="K49" s="3"/>
      <c r="L49" s="3"/>
      <c r="M49" s="3">
        <f>22.05+10.85+9.2+2.1</f>
        <v>44.2</v>
      </c>
      <c r="N49" s="3">
        <f>14.65+14.35</f>
        <v>29</v>
      </c>
      <c r="O49" s="3">
        <f>8.1+3</f>
        <v>11.1</v>
      </c>
      <c r="P49" s="3">
        <v>13.95</v>
      </c>
      <c r="Q49" s="3">
        <v>3.7</v>
      </c>
      <c r="R49" s="3"/>
      <c r="S49" s="3">
        <v>14.35</v>
      </c>
      <c r="T49" s="3">
        <v>14.7</v>
      </c>
      <c r="U49" s="3">
        <v>5.5</v>
      </c>
      <c r="V49" s="3"/>
      <c r="W49" s="3">
        <f t="shared" si="1"/>
        <v>136.5</v>
      </c>
    </row>
    <row r="50" spans="1:23">
      <c r="A50" s="1">
        <v>1009</v>
      </c>
      <c r="B50" s="1"/>
      <c r="C50" s="1"/>
      <c r="D50" s="1"/>
      <c r="E50" s="1"/>
      <c r="F50" s="1"/>
      <c r="G50" s="1"/>
      <c r="H50" s="1"/>
      <c r="I50" s="1"/>
      <c r="J50" s="1"/>
      <c r="K50" s="3"/>
      <c r="L50" s="3"/>
      <c r="M50" s="3">
        <f>9.2+2</f>
        <v>11.2</v>
      </c>
      <c r="N50" s="3">
        <f>8.7+9.45</f>
        <v>18.15</v>
      </c>
      <c r="O50" s="3">
        <f>11.55+12.65+1.45</f>
        <v>25.65</v>
      </c>
      <c r="P50" s="3">
        <v>21.05</v>
      </c>
      <c r="Q50" s="3">
        <v>0.95</v>
      </c>
      <c r="R50" s="3"/>
      <c r="S50" s="3">
        <v>8.3</v>
      </c>
      <c r="T50" s="3">
        <v>13.2</v>
      </c>
      <c r="U50" s="3">
        <v>2.35</v>
      </c>
      <c r="V50" s="3"/>
      <c r="W50" s="3">
        <f t="shared" si="1"/>
        <v>100.85</v>
      </c>
    </row>
    <row r="51" spans="1:23">
      <c r="A51" s="1">
        <v>309</v>
      </c>
      <c r="B51" s="1"/>
      <c r="C51" s="1"/>
      <c r="D51" s="1"/>
      <c r="E51" s="1"/>
      <c r="F51" s="1"/>
      <c r="G51" s="1"/>
      <c r="H51" s="1"/>
      <c r="I51" s="1"/>
      <c r="J51" s="1"/>
      <c r="K51" s="3"/>
      <c r="L51" s="3"/>
      <c r="M51" s="3">
        <f>10.9+12.85+18.05+18.75+19.5+6.8</f>
        <v>86.85</v>
      </c>
      <c r="N51" s="3">
        <f>24.5+11.45+19.7+14.95+19.65+17.1+18.5+24.55+16.05+5.4</f>
        <v>171.85</v>
      </c>
      <c r="O51" s="3">
        <f>16.65+12.9+14.55+12.7+18.9+9.85+10.3+8.15</f>
        <v>104</v>
      </c>
      <c r="P51" s="3">
        <f>15.6+8.5+10.1+22.2+10.15+2.35</f>
        <v>68.9</v>
      </c>
      <c r="Q51" s="3">
        <v>11.7</v>
      </c>
      <c r="R51" s="3"/>
      <c r="S51" s="3">
        <f>26.35+18.55+19.35+11.6</f>
        <v>75.85</v>
      </c>
      <c r="T51" s="3">
        <f>16.4+16.25+23</f>
        <v>55.65</v>
      </c>
      <c r="U51" s="3">
        <v>13.65</v>
      </c>
      <c r="V51" s="3"/>
      <c r="W51" s="3">
        <f t="shared" si="1"/>
        <v>588.45</v>
      </c>
    </row>
    <row r="52" spans="1:23">
      <c r="A52" s="1">
        <v>560</v>
      </c>
      <c r="B52" s="1"/>
      <c r="C52" s="1"/>
      <c r="D52" s="1"/>
      <c r="E52" s="1"/>
      <c r="F52" s="1"/>
      <c r="G52" s="1"/>
      <c r="H52" s="1"/>
      <c r="I52" s="1"/>
      <c r="J52" s="1"/>
      <c r="K52" s="3"/>
      <c r="L52" s="3"/>
      <c r="M52" s="3">
        <f>8.9+7.5</f>
        <v>16.4</v>
      </c>
      <c r="N52" s="3">
        <f>12.3+12.3+15.95+9.15+5.15</f>
        <v>54.85</v>
      </c>
      <c r="O52" s="3">
        <f>10.5+23.55+10.05+5.65</f>
        <v>49.75</v>
      </c>
      <c r="P52" s="3">
        <f>11.55+4.95+20.75+12.05+10.9+2.1</f>
        <v>62.3</v>
      </c>
      <c r="Q52" s="3">
        <f>5.45+4.8</f>
        <v>10.25</v>
      </c>
      <c r="R52" s="3"/>
      <c r="S52" s="3">
        <v>11.65</v>
      </c>
      <c r="T52" s="3">
        <f>7.9+9.95</f>
        <v>17.85</v>
      </c>
      <c r="U52" s="3">
        <v>15.25</v>
      </c>
      <c r="V52" s="3"/>
      <c r="W52" s="3">
        <f t="shared" si="1"/>
        <v>238.3</v>
      </c>
    </row>
    <row r="53" spans="1:23">
      <c r="A53" s="1">
        <v>180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2.25</v>
      </c>
      <c r="N53" s="3">
        <f>14.35+3.85</f>
        <v>18.2</v>
      </c>
      <c r="O53" s="3">
        <f>13.8+12.3</f>
        <v>26.1</v>
      </c>
      <c r="P53" s="3">
        <v>7.85</v>
      </c>
      <c r="Q53" s="3">
        <v>4.15</v>
      </c>
      <c r="R53" s="3"/>
      <c r="S53" s="3">
        <v>5</v>
      </c>
      <c r="T53" s="3">
        <v>9.9</v>
      </c>
      <c r="U53" s="3">
        <v>4.25</v>
      </c>
      <c r="V53" s="3"/>
      <c r="W53" s="3">
        <f t="shared" si="1"/>
        <v>77.7</v>
      </c>
    </row>
    <row r="54" spans="1:23">
      <c r="A54" s="1">
        <v>260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f>25+11+15.55+12.5</f>
        <v>64.05</v>
      </c>
      <c r="N54" s="3">
        <f>16.35+18+14.45+11.05+20.35</f>
        <v>80.2</v>
      </c>
      <c r="O54" s="3">
        <f>14.55+11.3+10.2+24.15</f>
        <v>60.2</v>
      </c>
      <c r="P54" s="3">
        <f>17.25+12.4+13.05</f>
        <v>42.7</v>
      </c>
      <c r="Q54" s="3">
        <v>12.65</v>
      </c>
      <c r="R54" s="3"/>
      <c r="S54" s="3">
        <f>15.9+3.05</f>
        <v>18.95</v>
      </c>
      <c r="T54" s="3">
        <f>17.3+13.3</f>
        <v>30.6</v>
      </c>
      <c r="U54" s="3">
        <v>15.15</v>
      </c>
      <c r="V54" s="3"/>
      <c r="W54" s="3">
        <f t="shared" si="1"/>
        <v>324.5</v>
      </c>
    </row>
    <row r="55" spans="1:23">
      <c r="A55" s="1">
        <v>1013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f>11.35+19.6+11.1</f>
        <v>42.05</v>
      </c>
      <c r="N55" s="3">
        <f>17.65+18.6+16.95+3.85</f>
        <v>57.05</v>
      </c>
      <c r="O55" s="3">
        <f>19.25+12.6+16.8+13.95</f>
        <v>62.6</v>
      </c>
      <c r="P55" s="3">
        <f>13.2+18.65+13.4</f>
        <v>45.25</v>
      </c>
      <c r="Q55" s="3">
        <v>13.35</v>
      </c>
      <c r="R55" s="3"/>
      <c r="S55" s="3">
        <v>13.6</v>
      </c>
      <c r="T55" s="3">
        <v>9</v>
      </c>
      <c r="U55" s="3">
        <v>5.85</v>
      </c>
      <c r="V55" s="3"/>
      <c r="W55" s="3">
        <f t="shared" si="1"/>
        <v>248.75</v>
      </c>
    </row>
    <row r="56" spans="1:23">
      <c r="A56" s="1">
        <v>354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f>18.6+14.65+13.3+14.2+6.95</f>
        <v>67.7</v>
      </c>
      <c r="N56" s="3">
        <f>18.5+13.6+13.6+20.5+3.65</f>
        <v>69.85</v>
      </c>
      <c r="O56" s="3">
        <f>16.9+13.25+10.85</f>
        <v>41</v>
      </c>
      <c r="P56" s="3">
        <f>14.55+4.85</f>
        <v>19.4</v>
      </c>
      <c r="Q56" s="3">
        <v>8.25</v>
      </c>
      <c r="R56" s="3"/>
      <c r="S56" s="3">
        <f>20.5+7.15</f>
        <v>27.65</v>
      </c>
      <c r="T56" s="3">
        <v>10.85</v>
      </c>
      <c r="U56" s="3">
        <v>2.35</v>
      </c>
      <c r="V56" s="3"/>
      <c r="W56" s="3">
        <f t="shared" si="1"/>
        <v>247.05</v>
      </c>
    </row>
    <row r="57" spans="1:23">
      <c r="A57" s="1">
        <v>309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f>16.3+16.9+14.2+18.15+16.8+16.55+11.35</f>
        <v>110.25</v>
      </c>
      <c r="N57" s="3">
        <f>18.1+19.5+17.95+20.2+16.1+15.85+19.85+14.4+20.3+18.2+12.05+14.15+3.3</f>
        <v>209.95</v>
      </c>
      <c r="O57" s="3">
        <f>15.9+23.85+18.45+18.4+19.8+15.35+17.8+7.25</f>
        <v>136.8</v>
      </c>
      <c r="P57" s="3">
        <f>17.85+16.25+18.3+12.4+14.05+15.5</f>
        <v>94.35</v>
      </c>
      <c r="Q57" s="3">
        <f>17+2.9</f>
        <v>19.9</v>
      </c>
      <c r="R57" s="3"/>
      <c r="S57" s="3">
        <f>19.75+17.9+23.2+17.9+22.55+26.8+10.7</f>
        <v>138.8</v>
      </c>
      <c r="T57" s="3">
        <f>24.55+20.45+20.1</f>
        <v>65.1</v>
      </c>
      <c r="U57" s="3">
        <v>15</v>
      </c>
      <c r="V57" s="3"/>
      <c r="W57" s="3">
        <f t="shared" si="1"/>
        <v>790.15</v>
      </c>
    </row>
    <row r="58" spans="1:23">
      <c r="A58" s="1">
        <v>2425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f>19.75+6.7</f>
        <v>26.45</v>
      </c>
      <c r="N58" s="3">
        <v>16.4</v>
      </c>
      <c r="O58" s="3">
        <v>12.25</v>
      </c>
      <c r="P58" s="3">
        <v>2.25</v>
      </c>
      <c r="Q58" s="3"/>
      <c r="R58" s="3"/>
      <c r="S58" s="3">
        <v>9.25</v>
      </c>
      <c r="T58" s="3"/>
      <c r="U58" s="3"/>
      <c r="V58" s="3"/>
      <c r="W58" s="3">
        <f t="shared" si="1"/>
        <v>66.6</v>
      </c>
    </row>
    <row r="59" spans="1:23">
      <c r="A59" s="1">
        <v>977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8.9</v>
      </c>
      <c r="N59" s="3">
        <v>8.95</v>
      </c>
      <c r="O59" s="3">
        <v>10.4</v>
      </c>
      <c r="P59" s="3">
        <v>18.45</v>
      </c>
      <c r="Q59" s="3">
        <v>4.6</v>
      </c>
      <c r="R59" s="3"/>
      <c r="S59" s="3">
        <v>2.2</v>
      </c>
      <c r="T59" s="3">
        <v>8.1</v>
      </c>
      <c r="U59" s="3">
        <v>2.9</v>
      </c>
      <c r="V59" s="3"/>
      <c r="W59" s="3">
        <f t="shared" si="1"/>
        <v>64.5</v>
      </c>
    </row>
    <row r="60" spans="1:23">
      <c r="A60" s="1">
        <v>1791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f>18.95+8.85+2.35</f>
        <v>30.15</v>
      </c>
      <c r="N60" s="3">
        <f>21.8+19.25+16.95+22.65+16.1+13.2+23.85+5.25</f>
        <v>139.05</v>
      </c>
      <c r="O60" s="3">
        <f>18.95+20.5+17.3+18.4+14.8+17.75+17.9</f>
        <v>125.6</v>
      </c>
      <c r="P60" s="3">
        <f>18.95+20.5+17.3+18.4+15.15+18.75+24.1</f>
        <v>133.15</v>
      </c>
      <c r="Q60" s="3">
        <f>14.7+1.75</f>
        <v>16.45</v>
      </c>
      <c r="R60" s="3"/>
      <c r="S60" s="3">
        <v>17.75</v>
      </c>
      <c r="T60" s="3">
        <f>11.95+19.75</f>
        <v>31.7</v>
      </c>
      <c r="U60" s="3">
        <v>7.6</v>
      </c>
      <c r="V60" s="3"/>
      <c r="W60" s="3">
        <f t="shared" si="1"/>
        <v>501.45</v>
      </c>
    </row>
    <row r="61" spans="1:23">
      <c r="A61" s="1">
        <v>1006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f>14.3+23.4+9.9</f>
        <v>47.6</v>
      </c>
      <c r="N61" s="3">
        <f>7.3+19.45+26.85+14+18.5</f>
        <v>86.1</v>
      </c>
      <c r="O61" s="3">
        <f>11.6+18.25+21.1+16.15+17.85+20.3+18.55+8.05</f>
        <v>131.85</v>
      </c>
      <c r="P61" s="3">
        <f>14.2+26.45+24.6</f>
        <v>65.25</v>
      </c>
      <c r="Q61" s="3">
        <f>13.35+6.55</f>
        <v>19.9</v>
      </c>
      <c r="R61" s="3"/>
      <c r="S61" s="3">
        <f>21.95+20.65</f>
        <v>42.6</v>
      </c>
      <c r="T61" s="3">
        <f>19.7+11.56+6</f>
        <v>37.26</v>
      </c>
      <c r="U61" s="3">
        <f>13.55+1.45</f>
        <v>15</v>
      </c>
      <c r="V61" s="3"/>
      <c r="W61" s="3">
        <f t="shared" si="1"/>
        <v>445.56</v>
      </c>
    </row>
    <row r="62" spans="1:23">
      <c r="A62" s="1">
        <v>999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f>16.4+10.7</f>
        <v>27.1</v>
      </c>
      <c r="N62" s="3">
        <f>18.85+17.15+13.35+15.9</f>
        <v>65.25</v>
      </c>
      <c r="O62" s="3">
        <f>14.45+14.85+21.3+17.65+18.1</f>
        <v>86.35</v>
      </c>
      <c r="P62" s="3">
        <f>19.9+15.65+20+6.3</f>
        <v>61.85</v>
      </c>
      <c r="Q62" s="3">
        <f>13.25+8.15</f>
        <v>21.4</v>
      </c>
      <c r="R62" s="3"/>
      <c r="S62" s="3">
        <f>27.1+13+2.3</f>
        <v>42.4</v>
      </c>
      <c r="T62" s="3">
        <f>9.15+8.85+2.15</f>
        <v>20.15</v>
      </c>
      <c r="U62" s="3">
        <v>7.95</v>
      </c>
      <c r="V62" s="3"/>
      <c r="W62" s="3">
        <f t="shared" si="1"/>
        <v>332.45</v>
      </c>
    </row>
    <row r="63" spans="1:23">
      <c r="A63" s="1">
        <v>1023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18.85+21.2+27.35+18.25+15.05+26.45</f>
        <v>127.15</v>
      </c>
      <c r="N63" s="3">
        <f>23.05+16.2+16.7+18.15+26.6+16.55+20+20.45+20.8</f>
        <v>178.5</v>
      </c>
      <c r="O63" s="3">
        <f>17.2+21.5+14.9+18.35+12.95+20.35+25.9+22</f>
        <v>153.15</v>
      </c>
      <c r="P63" s="3">
        <f>16.65+19.85+17.7+23.6+17.25+23.65</f>
        <v>118.7</v>
      </c>
      <c r="Q63" s="3">
        <f>20.4+18</f>
        <v>38.4</v>
      </c>
      <c r="R63" s="3"/>
      <c r="S63" s="3">
        <f>26.3+20.25+21.1+12.4+24.9+15.2</f>
        <v>120.15</v>
      </c>
      <c r="T63" s="3">
        <f>18.4+15.85+7.35</f>
        <v>41.6</v>
      </c>
      <c r="U63" s="3">
        <f>9.35+14.7</f>
        <v>24.05</v>
      </c>
      <c r="V63" s="3"/>
      <c r="W63" s="3">
        <f t="shared" si="1"/>
        <v>801.7</v>
      </c>
    </row>
    <row r="64" spans="1:23">
      <c r="A64" s="1">
        <v>1023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21.45+17.5+20.15+14.25+14.9+18.15+11.85</f>
        <v>118.25</v>
      </c>
      <c r="N64" s="3">
        <f>19.95+15.7+21.7+18.5+22.3+20.45+17+18.9+14.9+16</f>
        <v>185.4</v>
      </c>
      <c r="O64" s="3">
        <f>22.2+14+18.9+11.65</f>
        <v>66.75</v>
      </c>
      <c r="P64" s="3">
        <f>21.8+17.05</f>
        <v>38.85</v>
      </c>
      <c r="Q64" s="3"/>
      <c r="R64" s="3"/>
      <c r="S64" s="3">
        <v>25.6</v>
      </c>
      <c r="T64" s="3">
        <v>17.5</v>
      </c>
      <c r="U64" s="3">
        <v>10.15</v>
      </c>
      <c r="V64" s="3"/>
      <c r="W64" s="3">
        <f t="shared" si="1"/>
        <v>462.5</v>
      </c>
    </row>
    <row r="65" spans="1:23">
      <c r="A65" s="1">
        <v>1023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f>14.6+22.8+19.75+14.35+13.55+14.3</f>
        <v>99.35</v>
      </c>
      <c r="N65" s="3">
        <f>18.4+15+17.95+19.7+9.05+17.05+20.9+12.65+15.35+8.85</f>
        <v>154.9</v>
      </c>
      <c r="O65" s="3">
        <f>21.35+20.95+23.75+16.35+18.7</f>
        <v>101.1</v>
      </c>
      <c r="P65" s="3">
        <f>18.8+18.75+20.95</f>
        <v>58.5</v>
      </c>
      <c r="Q65" s="3">
        <f>16+7.45</f>
        <v>23.45</v>
      </c>
      <c r="R65" s="3"/>
      <c r="S65" s="3">
        <f>12.9+12.75+13.05</f>
        <v>38.7</v>
      </c>
      <c r="T65" s="3">
        <f>10.85+3.15</f>
        <v>14</v>
      </c>
      <c r="U65" s="3">
        <f>14.8+0.75</f>
        <v>15.55</v>
      </c>
      <c r="V65" s="3"/>
      <c r="W65" s="3">
        <f t="shared" si="1"/>
        <v>505.55</v>
      </c>
    </row>
    <row r="66" spans="1:23">
      <c r="A66" s="1">
        <v>1014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2.25</v>
      </c>
      <c r="N66" s="3">
        <v>6.45</v>
      </c>
      <c r="O66" s="3">
        <v>6.1</v>
      </c>
      <c r="P66" s="3">
        <v>2.25</v>
      </c>
      <c r="Q66" s="3"/>
      <c r="R66" s="3"/>
      <c r="S66" s="3">
        <v>17.15</v>
      </c>
      <c r="T66" s="3">
        <v>3.9</v>
      </c>
      <c r="U66" s="3">
        <v>0.65</v>
      </c>
      <c r="V66" s="3"/>
      <c r="W66" s="3">
        <f t="shared" si="1"/>
        <v>38.75</v>
      </c>
    </row>
    <row r="67" spans="1:23">
      <c r="A67" s="1">
        <v>478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>18.85+16.05+17.6+17.05</f>
        <v>69.55</v>
      </c>
      <c r="N67" s="3">
        <f>12.35+14.75+14.3+17.4+19.75+16.7+12.35+14.85+5.55</f>
        <v>128</v>
      </c>
      <c r="O67" s="3">
        <f>17.5+14.85+12.9+14.8+2.75</f>
        <v>62.8</v>
      </c>
      <c r="P67" s="3">
        <f>18.9+13.3+16.95+10.7</f>
        <v>59.85</v>
      </c>
      <c r="Q67" s="3">
        <v>6.05</v>
      </c>
      <c r="R67" s="3"/>
      <c r="S67" s="3">
        <f>18.95+27.85+5.25</f>
        <v>52.05</v>
      </c>
      <c r="T67" s="3">
        <v>8.15</v>
      </c>
      <c r="U67" s="3">
        <v>8</v>
      </c>
      <c r="V67" s="3"/>
      <c r="W67" s="3">
        <f t="shared" si="1"/>
        <v>394.45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si="1"/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ref="W101:W164" si="2">SUM(C101:V101)</f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2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2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2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2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2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2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2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2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2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2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2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2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2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2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2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2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2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2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2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2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2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2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2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2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2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2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2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2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2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2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si="2"/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ref="W165:W228" si="3">SUM(C165:V165)</f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3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3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3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3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3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3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3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3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3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3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3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3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3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3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3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3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3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3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3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3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3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3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3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3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3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3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3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3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3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3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si="3"/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ref="W229:W292" si="4">SUM(C229:V229)</f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4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4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4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4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4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4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4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4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4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4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4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4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4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4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4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4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4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4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4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4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4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4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4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4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4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4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4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4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4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4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si="4"/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ref="W293:W317" si="5">SUM(C293:V293)</f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5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5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5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5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5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5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5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5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5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5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5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5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5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5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5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5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5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5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5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5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5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5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5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5"/>
        <v>0</v>
      </c>
    </row>
    <row r="318" spans="3:23">
      <c r="C318" s="4">
        <f t="shared" ref="C318:V318" si="6">SUM(C1:C317)</f>
        <v>0</v>
      </c>
      <c r="D318" s="4">
        <f t="shared" si="6"/>
        <v>0</v>
      </c>
      <c r="E318" s="4">
        <f t="shared" si="6"/>
        <v>0</v>
      </c>
      <c r="F318" s="4">
        <f t="shared" si="6"/>
        <v>0</v>
      </c>
      <c r="G318" s="4">
        <f t="shared" si="6"/>
        <v>0</v>
      </c>
      <c r="H318" s="4">
        <f t="shared" si="6"/>
        <v>0</v>
      </c>
      <c r="I318" s="4">
        <f t="shared" si="6"/>
        <v>0</v>
      </c>
      <c r="J318" s="4">
        <f t="shared" si="6"/>
        <v>0</v>
      </c>
      <c r="K318" s="4">
        <f t="shared" si="6"/>
        <v>0</v>
      </c>
      <c r="L318" s="4">
        <f t="shared" si="6"/>
        <v>0</v>
      </c>
      <c r="M318" s="4">
        <f t="shared" si="6"/>
        <v>3653.15</v>
      </c>
      <c r="N318" s="4">
        <f t="shared" si="6"/>
        <v>5274.98</v>
      </c>
      <c r="O318" s="4">
        <f t="shared" si="6"/>
        <v>3952.03</v>
      </c>
      <c r="P318" s="4">
        <f t="shared" si="6"/>
        <v>2733.5</v>
      </c>
      <c r="Q318" s="4">
        <f t="shared" si="6"/>
        <v>663.9</v>
      </c>
      <c r="R318" s="4">
        <f t="shared" si="6"/>
        <v>0</v>
      </c>
      <c r="S318" s="4">
        <f t="shared" si="6"/>
        <v>2611.65</v>
      </c>
      <c r="T318" s="4">
        <f t="shared" si="6"/>
        <v>1468.46</v>
      </c>
      <c r="U318" s="4">
        <f t="shared" si="6"/>
        <v>591.7</v>
      </c>
      <c r="V318" s="4">
        <f t="shared" si="6"/>
        <v>0</v>
      </c>
      <c r="W318" s="4">
        <f>SUM(W2:W317)</f>
        <v>20949.37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309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25.45+24.45+19.9+21.35+11.7</f>
        <v>102.85</v>
      </c>
      <c r="N2" s="3">
        <f>24+25.85+18.2+20.2+25.45+3.35</f>
        <v>117.05</v>
      </c>
      <c r="O2" s="3">
        <f>25.7+16.15+20.65</f>
        <v>62.5</v>
      </c>
      <c r="P2" s="3">
        <f>25.35+22.8</f>
        <v>48.15</v>
      </c>
      <c r="Q2" s="3">
        <v>15.45</v>
      </c>
      <c r="R2" s="3"/>
      <c r="S2" s="3">
        <f>27.5+14.6+18.5+8.7+13.9</f>
        <v>83.2</v>
      </c>
      <c r="T2" s="3">
        <f>23.4+15.75+15.3</f>
        <v>54.45</v>
      </c>
      <c r="U2" s="3">
        <v>12.45</v>
      </c>
      <c r="V2" s="3"/>
      <c r="W2" s="3">
        <f t="shared" ref="W2:W67" si="0">SUM(C2:V2)</f>
        <v>496.1</v>
      </c>
    </row>
    <row r="3" spans="1:23">
      <c r="A3" s="1">
        <v>2161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23.65+14.9+18+4.35</f>
        <v>60.9</v>
      </c>
      <c r="N3" s="3">
        <f>18.05+19.25+23.15+21.55+24.9+8.8</f>
        <v>115.7</v>
      </c>
      <c r="O3" s="3">
        <f>20.15+17.7+16.65+17.15+6.05+1.4</f>
        <v>79.1</v>
      </c>
      <c r="P3" s="3">
        <f>13.05+23.35</f>
        <v>36.4</v>
      </c>
      <c r="Q3" s="3">
        <v>1.85</v>
      </c>
      <c r="R3" s="3"/>
      <c r="S3" s="3">
        <f>21.6+2.45</f>
        <v>24.05</v>
      </c>
      <c r="T3" s="3">
        <f>30.25+19.45</f>
        <v>49.7</v>
      </c>
      <c r="U3" s="3">
        <v>8.55</v>
      </c>
      <c r="V3" s="3"/>
      <c r="W3" s="3">
        <f t="shared" si="0"/>
        <v>376.25</v>
      </c>
    </row>
    <row r="4" spans="1:23">
      <c r="A4" s="1">
        <v>444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>
        <v>5.85</v>
      </c>
      <c r="T4" s="3"/>
      <c r="U4" s="3"/>
      <c r="V4" s="3"/>
      <c r="W4" s="3">
        <f t="shared" si="0"/>
        <v>5.85</v>
      </c>
    </row>
    <row r="5" spans="1:23">
      <c r="A5" s="1">
        <v>309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9.35</v>
      </c>
      <c r="N5" s="3">
        <f>16.65+3.65</f>
        <v>20.3</v>
      </c>
      <c r="O5" s="3">
        <f>14.7+4.65</f>
        <v>19.35</v>
      </c>
      <c r="P5" s="3">
        <f>14.4+1.2</f>
        <v>15.6</v>
      </c>
      <c r="Q5" s="3">
        <v>3.7</v>
      </c>
      <c r="R5" s="3"/>
      <c r="S5" s="3"/>
      <c r="T5" s="3">
        <v>24.3</v>
      </c>
      <c r="U5" s="3">
        <v>11.75</v>
      </c>
      <c r="V5" s="3"/>
      <c r="W5" s="3">
        <f t="shared" si="0"/>
        <v>104.35</v>
      </c>
    </row>
    <row r="6" spans="1:23">
      <c r="A6" s="1">
        <v>46383898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21.35+24.2+11.7</f>
        <v>57.25</v>
      </c>
      <c r="N6" s="3">
        <f>15.3+12.75+17.15+16.95+21.35</f>
        <v>83.5</v>
      </c>
      <c r="O6" s="3">
        <f>18.7+17.45+19.45+16.6+6.3</f>
        <v>78.5</v>
      </c>
      <c r="P6" s="3">
        <f>13.85+17.4+2.3</f>
        <v>33.55</v>
      </c>
      <c r="Q6" s="3">
        <v>7</v>
      </c>
      <c r="R6" s="3"/>
      <c r="S6" s="3">
        <f>19.35+11.15</f>
        <v>30.5</v>
      </c>
      <c r="T6" s="3">
        <v>27.6</v>
      </c>
      <c r="U6" s="3">
        <v>5.9</v>
      </c>
      <c r="V6" s="3"/>
      <c r="W6" s="3">
        <f t="shared" si="0"/>
        <v>323.8</v>
      </c>
    </row>
    <row r="7" spans="1:23">
      <c r="A7" s="1">
        <v>2167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18">
        <f>7.65+2</f>
        <v>9.65</v>
      </c>
      <c r="N7" s="3"/>
      <c r="O7" s="3">
        <v>5.9</v>
      </c>
      <c r="P7" s="3">
        <v>0.95</v>
      </c>
      <c r="Q7" s="3"/>
      <c r="R7" s="3"/>
      <c r="S7" s="3">
        <f>16.55+7.3</f>
        <v>23.85</v>
      </c>
      <c r="T7" s="3">
        <f>22.1+20.45+6.3</f>
        <v>48.85</v>
      </c>
      <c r="U7" s="3">
        <v>3.1</v>
      </c>
      <c r="V7" s="3"/>
      <c r="W7" s="3">
        <f t="shared" si="0"/>
        <v>92.3</v>
      </c>
    </row>
    <row r="8" spans="1:23">
      <c r="A8" s="1">
        <v>354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4.25</v>
      </c>
      <c r="N8" s="3">
        <v>1.95</v>
      </c>
      <c r="O8" s="3"/>
      <c r="P8" s="3"/>
      <c r="Q8" s="3"/>
      <c r="R8" s="3"/>
      <c r="S8" s="3">
        <f>22.6+2.35</f>
        <v>24.95</v>
      </c>
      <c r="T8" s="3">
        <v>13.55</v>
      </c>
      <c r="U8" s="3">
        <v>4.05</v>
      </c>
      <c r="V8" s="3"/>
      <c r="W8" s="3">
        <f t="shared" si="0"/>
        <v>48.75</v>
      </c>
    </row>
    <row r="9" spans="1:23">
      <c r="A9" s="1">
        <v>1792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4.85</v>
      </c>
      <c r="N9" s="3">
        <v>3.45</v>
      </c>
      <c r="O9" s="3">
        <v>7.85</v>
      </c>
      <c r="P9" s="3">
        <v>12.45</v>
      </c>
      <c r="Q9" s="3">
        <v>6.4</v>
      </c>
      <c r="R9" s="3"/>
      <c r="S9" s="3">
        <v>7.25</v>
      </c>
      <c r="T9" s="3">
        <f>18.95+11.75</f>
        <v>30.7</v>
      </c>
      <c r="U9" s="3">
        <v>8.9</v>
      </c>
      <c r="V9" s="3"/>
      <c r="W9" s="3">
        <f t="shared" si="0"/>
        <v>81.85</v>
      </c>
    </row>
    <row r="10" spans="1:23">
      <c r="A10" s="1">
        <v>354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8.3</v>
      </c>
      <c r="N10" s="3">
        <v>14.85</v>
      </c>
      <c r="O10" s="3">
        <v>15.4</v>
      </c>
      <c r="P10" s="3">
        <v>11.5</v>
      </c>
      <c r="Q10" s="3">
        <v>3.5</v>
      </c>
      <c r="R10" s="3"/>
      <c r="S10" s="3">
        <v>2.25</v>
      </c>
      <c r="T10" s="3">
        <v>19.55</v>
      </c>
      <c r="U10" s="3">
        <v>5.15</v>
      </c>
      <c r="V10" s="3"/>
      <c r="W10" s="3">
        <f t="shared" si="0"/>
        <v>80.5</v>
      </c>
    </row>
    <row r="11" spans="1:23">
      <c r="A11" s="1">
        <v>309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2.25</v>
      </c>
      <c r="N11" s="3">
        <v>13.1</v>
      </c>
      <c r="O11" s="3">
        <v>10.55</v>
      </c>
      <c r="P11" s="3">
        <v>8.1</v>
      </c>
      <c r="Q11" s="3"/>
      <c r="R11" s="3"/>
      <c r="S11" s="3">
        <v>18.35</v>
      </c>
      <c r="T11" s="3">
        <f>14.9+19.5+2</f>
        <v>36.4</v>
      </c>
      <c r="U11" s="3"/>
      <c r="V11" s="3"/>
      <c r="W11" s="3">
        <f t="shared" si="0"/>
        <v>88.75</v>
      </c>
    </row>
    <row r="12" spans="1:23">
      <c r="A12" s="1">
        <v>2198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2.25</v>
      </c>
      <c r="N12" s="3">
        <v>3.85</v>
      </c>
      <c r="O12" s="3"/>
      <c r="P12" s="3"/>
      <c r="Q12" s="3"/>
      <c r="R12" s="3"/>
      <c r="S12" s="3"/>
      <c r="T12" s="3"/>
      <c r="U12" s="3"/>
      <c r="V12" s="3"/>
      <c r="W12" s="3">
        <f t="shared" si="0"/>
        <v>6.1</v>
      </c>
    </row>
    <row r="13" spans="1:23">
      <c r="A13" s="1">
        <v>309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f>20.45+17.3+15.5+15.7+17.2+19.55+16.35+18</f>
        <v>140.05</v>
      </c>
      <c r="N13" s="3">
        <f>17.8+16.2+15.6+18.05+14.9+17.85+18.45+14.1</f>
        <v>132.95</v>
      </c>
      <c r="O13" s="3">
        <f>21.15+15.5+15.5+15.65+16.35+18.5+19.6+15.8</f>
        <v>138.05</v>
      </c>
      <c r="P13" s="3">
        <f>22.2+13+20.2+15.05+18.55+17.55+14.55</f>
        <v>121.1</v>
      </c>
      <c r="Q13" s="3">
        <f>20.85+12.65</f>
        <v>33.5</v>
      </c>
      <c r="R13" s="3"/>
      <c r="S13" s="3">
        <f>14.1+18.35</f>
        <v>32.45</v>
      </c>
      <c r="T13" s="3">
        <f>19.7+11.85</f>
        <v>31.55</v>
      </c>
      <c r="U13" s="3">
        <v>16.4</v>
      </c>
      <c r="V13" s="3"/>
      <c r="W13" s="3">
        <f t="shared" si="0"/>
        <v>646.05</v>
      </c>
    </row>
    <row r="14" spans="1:23">
      <c r="A14" s="1">
        <v>309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18.9+17.4+7.7</f>
        <v>44</v>
      </c>
      <c r="N14" s="3">
        <f>12.4+14.95+16.4+16.05</f>
        <v>59.8</v>
      </c>
      <c r="O14" s="3">
        <f>22.5+22.65+20.9</f>
        <v>66.05</v>
      </c>
      <c r="P14" s="3">
        <f>15+15.95+18.65</f>
        <v>49.6</v>
      </c>
      <c r="Q14" s="3">
        <f>16.3+6.5</f>
        <v>22.8</v>
      </c>
      <c r="R14" s="3"/>
      <c r="S14" s="3">
        <f>20.7+21.6</f>
        <v>42.3</v>
      </c>
      <c r="T14" s="3">
        <f>19.6+3.4</f>
        <v>23</v>
      </c>
      <c r="U14" s="3">
        <v>11.7</v>
      </c>
      <c r="V14" s="3"/>
      <c r="W14" s="3">
        <f t="shared" si="0"/>
        <v>319.25</v>
      </c>
    </row>
    <row r="15" spans="1:23">
      <c r="A15" s="1">
        <v>1036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20.75</v>
      </c>
      <c r="N15" s="3">
        <v>19.95</v>
      </c>
      <c r="O15" s="3">
        <f>16.15+4.6</f>
        <v>20.75</v>
      </c>
      <c r="P15" s="3">
        <v>15.1</v>
      </c>
      <c r="Q15" s="3">
        <v>6</v>
      </c>
      <c r="R15" s="3"/>
      <c r="S15" s="3">
        <f>17.95+17.85</f>
        <v>35.8</v>
      </c>
      <c r="T15" s="3">
        <v>14.55</v>
      </c>
      <c r="U15" s="3">
        <v>12.9</v>
      </c>
      <c r="V15" s="3"/>
      <c r="W15" s="3">
        <f t="shared" si="0"/>
        <v>145.8</v>
      </c>
    </row>
    <row r="16" spans="1:23">
      <c r="A16" s="1">
        <v>672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17.05+15.8+17.8+18.05+17.4+23.2+20.9+19.7+18.9+20.75+16.76</f>
        <v>206.31</v>
      </c>
      <c r="N16" s="3">
        <f>14.5+15.55+19+15.05+17.85+20.9+15.9+18.25+17.45+22.1+15.4+16.55</f>
        <v>208.5</v>
      </c>
      <c r="O16" s="3">
        <f>12.15+18.2+18.35+16.3+15.4+16+18.4</f>
        <v>114.8</v>
      </c>
      <c r="P16" s="3">
        <f>14.25+16.7+11.65+16.55+17.4+15.85+18.7</f>
        <v>111.1</v>
      </c>
      <c r="Q16" s="3">
        <f>17.65+18.95</f>
        <v>36.6</v>
      </c>
      <c r="R16" s="3"/>
      <c r="S16" s="3">
        <f>14.05+23.25+23.7+14.65+20.5+23.1+25.65</f>
        <v>144.9</v>
      </c>
      <c r="T16" s="3">
        <f>26.9+16.6+9.95</f>
        <v>53.45</v>
      </c>
      <c r="U16" s="3"/>
      <c r="V16" s="3"/>
      <c r="W16" s="3">
        <f t="shared" si="0"/>
        <v>875.66</v>
      </c>
    </row>
    <row r="17" spans="1:23">
      <c r="A17" s="1">
        <v>672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6.65</v>
      </c>
      <c r="N17" s="3">
        <f>15.15+5.65</f>
        <v>20.8</v>
      </c>
      <c r="O17" s="3">
        <v>22.45</v>
      </c>
      <c r="P17" s="3">
        <v>21.9</v>
      </c>
      <c r="Q17" s="3">
        <v>13.8</v>
      </c>
      <c r="R17" s="3"/>
      <c r="S17" s="3">
        <v>8.35</v>
      </c>
      <c r="T17" s="3">
        <v>17.6</v>
      </c>
      <c r="U17" s="3">
        <v>14.6</v>
      </c>
      <c r="V17" s="3"/>
      <c r="W17" s="3">
        <f t="shared" si="0"/>
        <v>126.15</v>
      </c>
    </row>
    <row r="18" spans="1:23">
      <c r="A18" s="1">
        <v>478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f>17.9+14.8+17.9+16.3+21+4.4</f>
        <v>92.3</v>
      </c>
      <c r="N18" s="3">
        <f>17.45+18.4+17.9+15.8+17.15+16.75+13.4+16.35+5.6</f>
        <v>138.8</v>
      </c>
      <c r="O18" s="3">
        <f>18.15+16.75+18.4+15.4+15.85+17.3+17+11.15</f>
        <v>130</v>
      </c>
      <c r="P18" s="3">
        <f>19.6+21.65+14.05+16.8+18.8+5.8</f>
        <v>96.7</v>
      </c>
      <c r="Q18" s="3">
        <f>24.5+14.95</f>
        <v>39.45</v>
      </c>
      <c r="R18" s="3"/>
      <c r="S18" s="3">
        <f>16.35+16.65+26.35+12.8</f>
        <v>72.15</v>
      </c>
      <c r="T18" s="3">
        <f>15+14.9+13.6</f>
        <v>43.5</v>
      </c>
      <c r="U18" s="3">
        <f>16.75+6.75</f>
        <v>23.5</v>
      </c>
      <c r="V18" s="3"/>
      <c r="W18" s="3">
        <f t="shared" si="0"/>
        <v>636.4</v>
      </c>
    </row>
    <row r="19" spans="1:23">
      <c r="A19" s="1">
        <v>2415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18.5</v>
      </c>
      <c r="N19" s="3">
        <f>20.7+9.25</f>
        <v>29.95</v>
      </c>
      <c r="O19" s="3">
        <f>15.35+6.75</f>
        <v>22.1</v>
      </c>
      <c r="P19" s="3">
        <f>15.7+12.3</f>
        <v>28</v>
      </c>
      <c r="Q19" s="3">
        <v>16.05</v>
      </c>
      <c r="R19" s="3"/>
      <c r="S19" s="3">
        <v>14.2</v>
      </c>
      <c r="T19" s="3">
        <v>14.8</v>
      </c>
      <c r="U19" s="3">
        <v>8.85</v>
      </c>
      <c r="V19" s="3"/>
      <c r="W19" s="3">
        <f t="shared" si="0"/>
        <v>152.45</v>
      </c>
    </row>
    <row r="20" spans="1:23">
      <c r="A20" s="1">
        <v>444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f>12.9+2.25</f>
        <v>15.15</v>
      </c>
      <c r="N20" s="3">
        <v>14.85</v>
      </c>
      <c r="O20" s="3">
        <v>21.35</v>
      </c>
      <c r="P20" s="3">
        <v>15.9</v>
      </c>
      <c r="Q20" s="3">
        <v>6.7</v>
      </c>
      <c r="R20" s="3"/>
      <c r="S20" s="3">
        <v>17.25</v>
      </c>
      <c r="T20" s="3">
        <v>8.4</v>
      </c>
      <c r="U20" s="3">
        <v>5.6</v>
      </c>
      <c r="V20" s="3"/>
      <c r="W20" s="3">
        <f t="shared" si="0"/>
        <v>105.2</v>
      </c>
    </row>
    <row r="21" spans="1:23">
      <c r="A21" s="1">
        <v>260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16.45</v>
      </c>
      <c r="N21" s="3">
        <f>15.45+14.8+21.15+15.45+7.6</f>
        <v>74.45</v>
      </c>
      <c r="O21" s="3">
        <f>18.4+16.6+20.3+7.65</f>
        <v>62.95</v>
      </c>
      <c r="P21" s="3">
        <f>20.35+16.3+19.1+16.9+5.65</f>
        <v>78.3</v>
      </c>
      <c r="Q21" s="3">
        <f>14.6+20.6</f>
        <v>35.2</v>
      </c>
      <c r="R21" s="3"/>
      <c r="S21" s="3">
        <v>12.35</v>
      </c>
      <c r="T21" s="3">
        <v>10.9</v>
      </c>
      <c r="U21" s="3">
        <f>19+6.7+10.9</f>
        <v>36.6</v>
      </c>
      <c r="V21" s="3"/>
      <c r="W21" s="3">
        <f t="shared" si="0"/>
        <v>327.2</v>
      </c>
    </row>
    <row r="22" spans="1:23">
      <c r="A22" s="1">
        <v>2425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10.3</v>
      </c>
      <c r="N22" s="3">
        <v>12.25</v>
      </c>
      <c r="O22" s="3"/>
      <c r="P22" s="3">
        <v>10.75</v>
      </c>
      <c r="Q22" s="3"/>
      <c r="R22" s="3"/>
      <c r="S22" s="3">
        <v>6.55</v>
      </c>
      <c r="T22" s="3">
        <v>7</v>
      </c>
      <c r="U22" s="3">
        <v>1.4</v>
      </c>
      <c r="V22" s="3"/>
      <c r="W22" s="3">
        <f t="shared" si="0"/>
        <v>48.25</v>
      </c>
    </row>
    <row r="23" spans="1:23">
      <c r="A23" s="1">
        <v>477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f>18.85+19.5+18.15+21.4+15.6+21.55+14.45</f>
        <v>129.5</v>
      </c>
      <c r="N23" s="3">
        <f>14.15+16.25+15.05+21+18.05+21.15+16.35+24.8+20.85+15.95+8.45</f>
        <v>192.05</v>
      </c>
      <c r="O23" s="3">
        <f>16.2+13.45+19.4+17.3+24.4+23.45+17.2+21.2+18.25+4.5</f>
        <v>175.35</v>
      </c>
      <c r="P23" s="3">
        <f>18.75+17.3+21+18.55+17.6+15.9</f>
        <v>109.1</v>
      </c>
      <c r="Q23" s="3">
        <f>15.55+6.95</f>
        <v>22.5</v>
      </c>
      <c r="R23" s="3"/>
      <c r="S23" s="3">
        <f>22.15+17.1+11.7</f>
        <v>50.95</v>
      </c>
      <c r="T23" s="3">
        <f>27.15+20.55</f>
        <v>47.7</v>
      </c>
      <c r="U23" s="3">
        <v>17.85</v>
      </c>
      <c r="V23" s="3"/>
      <c r="W23" s="3">
        <f t="shared" si="0"/>
        <v>745</v>
      </c>
    </row>
    <row r="24" spans="1:23">
      <c r="A24" s="1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5.95</v>
      </c>
      <c r="N24" s="3">
        <v>9.1</v>
      </c>
      <c r="O24" s="3">
        <v>8.5</v>
      </c>
      <c r="P24" s="3">
        <v>10.4</v>
      </c>
      <c r="Q24" s="3"/>
      <c r="R24" s="3"/>
      <c r="S24" s="3">
        <v>5.05</v>
      </c>
      <c r="T24" s="3">
        <v>4</v>
      </c>
      <c r="U24" s="3"/>
      <c r="V24" s="3"/>
      <c r="W24" s="3">
        <f t="shared" si="0"/>
        <v>43</v>
      </c>
    </row>
    <row r="25" spans="1:23">
      <c r="A25" s="1">
        <v>2441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8.75</v>
      </c>
      <c r="N25" s="3">
        <v>14.8</v>
      </c>
      <c r="O25" s="3">
        <v>11.55</v>
      </c>
      <c r="P25" s="3">
        <v>5.9</v>
      </c>
      <c r="Q25" s="3">
        <v>0.95</v>
      </c>
      <c r="R25" s="3"/>
      <c r="S25" s="3">
        <f>13.65+2.2</f>
        <v>15.85</v>
      </c>
      <c r="T25" s="3">
        <v>4.8</v>
      </c>
      <c r="U25" s="3"/>
      <c r="V25" s="3"/>
      <c r="W25" s="3">
        <f t="shared" si="0"/>
        <v>62.6</v>
      </c>
    </row>
    <row r="26" spans="1:23">
      <c r="A26" s="1">
        <v>260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f>11.85+12.05+23.25+8.8</f>
        <v>55.95</v>
      </c>
      <c r="N26" s="3">
        <f>13.15+12+10.4+12.9+14.65</f>
        <v>63.1</v>
      </c>
      <c r="O26" s="3">
        <f>8.6+13.5+14.75+15.15+5.75</f>
        <v>57.75</v>
      </c>
      <c r="P26" s="3">
        <f>14.9+17.65+9.15+12.05+19.3+7.5</f>
        <v>80.55</v>
      </c>
      <c r="Q26" s="3">
        <f>11.9+13.5+4.25</f>
        <v>29.65</v>
      </c>
      <c r="R26" s="3"/>
      <c r="S26" s="3">
        <f>11.5+6.4</f>
        <v>17.9</v>
      </c>
      <c r="T26" s="3">
        <v>11.45</v>
      </c>
      <c r="U26" s="3">
        <v>21.8</v>
      </c>
      <c r="V26" s="3"/>
      <c r="W26" s="3">
        <f t="shared" si="0"/>
        <v>338.15</v>
      </c>
    </row>
    <row r="27" spans="1:23">
      <c r="A27" s="1">
        <v>560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10.25</v>
      </c>
      <c r="N27" s="3">
        <f>10.5+13.15+9.3</f>
        <v>32.95</v>
      </c>
      <c r="O27" s="3">
        <f>17.05+12.2+12.15+14.85+6+1.45</f>
        <v>63.7</v>
      </c>
      <c r="P27" s="3">
        <f>10.35+14.55+16.1</f>
        <v>41</v>
      </c>
      <c r="Q27" s="3">
        <v>8.25</v>
      </c>
      <c r="R27" s="3"/>
      <c r="S27" s="3">
        <v>10.95</v>
      </c>
      <c r="T27" s="3">
        <f>14.25+3.9</f>
        <v>18.15</v>
      </c>
      <c r="U27" s="3">
        <v>8.25</v>
      </c>
      <c r="V27" s="3"/>
      <c r="W27" s="3">
        <f t="shared" si="0"/>
        <v>193.5</v>
      </c>
    </row>
    <row r="28" spans="1:23">
      <c r="A28" s="1">
        <v>180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4.95</v>
      </c>
      <c r="N28" s="3">
        <v>5.1</v>
      </c>
      <c r="O28" s="3">
        <v>7.45</v>
      </c>
      <c r="P28" s="3">
        <v>10.05</v>
      </c>
      <c r="Q28" s="3">
        <v>3.6</v>
      </c>
      <c r="R28" s="3"/>
      <c r="S28" s="3"/>
      <c r="T28" s="3"/>
      <c r="U28" s="3"/>
      <c r="V28" s="3"/>
      <c r="W28" s="3">
        <f t="shared" si="0"/>
        <v>31.15</v>
      </c>
    </row>
    <row r="29" spans="1:23">
      <c r="A29" s="1">
        <v>628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20.7</v>
      </c>
      <c r="N29" s="3">
        <f>16.8+5.45</f>
        <v>22.25</v>
      </c>
      <c r="O29" s="3">
        <f>18.15+2.95</f>
        <v>21.1</v>
      </c>
      <c r="P29" s="3">
        <v>8.9</v>
      </c>
      <c r="Q29" s="3">
        <v>3</v>
      </c>
      <c r="R29" s="3"/>
      <c r="S29" s="3">
        <v>2</v>
      </c>
      <c r="T29" s="3">
        <v>1</v>
      </c>
      <c r="U29" s="3"/>
      <c r="V29" s="3"/>
      <c r="W29" s="3">
        <f t="shared" si="0"/>
        <v>78.95</v>
      </c>
    </row>
    <row r="30" spans="1:23">
      <c r="A30" s="1">
        <v>444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2.55</v>
      </c>
      <c r="N30" s="3">
        <v>10.65</v>
      </c>
      <c r="O30" s="3">
        <v>10.45</v>
      </c>
      <c r="P30" s="3">
        <f>20.7+3.25</f>
        <v>23.95</v>
      </c>
      <c r="Q30" s="3"/>
      <c r="R30" s="3"/>
      <c r="S30" s="3"/>
      <c r="T30" s="3">
        <v>14.7</v>
      </c>
      <c r="U30" s="3">
        <v>8</v>
      </c>
      <c r="V30" s="3"/>
      <c r="W30" s="3">
        <f t="shared" si="0"/>
        <v>70.3</v>
      </c>
    </row>
    <row r="31" spans="1:23">
      <c r="A31" s="1">
        <v>478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f>25.3+11.75+27.6+10.8</f>
        <v>75.45</v>
      </c>
      <c r="N31" s="3">
        <f>17.8+12.7+12.5</f>
        <v>43</v>
      </c>
      <c r="O31" s="3">
        <f>11.55+12.55</f>
        <v>24.1</v>
      </c>
      <c r="P31" s="3">
        <v>11.2</v>
      </c>
      <c r="Q31" s="3">
        <v>4.1</v>
      </c>
      <c r="R31" s="3"/>
      <c r="S31" s="3">
        <f>19.8+2.95</f>
        <v>22.75</v>
      </c>
      <c r="T31" s="3">
        <v>6.1</v>
      </c>
      <c r="U31" s="3">
        <v>7.75</v>
      </c>
      <c r="V31" s="3"/>
      <c r="W31" s="3">
        <f t="shared" si="0"/>
        <v>194.45</v>
      </c>
    </row>
    <row r="32" spans="1:23">
      <c r="A32" s="1">
        <v>2167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18.1</v>
      </c>
      <c r="N32" s="3">
        <v>14.9</v>
      </c>
      <c r="O32" s="3">
        <f>17.8+11.35+5.1+1.5</f>
        <v>35.75</v>
      </c>
      <c r="P32" s="3">
        <v>19.4</v>
      </c>
      <c r="Q32" s="3">
        <v>4.5</v>
      </c>
      <c r="R32" s="3"/>
      <c r="S32" s="3">
        <f>21.2+20.25+19.45+17.75+17.2+16.75+13.15+4.55</f>
        <v>130.3</v>
      </c>
      <c r="T32" s="3">
        <f>13.45+21.05+16.35+16.9+20.2+15.8+19.65+10.45+1.05</f>
        <v>134.9</v>
      </c>
      <c r="U32" s="3">
        <v>9.7</v>
      </c>
      <c r="V32" s="3"/>
      <c r="W32" s="3">
        <f t="shared" si="0"/>
        <v>367.55</v>
      </c>
    </row>
    <row r="33" spans="1:23">
      <c r="A33" s="1">
        <v>977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1.8</v>
      </c>
      <c r="O33" s="3">
        <v>4.9</v>
      </c>
      <c r="P33" s="3">
        <v>23.1</v>
      </c>
      <c r="Q33" s="3"/>
      <c r="R33" s="3"/>
      <c r="S33" s="3">
        <v>5.45</v>
      </c>
      <c r="T33" s="3">
        <v>2.6</v>
      </c>
      <c r="U33" s="3">
        <v>2.6</v>
      </c>
      <c r="V33" s="3"/>
      <c r="W33" s="3">
        <f t="shared" si="0"/>
        <v>40.45</v>
      </c>
    </row>
    <row r="34" spans="1:23">
      <c r="A34" s="1">
        <v>1009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13.55</v>
      </c>
      <c r="N34" s="3">
        <f>16.35+7.65+9.45</f>
        <v>33.45</v>
      </c>
      <c r="O34" s="3">
        <f>20.55+14.05</f>
        <v>34.6</v>
      </c>
      <c r="P34" s="3">
        <f>12.15+10.3</f>
        <v>22.45</v>
      </c>
      <c r="Q34" s="3">
        <v>6.5</v>
      </c>
      <c r="R34" s="3"/>
      <c r="S34" s="3">
        <v>23.3</v>
      </c>
      <c r="T34" s="3"/>
      <c r="U34" s="3"/>
      <c r="V34" s="3"/>
      <c r="W34" s="3">
        <f t="shared" si="0"/>
        <v>133.85</v>
      </c>
    </row>
    <row r="35" spans="1:23">
      <c r="A35" s="13">
        <v>1023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>19.25+14.95+14.45+20.1+21.7+17.55+2.35</f>
        <v>110.35</v>
      </c>
      <c r="N35" s="3">
        <f>22.15+16.45+21.95+10.95+20.5+15.45+19+17.8+21.8+23.45+13.15</f>
        <v>202.65</v>
      </c>
      <c r="O35" s="3">
        <f>16.45+23.05+17.95+19.1+13.1+26.75+18.3+16.85</f>
        <v>151.55</v>
      </c>
      <c r="P35" s="3">
        <f>16.95+14.05+22.25+16.7</f>
        <v>69.95</v>
      </c>
      <c r="Q35" s="3">
        <v>8.15</v>
      </c>
      <c r="R35" s="3"/>
      <c r="S35" s="3">
        <v>15.05</v>
      </c>
      <c r="T35" s="3">
        <f>24.7+1.25</f>
        <v>25.95</v>
      </c>
      <c r="U35" s="3">
        <v>12.65</v>
      </c>
      <c r="V35" s="3"/>
      <c r="W35" s="3">
        <f t="shared" si="0"/>
        <v>596.3</v>
      </c>
    </row>
    <row r="36" spans="1:23">
      <c r="A36" s="1">
        <v>260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>17.2+18.75+18.85+19.2+2.1</f>
        <v>76.1</v>
      </c>
      <c r="N36" s="3">
        <f>20.35+20.05+20.65+19</f>
        <v>80.05</v>
      </c>
      <c r="O36" s="3">
        <f>20.1+22.85</f>
        <v>42.95</v>
      </c>
      <c r="P36" s="3">
        <v>11.2</v>
      </c>
      <c r="Q36" s="3">
        <v>3.6</v>
      </c>
      <c r="R36" s="3"/>
      <c r="S36" s="3">
        <f>28.15+19.25+16+21.7</f>
        <v>85.1</v>
      </c>
      <c r="T36" s="3">
        <v>24.8</v>
      </c>
      <c r="U36" s="3">
        <v>8.6</v>
      </c>
      <c r="V36" s="3"/>
      <c r="W36" s="3">
        <f t="shared" si="0"/>
        <v>332.4</v>
      </c>
    </row>
    <row r="37" spans="1:23">
      <c r="A37" s="1">
        <v>354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16.15+13.85+16.7+17.8+14.3+19.2+14.8+21.2+20.7+15.05</f>
        <v>169.75</v>
      </c>
      <c r="N37" s="3">
        <f>14.9+14.05+16.55+17.05+16.95+15.7+21.65+16.85+18.7+21.15+17.55+17.5</f>
        <v>208.6</v>
      </c>
      <c r="O37" s="3">
        <f>12.4+14.3+21.45+16.55+18.2+17.05+20.85+16.3</f>
        <v>137.1</v>
      </c>
      <c r="P37" s="3">
        <f>18.8+11.05+16.65+14.7+23.65+13.5+14.55+16.85</f>
        <v>129.75</v>
      </c>
      <c r="Q37" s="3">
        <f>10.9+20.4+14.95</f>
        <v>46.25</v>
      </c>
      <c r="R37" s="3"/>
      <c r="S37" s="3">
        <f>18.45+29.2</f>
        <v>47.65</v>
      </c>
      <c r="T37" s="3">
        <f>26.1+7.25+6.1</f>
        <v>39.45</v>
      </c>
      <c r="U37" s="3">
        <f>20.7+8.4+3.8</f>
        <v>32.9</v>
      </c>
      <c r="V37" s="3"/>
      <c r="W37" s="3">
        <f t="shared" si="0"/>
        <v>811.45</v>
      </c>
    </row>
    <row r="38" spans="1:23">
      <c r="A38" s="13">
        <v>1036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>14.35+16.25+17.2+17.25+11.75+4.8</f>
        <v>81.6</v>
      </c>
      <c r="N38" s="3">
        <f>19.35+21.15+12.65+15.55+15.2+15.15+15.65+10.25+9.8</f>
        <v>134.75</v>
      </c>
      <c r="O38" s="3">
        <f>13.8+17.65+20.7+13.1+20.7+19.75+13.3+9.3+13.7+8.1</f>
        <v>150.1</v>
      </c>
      <c r="P38" s="3">
        <f>10.6+11.9+15.45+15.2+16.05+18+14.1+11.65+17.95+19.35+9.65</f>
        <v>159.9</v>
      </c>
      <c r="Q38" s="3">
        <f>15.7+21.8+16.15+8.6</f>
        <v>62.25</v>
      </c>
      <c r="R38" s="3"/>
      <c r="S38" s="3">
        <f>10.4+19.7+11.4+2.7</f>
        <v>44.2</v>
      </c>
      <c r="T38" s="3">
        <f>20.6+25.2+14.65+12.8</f>
        <v>73.25</v>
      </c>
      <c r="U38" s="3">
        <f>15.95+19.75+15.15+7.2+5.1</f>
        <v>63.15</v>
      </c>
      <c r="V38" s="3"/>
      <c r="W38" s="3">
        <f t="shared" si="0"/>
        <v>769.2</v>
      </c>
    </row>
    <row r="39" spans="1:23">
      <c r="A39" s="1">
        <v>2425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7.1</v>
      </c>
      <c r="N39" s="3">
        <v>13</v>
      </c>
      <c r="O39" s="3">
        <v>10.65</v>
      </c>
      <c r="P39" s="3">
        <f>13.65+7.65</f>
        <v>21.3</v>
      </c>
      <c r="Q39" s="3">
        <v>5.05</v>
      </c>
      <c r="R39" s="3"/>
      <c r="S39" s="3">
        <v>2.05</v>
      </c>
      <c r="T39" s="3">
        <f>17.5+1.35</f>
        <v>18.85</v>
      </c>
      <c r="U39" s="3">
        <v>15.1</v>
      </c>
      <c r="V39" s="3"/>
      <c r="W39" s="3">
        <f t="shared" si="0"/>
        <v>93.1</v>
      </c>
    </row>
    <row r="40" spans="1:23">
      <c r="A40" s="13">
        <v>1023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14.65+18+14.55+22.7+19.95+17.75</f>
        <v>107.6</v>
      </c>
      <c r="N40" s="3">
        <f>15.8+13.9+9.6+19.2+11.65+15.5+20.6+17.6+13.45</f>
        <v>137.3</v>
      </c>
      <c r="O40" s="3">
        <f>22+13+16.2+18.45+15.35+17.2+15.5+20.9+11.9</f>
        <v>150.5</v>
      </c>
      <c r="P40" s="3">
        <f>25+12.75+10.65+15.95+14.6</f>
        <v>78.95</v>
      </c>
      <c r="Q40" s="3">
        <f>13.15+14.75+8.9</f>
        <v>36.8</v>
      </c>
      <c r="R40" s="3"/>
      <c r="S40" s="3">
        <f>8.05+11.55+13.65</f>
        <v>33.25</v>
      </c>
      <c r="T40" s="3">
        <f>7.6+10.45</f>
        <v>18.05</v>
      </c>
      <c r="U40" s="3">
        <f>14.15+12.95</f>
        <v>27.1</v>
      </c>
      <c r="V40" s="3"/>
      <c r="W40" s="3">
        <f t="shared" si="0"/>
        <v>589.55</v>
      </c>
    </row>
    <row r="41" spans="1:23">
      <c r="A41" s="1">
        <v>478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4.45</v>
      </c>
      <c r="N41" s="3">
        <f>14.45+14.7+1.9</f>
        <v>31.05</v>
      </c>
      <c r="O41" s="3">
        <f>13.4+9.55+1.5</f>
        <v>24.45</v>
      </c>
      <c r="P41" s="3">
        <f>17.7+12.95</f>
        <v>30.65</v>
      </c>
      <c r="Q41" s="3">
        <v>10.25</v>
      </c>
      <c r="R41" s="3"/>
      <c r="S41" s="3">
        <v>12.4</v>
      </c>
      <c r="T41" s="3">
        <v>11.1</v>
      </c>
      <c r="U41" s="3">
        <v>12.15</v>
      </c>
      <c r="V41" s="3"/>
      <c r="W41" s="3">
        <f t="shared" si="0"/>
        <v>136.5</v>
      </c>
    </row>
    <row r="42" spans="1:23">
      <c r="A42" s="1">
        <v>1005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f>8.4+2</f>
        <v>10.4</v>
      </c>
      <c r="N42" s="3">
        <v>13.05</v>
      </c>
      <c r="O42" s="3">
        <v>12.5</v>
      </c>
      <c r="P42" s="3">
        <v>11.65</v>
      </c>
      <c r="Q42" s="3">
        <v>6.7</v>
      </c>
      <c r="R42" s="3"/>
      <c r="S42" s="3">
        <v>2.45</v>
      </c>
      <c r="T42" s="3">
        <v>5.7</v>
      </c>
      <c r="U42" s="3">
        <v>20.05</v>
      </c>
      <c r="V42" s="3"/>
      <c r="W42" s="3">
        <f t="shared" si="0"/>
        <v>82.5</v>
      </c>
    </row>
    <row r="43" spans="1:23">
      <c r="A43" s="1">
        <v>999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4.35</v>
      </c>
      <c r="N43" s="3">
        <v>11.35</v>
      </c>
      <c r="O43" s="3">
        <v>10.9</v>
      </c>
      <c r="P43" s="3">
        <v>10.85</v>
      </c>
      <c r="Q43" s="3"/>
      <c r="R43" s="3"/>
      <c r="S43" s="3">
        <v>4.7</v>
      </c>
      <c r="T43" s="3">
        <v>12.4</v>
      </c>
      <c r="U43" s="3">
        <v>4</v>
      </c>
      <c r="V43" s="3"/>
      <c r="W43" s="3">
        <f t="shared" si="0"/>
        <v>58.55</v>
      </c>
    </row>
    <row r="44" spans="1:23">
      <c r="A44" s="1">
        <v>999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1.6</v>
      </c>
      <c r="O44" s="3">
        <v>7.25</v>
      </c>
      <c r="P44" s="3">
        <v>3.7</v>
      </c>
      <c r="Q44" s="3">
        <v>0.9</v>
      </c>
      <c r="R44" s="3"/>
      <c r="S44" s="3">
        <v>2.45</v>
      </c>
      <c r="T44" s="3">
        <v>2.75</v>
      </c>
      <c r="U44" s="3">
        <v>1.95</v>
      </c>
      <c r="V44" s="3"/>
      <c r="W44" s="3">
        <f t="shared" si="0"/>
        <v>20.6</v>
      </c>
    </row>
    <row r="45" spans="1:23">
      <c r="A45" s="1">
        <v>1006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14.7+5.1</f>
        <v>19.8</v>
      </c>
      <c r="N45" s="3">
        <v>13.05</v>
      </c>
      <c r="O45" s="3">
        <f>16.5+7.65</f>
        <v>24.15</v>
      </c>
      <c r="P45" s="3">
        <f>12.65+6.55+1</f>
        <v>20.2</v>
      </c>
      <c r="Q45" s="3"/>
      <c r="R45" s="3"/>
      <c r="S45" s="3"/>
      <c r="T45" s="3">
        <v>10.75</v>
      </c>
      <c r="U45" s="3">
        <v>4.45</v>
      </c>
      <c r="V45" s="3"/>
      <c r="W45" s="3">
        <f t="shared" si="0"/>
        <v>92.4</v>
      </c>
    </row>
    <row r="46" spans="1:23">
      <c r="A46" s="13" t="s">
        <v>24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22.45</v>
      </c>
      <c r="N46" s="3">
        <v>19.1</v>
      </c>
      <c r="O46" s="3">
        <v>6</v>
      </c>
      <c r="P46" s="3">
        <f>2.35+1.15</f>
        <v>3.5</v>
      </c>
      <c r="Q46" s="3"/>
      <c r="R46" s="3"/>
      <c r="S46" s="3"/>
      <c r="T46" s="3"/>
      <c r="U46" s="3"/>
      <c r="V46" s="3"/>
      <c r="W46" s="3">
        <f t="shared" si="0"/>
        <v>51.05</v>
      </c>
    </row>
    <row r="47" spans="1:23">
      <c r="A47" s="1">
        <v>1013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f>12.7+12.35</f>
        <v>25.05</v>
      </c>
      <c r="N47" s="3">
        <f>22.1+13.65+12.05</f>
        <v>47.8</v>
      </c>
      <c r="O47" s="3">
        <f>17.05+18.5+11.35+13+6.2</f>
        <v>66.1</v>
      </c>
      <c r="P47" s="3">
        <f>16.35+12.85+16.6+17.15+1.2</f>
        <v>64.15</v>
      </c>
      <c r="Q47" s="3">
        <v>10.85</v>
      </c>
      <c r="R47" s="3"/>
      <c r="S47" s="3">
        <v>22.35</v>
      </c>
      <c r="T47" s="3">
        <f>18.6+14.3+1.95+1.05</f>
        <v>35.9</v>
      </c>
      <c r="U47" s="3">
        <f>13.65+27.25+4</f>
        <v>44.9</v>
      </c>
      <c r="V47" s="3"/>
      <c r="W47" s="3">
        <f t="shared" si="0"/>
        <v>317.1</v>
      </c>
    </row>
    <row r="48" spans="1:23">
      <c r="A48" s="1">
        <v>1791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f>22.65+16.75+15.35+14.25+11.8</f>
        <v>80.8</v>
      </c>
      <c r="N48" s="3">
        <f>19.95+14+17.65+17.55+22.95+10</f>
        <v>102.1</v>
      </c>
      <c r="O48" s="3">
        <f>12.75+21.25+16.45+13.75+23.1+9.9</f>
        <v>97.2</v>
      </c>
      <c r="P48" s="3">
        <f>16.45+15.65+12.5</f>
        <v>44.6</v>
      </c>
      <c r="Q48" s="3">
        <v>5.05</v>
      </c>
      <c r="R48" s="3"/>
      <c r="S48" s="3">
        <f>31.1+22.05+21.1+13.6</f>
        <v>87.85</v>
      </c>
      <c r="T48" s="3">
        <f>20.1+29.55+16.4</f>
        <v>66.05</v>
      </c>
      <c r="U48" s="3">
        <v>16.7</v>
      </c>
      <c r="V48" s="3"/>
      <c r="W48" s="3">
        <f t="shared" si="0"/>
        <v>500.35</v>
      </c>
    </row>
    <row r="49" spans="1:23">
      <c r="A49" s="1">
        <v>309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13.55+14.35+17+13.65</f>
        <v>58.55</v>
      </c>
      <c r="N49" s="3">
        <f>20.25+13.6+9.3+13.6+19.35+24.15+20.25+22.15+24.35</f>
        <v>167</v>
      </c>
      <c r="O49" s="3">
        <f>18.7+15.3+16.35+21.95+15.45+22.1+26.75+15.8+25.4+11.45</f>
        <v>189.25</v>
      </c>
      <c r="P49" s="3">
        <f>15.5+13.3+17.2+21.15+20.85+15.9</f>
        <v>103.9</v>
      </c>
      <c r="Q49" s="3">
        <v>18</v>
      </c>
      <c r="R49" s="3"/>
      <c r="S49" s="3">
        <f>16.6+13.7+19+21.8</f>
        <v>71.1</v>
      </c>
      <c r="T49" s="3">
        <f>22.75+14.25+24.4+23.4</f>
        <v>84.8</v>
      </c>
      <c r="U49" s="3">
        <v>16.25</v>
      </c>
      <c r="V49" s="3"/>
      <c r="W49" s="3">
        <f t="shared" si="0"/>
        <v>708.85</v>
      </c>
    </row>
    <row r="50" spans="1:23">
      <c r="A50" s="1">
        <v>309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17.35+16.4+15.25+15.4+17</f>
        <v>81.4</v>
      </c>
      <c r="N50" s="3">
        <f>14.95+27.75+17.05+14.7+13.2+15.15+15.7+11.45+15.35+18.85+17.3+16.9</f>
        <v>198.35</v>
      </c>
      <c r="O50" s="3">
        <f>20.45+17.9+10.35+18.75+13.95+15.35+14+15.2</f>
        <v>125.95</v>
      </c>
      <c r="P50" s="3">
        <f>16.95+13.3+20.15+18.75</f>
        <v>69.15</v>
      </c>
      <c r="Q50" s="3"/>
      <c r="R50" s="3"/>
      <c r="S50" s="3">
        <f>17.65+23.45+19.05+20.2</f>
        <v>80.35</v>
      </c>
      <c r="T50" s="3">
        <f>18+19.85</f>
        <v>37.85</v>
      </c>
      <c r="U50" s="3">
        <v>14.75</v>
      </c>
      <c r="V50" s="3"/>
      <c r="W50" s="3">
        <f t="shared" si="0"/>
        <v>607.8</v>
      </c>
    </row>
    <row r="51" spans="1:23">
      <c r="A51" s="1">
        <v>309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15</v>
      </c>
      <c r="N51" s="3">
        <v>24.7</v>
      </c>
      <c r="O51" s="3"/>
      <c r="P51" s="3">
        <v>2.3</v>
      </c>
      <c r="Q51" s="3">
        <v>8.6</v>
      </c>
      <c r="R51" s="3"/>
      <c r="S51" s="3">
        <v>13.95</v>
      </c>
      <c r="T51" s="3">
        <v>13.9</v>
      </c>
      <c r="U51" s="3">
        <v>10.2</v>
      </c>
      <c r="V51" s="3"/>
      <c r="W51" s="3">
        <f t="shared" si="0"/>
        <v>88.65</v>
      </c>
    </row>
    <row r="52" spans="1:23">
      <c r="A52" s="1">
        <v>2161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f>23.4+4.3</f>
        <v>27.7</v>
      </c>
      <c r="N52" s="3">
        <f>16.4+17.35+20.7</f>
        <v>54.45</v>
      </c>
      <c r="O52" s="3">
        <f>23.05+18.6+24.4+11.25+10.35</f>
        <v>87.65</v>
      </c>
      <c r="P52" s="3">
        <f>8.85+12.8+8.35+3.55</f>
        <v>33.55</v>
      </c>
      <c r="Q52" s="3">
        <v>0.9</v>
      </c>
      <c r="R52" s="3"/>
      <c r="S52" s="3">
        <f>22+17.75+5.05</f>
        <v>44.8</v>
      </c>
      <c r="T52" s="3">
        <f>22.15+24.3+23.1</f>
        <v>69.55</v>
      </c>
      <c r="U52" s="3">
        <v>3.4</v>
      </c>
      <c r="V52" s="3"/>
      <c r="W52" s="3">
        <f t="shared" si="0"/>
        <v>322</v>
      </c>
    </row>
    <row r="53" spans="1:23">
      <c r="A53" s="1">
        <v>354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f>9.2+2.15</f>
        <v>11.35</v>
      </c>
      <c r="N53" s="3">
        <f>10.75+14.95+12+16.25+1.95</f>
        <v>55.9</v>
      </c>
      <c r="O53" s="3">
        <f>14+13.25+9.5</f>
        <v>36.75</v>
      </c>
      <c r="P53" s="3">
        <f>15.8+12.65+8.05</f>
        <v>36.5</v>
      </c>
      <c r="Q53" s="3">
        <v>13.9</v>
      </c>
      <c r="R53" s="3"/>
      <c r="S53" s="3">
        <f>20.15+15.2</f>
        <v>35.35</v>
      </c>
      <c r="T53" s="3">
        <f>15.1+24+11.95</f>
        <v>51.05</v>
      </c>
      <c r="U53" s="3">
        <v>14.2</v>
      </c>
      <c r="V53" s="3"/>
      <c r="W53" s="3">
        <f t="shared" si="0"/>
        <v>255</v>
      </c>
    </row>
    <row r="54" spans="1:23">
      <c r="A54" s="1">
        <v>2205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2.05</v>
      </c>
      <c r="N54" s="3"/>
      <c r="O54" s="3">
        <v>6.1</v>
      </c>
      <c r="P54" s="3">
        <v>6.15</v>
      </c>
      <c r="Q54" s="3">
        <v>0.9</v>
      </c>
      <c r="R54" s="3"/>
      <c r="S54" s="3">
        <v>3</v>
      </c>
      <c r="T54" s="3">
        <v>16.4</v>
      </c>
      <c r="U54" s="3">
        <v>0.9</v>
      </c>
      <c r="V54" s="3"/>
      <c r="W54" s="3">
        <f t="shared" si="0"/>
        <v>35.5</v>
      </c>
    </row>
    <row r="55" spans="1:23">
      <c r="A55" s="1">
        <v>4005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14.3</v>
      </c>
      <c r="N55" s="3">
        <f>14.7+13.15+4.7</f>
        <v>32.55</v>
      </c>
      <c r="O55" s="3">
        <f>12.25+16.65</f>
        <v>28.9</v>
      </c>
      <c r="P55" s="3">
        <f>13.1+15.9</f>
        <v>29</v>
      </c>
      <c r="Q55" s="3">
        <v>7.7</v>
      </c>
      <c r="R55" s="3"/>
      <c r="S55" s="3">
        <v>18.3</v>
      </c>
      <c r="T55" s="3">
        <v>14.7</v>
      </c>
      <c r="U55" s="3">
        <v>5.9</v>
      </c>
      <c r="V55" s="3"/>
      <c r="W55" s="3">
        <f t="shared" si="0"/>
        <v>151.35</v>
      </c>
    </row>
    <row r="56" spans="1:23">
      <c r="A56" s="1">
        <v>2167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2.25</v>
      </c>
      <c r="N56" s="3">
        <v>13.65</v>
      </c>
      <c r="O56" s="3">
        <f>11.85+1.5+4</f>
        <v>17.35</v>
      </c>
      <c r="P56" s="3">
        <f>16.8+11.8+2</f>
        <v>30.6</v>
      </c>
      <c r="Q56" s="3">
        <v>20.25</v>
      </c>
      <c r="R56" s="3"/>
      <c r="S56" s="3">
        <v>13.05</v>
      </c>
      <c r="T56" s="3">
        <f>14.55+17.75+12.75+17.75+13.05+6.35</f>
        <v>82.2</v>
      </c>
      <c r="U56" s="3">
        <f>17.6+20.45+19.25+18.55+16.2+21.15+20+11.85+6.25</f>
        <v>151.3</v>
      </c>
      <c r="V56" s="3"/>
      <c r="W56" s="3">
        <f t="shared" si="0"/>
        <v>330.65</v>
      </c>
    </row>
    <row r="57" spans="1:23">
      <c r="A57" s="13">
        <v>1036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f>17+13.55+11.05+14.65+14.2</f>
        <v>70.45</v>
      </c>
      <c r="N57" s="3">
        <f>10.4+14.6+13.4+18.3+10.35+15.15</f>
        <v>82.2</v>
      </c>
      <c r="O57" s="3">
        <f>12.45+14.6+14.7+18.35+12.25+7.5</f>
        <v>79.85</v>
      </c>
      <c r="P57" s="3">
        <f>11.95+11.5+18.45+16.75+13.55+18.3+13+12.2+4.8</f>
        <v>120.5</v>
      </c>
      <c r="Q57" s="3">
        <f>17.65+8.15</f>
        <v>25.8</v>
      </c>
      <c r="R57" s="3"/>
      <c r="S57" s="3">
        <f>18.8+3.15</f>
        <v>21.95</v>
      </c>
      <c r="T57" s="3">
        <f>9.35+15.6+7.35</f>
        <v>32.3</v>
      </c>
      <c r="U57" s="3">
        <f>8.9+12.3+4.75</f>
        <v>25.95</v>
      </c>
      <c r="V57" s="3"/>
      <c r="W57" s="3">
        <f t="shared" si="0"/>
        <v>459</v>
      </c>
    </row>
    <row r="58" spans="1:23">
      <c r="A58" s="1">
        <v>1792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4.35</v>
      </c>
      <c r="N58" s="3">
        <v>3.85</v>
      </c>
      <c r="O58" s="3">
        <v>1.35</v>
      </c>
      <c r="P58" s="3">
        <f>1.2+1.25</f>
        <v>2.45</v>
      </c>
      <c r="Q58" s="3"/>
      <c r="R58" s="3"/>
      <c r="S58" s="3">
        <f>22.35+2.25+3.4</f>
        <v>28</v>
      </c>
      <c r="T58" s="3">
        <f>15.55+15.05</f>
        <v>30.6</v>
      </c>
      <c r="U58" s="3">
        <v>3.2</v>
      </c>
      <c r="V58" s="3"/>
      <c r="W58" s="3">
        <f t="shared" si="0"/>
        <v>73.8</v>
      </c>
    </row>
    <row r="59" spans="1:23">
      <c r="A59" s="1">
        <v>342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f>16+2.25</f>
        <v>18.25</v>
      </c>
      <c r="N59" s="3">
        <v>9.65</v>
      </c>
      <c r="O59" s="3">
        <v>5.9</v>
      </c>
      <c r="P59" s="3">
        <v>10.8</v>
      </c>
      <c r="Q59" s="3">
        <v>0.85</v>
      </c>
      <c r="R59" s="3"/>
      <c r="S59" s="3">
        <f>18.4+9.2+19.7+13.3</f>
        <v>60.6</v>
      </c>
      <c r="T59" s="3">
        <f>11.85+22.3+14.95</f>
        <v>49.1</v>
      </c>
      <c r="U59" s="3">
        <v>11.9</v>
      </c>
      <c r="V59" s="3"/>
      <c r="W59" s="3">
        <f t="shared" si="0"/>
        <v>167.05</v>
      </c>
    </row>
    <row r="60" spans="1:23">
      <c r="A60" s="1">
        <v>260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10</v>
      </c>
      <c r="N60" s="3">
        <v>12.15</v>
      </c>
      <c r="O60" s="3">
        <v>4.85</v>
      </c>
      <c r="P60" s="3">
        <v>12.6</v>
      </c>
      <c r="Q60" s="3">
        <v>14.35</v>
      </c>
      <c r="R60" s="3"/>
      <c r="S60" s="3">
        <v>8.1</v>
      </c>
      <c r="T60" s="3">
        <f>13.3+22.9+14.15</f>
        <v>50.35</v>
      </c>
      <c r="U60" s="3">
        <f>21.05+9.7</f>
        <v>30.75</v>
      </c>
      <c r="V60" s="3"/>
      <c r="W60" s="3">
        <f t="shared" si="0"/>
        <v>143.15</v>
      </c>
    </row>
    <row r="61" spans="1:23">
      <c r="A61" s="1">
        <v>444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2.15</v>
      </c>
      <c r="N61" s="3">
        <v>11</v>
      </c>
      <c r="O61" s="3">
        <v>10.6</v>
      </c>
      <c r="P61" s="3">
        <v>10.6</v>
      </c>
      <c r="Q61" s="3">
        <v>1.9</v>
      </c>
      <c r="R61" s="3"/>
      <c r="S61" s="3">
        <v>11.75</v>
      </c>
      <c r="T61" s="3">
        <v>16.55</v>
      </c>
      <c r="U61" s="3">
        <v>10.1</v>
      </c>
      <c r="V61" s="3"/>
      <c r="W61" s="3">
        <f t="shared" si="0"/>
        <v>74.65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2215.66</v>
      </c>
      <c r="N349" s="4">
        <f t="shared" si="6"/>
        <v>3210.1</v>
      </c>
      <c r="O349" s="4">
        <f t="shared" si="6"/>
        <v>2818.75</v>
      </c>
      <c r="P349" s="4">
        <f t="shared" si="6"/>
        <v>2209.6</v>
      </c>
      <c r="Q349" s="4">
        <f t="shared" si="6"/>
        <v>640.05</v>
      </c>
      <c r="R349" s="4">
        <f t="shared" si="6"/>
        <v>0</v>
      </c>
      <c r="S349" s="4">
        <f t="shared" si="6"/>
        <v>1660.85</v>
      </c>
      <c r="T349" s="4">
        <f t="shared" si="6"/>
        <v>1669.6</v>
      </c>
      <c r="U349" s="4">
        <f t="shared" si="6"/>
        <v>829.85</v>
      </c>
      <c r="V349" s="4">
        <f t="shared" si="6"/>
        <v>0</v>
      </c>
      <c r="W349" s="4">
        <f>SUM(W2:W348)</f>
        <v>15254.46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1670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15.63</v>
      </c>
      <c r="N2" s="3">
        <v>3.71</v>
      </c>
      <c r="O2" s="3">
        <v>3.03</v>
      </c>
      <c r="P2" s="3"/>
      <c r="Q2" s="3"/>
      <c r="R2" s="3"/>
      <c r="S2" s="3"/>
      <c r="T2" s="3"/>
      <c r="U2" s="3"/>
      <c r="V2" s="3"/>
      <c r="W2" s="3">
        <f t="shared" ref="W2:W67" si="0">SUM(C2:V2)</f>
        <v>22.37</v>
      </c>
    </row>
    <row r="3" spans="1:23">
      <c r="A3" s="1">
        <v>364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8.54</v>
      </c>
      <c r="N3" s="3">
        <v>10.19</v>
      </c>
      <c r="O3" s="3">
        <v>1.36</v>
      </c>
      <c r="P3" s="3"/>
      <c r="Q3" s="3"/>
      <c r="R3" s="3"/>
      <c r="S3" s="3"/>
      <c r="T3" s="3"/>
      <c r="U3" s="3"/>
      <c r="V3" s="3"/>
      <c r="W3" s="3">
        <f t="shared" si="0"/>
        <v>20.09</v>
      </c>
    </row>
    <row r="4" spans="1:23">
      <c r="A4" s="1">
        <v>1722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18.86</v>
      </c>
      <c r="N4" s="3">
        <v>3.56</v>
      </c>
      <c r="O4" s="3">
        <v>2.97</v>
      </c>
      <c r="P4" s="3">
        <v>4.9</v>
      </c>
      <c r="Q4" s="3">
        <v>1.69</v>
      </c>
      <c r="R4" s="3"/>
      <c r="S4" s="3">
        <v>2.48</v>
      </c>
      <c r="T4" s="3"/>
      <c r="U4" s="3"/>
      <c r="V4" s="3"/>
      <c r="W4" s="3">
        <f t="shared" si="0"/>
        <v>34.46</v>
      </c>
    </row>
    <row r="5" spans="1:23">
      <c r="A5" s="1">
        <v>260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19.29+2.39</f>
        <v>21.68</v>
      </c>
      <c r="N5" s="3">
        <f>18.89+21.03+23.65+18.48</f>
        <v>82.05</v>
      </c>
      <c r="O5" s="3">
        <f>16.82+18.36+13.89</f>
        <v>49.07</v>
      </c>
      <c r="P5" s="3">
        <f>16.74+18.93+13.28</f>
        <v>48.95</v>
      </c>
      <c r="Q5" s="3">
        <f>14.21+0.97</f>
        <v>15.18</v>
      </c>
      <c r="R5" s="3"/>
      <c r="S5" s="3">
        <v>10.98</v>
      </c>
      <c r="T5" s="3">
        <f>17.84+20.2+19.58</f>
        <v>57.62</v>
      </c>
      <c r="U5" s="3">
        <f>20.22+19.23</f>
        <v>39.45</v>
      </c>
      <c r="V5" s="3"/>
      <c r="W5" s="3">
        <f t="shared" si="0"/>
        <v>324.98</v>
      </c>
    </row>
    <row r="6" spans="1:23">
      <c r="A6" s="1">
        <v>1791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15.58</v>
      </c>
      <c r="N6" s="3">
        <f>17.17+17.76+17.54</f>
        <v>52.47</v>
      </c>
      <c r="O6" s="3">
        <f>17.23+18.9+3.1</f>
        <v>39.23</v>
      </c>
      <c r="P6" s="3">
        <f>17.87+13.53</f>
        <v>31.4</v>
      </c>
      <c r="Q6" s="3">
        <f>18.53+11.72</f>
        <v>30.25</v>
      </c>
      <c r="R6" s="3"/>
      <c r="S6" s="3">
        <v>13.2</v>
      </c>
      <c r="T6" s="3">
        <f>21.69+1.51</f>
        <v>23.2</v>
      </c>
      <c r="U6" s="3">
        <f>23.09+17.73</f>
        <v>40.82</v>
      </c>
      <c r="V6" s="3"/>
      <c r="W6" s="3">
        <f t="shared" si="0"/>
        <v>246.15</v>
      </c>
    </row>
    <row r="7" spans="1:23">
      <c r="A7" s="1">
        <v>478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21.24+21.24+21.68+22.73+21.54+2.59</f>
        <v>111.02</v>
      </c>
      <c r="N7" s="3">
        <f>21.22+18.73+21.2+22.18+22.78</f>
        <v>106.11</v>
      </c>
      <c r="O7" s="3">
        <f>15.26+19.65+14.18</f>
        <v>49.09</v>
      </c>
      <c r="P7" s="3">
        <f>21.99+16.07+8.97</f>
        <v>47.03</v>
      </c>
      <c r="Q7" s="3">
        <v>13.53</v>
      </c>
      <c r="R7" s="3"/>
      <c r="S7" s="3">
        <f>16.51+20.41</f>
        <v>36.92</v>
      </c>
      <c r="T7" s="3">
        <v>16.97</v>
      </c>
      <c r="U7" s="3">
        <v>16.4</v>
      </c>
      <c r="V7" s="3"/>
      <c r="W7" s="3">
        <f t="shared" si="0"/>
        <v>397.07</v>
      </c>
    </row>
    <row r="8" spans="1:23">
      <c r="A8" s="1">
        <v>980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11.24</v>
      </c>
      <c r="N8" s="3">
        <v>13.66</v>
      </c>
      <c r="O8" s="3">
        <v>5.56</v>
      </c>
      <c r="P8" s="1">
        <v>2.03</v>
      </c>
      <c r="Q8" s="3"/>
      <c r="R8" s="3"/>
      <c r="S8" s="3">
        <v>5.23</v>
      </c>
      <c r="T8" s="3"/>
      <c r="U8" s="3"/>
      <c r="V8" s="3"/>
      <c r="W8" s="3">
        <f t="shared" si="0"/>
        <v>37.72</v>
      </c>
    </row>
    <row r="9" spans="1:23">
      <c r="A9" s="1">
        <v>2161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2.39</v>
      </c>
      <c r="N9" s="3">
        <v>3.9</v>
      </c>
      <c r="O9" s="3">
        <v>12.08</v>
      </c>
      <c r="P9" s="3">
        <f>14.04+3.19</f>
        <v>17.23</v>
      </c>
      <c r="Q9" s="3"/>
      <c r="R9" s="3"/>
      <c r="S9" s="3">
        <v>2.45</v>
      </c>
      <c r="T9" s="3">
        <v>8.68</v>
      </c>
      <c r="U9" s="3">
        <v>16.97</v>
      </c>
      <c r="V9" s="3"/>
      <c r="W9" s="3">
        <f t="shared" si="0"/>
        <v>63.7</v>
      </c>
    </row>
    <row r="10" spans="1:23">
      <c r="A10" s="1">
        <v>309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18.66+24.44+21.17+13.53</f>
        <v>77.8</v>
      </c>
      <c r="N10" s="3">
        <f>14.8+19.98+15.38+24.26+22.24+19.99</f>
        <v>116.65</v>
      </c>
      <c r="O10" s="3">
        <f>20.64+15.44+20.53+4.76</f>
        <v>61.37</v>
      </c>
      <c r="P10" s="3">
        <f>15.95+13.67+15.2+3.69</f>
        <v>48.51</v>
      </c>
      <c r="Q10" s="3">
        <v>11.44</v>
      </c>
      <c r="R10" s="3"/>
      <c r="S10" s="3">
        <f>23.19+5.62</f>
        <v>28.81</v>
      </c>
      <c r="T10" s="3">
        <f>17.32+22+24.05+1.08</f>
        <v>64.45</v>
      </c>
      <c r="U10" s="3">
        <f>22.88+10.36</f>
        <v>33.24</v>
      </c>
      <c r="V10" s="3"/>
      <c r="W10" s="3">
        <f t="shared" si="0"/>
        <v>442.27</v>
      </c>
    </row>
    <row r="11" spans="1:23">
      <c r="A11" s="1">
        <v>770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f>19.32+20.43</f>
        <v>39.75</v>
      </c>
      <c r="N11" s="3">
        <f>26.3+7.66</f>
        <v>33.96</v>
      </c>
      <c r="O11" s="3">
        <v>17.4</v>
      </c>
      <c r="P11" s="3">
        <v>4.61</v>
      </c>
      <c r="Q11" s="3">
        <v>3.75</v>
      </c>
      <c r="R11" s="3"/>
      <c r="S11" s="3">
        <v>5.47</v>
      </c>
      <c r="T11" s="3">
        <v>1.57</v>
      </c>
      <c r="U11" s="3">
        <v>1.68</v>
      </c>
      <c r="V11" s="3"/>
      <c r="W11" s="3">
        <f t="shared" si="0"/>
        <v>108.19</v>
      </c>
    </row>
    <row r="12" spans="1:23">
      <c r="A12" s="1">
        <v>1031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25.01</v>
      </c>
      <c r="N12" s="3">
        <v>24.39</v>
      </c>
      <c r="O12" s="3">
        <v>8.33</v>
      </c>
      <c r="P12" s="3">
        <v>6.05</v>
      </c>
      <c r="Q12" s="3">
        <v>0.89</v>
      </c>
      <c r="R12" s="3"/>
      <c r="S12" s="3"/>
      <c r="T12" s="3"/>
      <c r="U12" s="3"/>
      <c r="V12" s="3"/>
      <c r="W12" s="3">
        <f t="shared" si="0"/>
        <v>64.67</v>
      </c>
    </row>
    <row r="13" spans="1:23">
      <c r="A13" s="1">
        <v>641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7.48</v>
      </c>
      <c r="N13" s="3">
        <f>23.77+21+18.64+9.55</f>
        <v>72.96</v>
      </c>
      <c r="O13" s="3">
        <f>19.81+15.6+17.09</f>
        <v>52.5</v>
      </c>
      <c r="P13" s="3">
        <f>15.32+6.65</f>
        <v>21.97</v>
      </c>
      <c r="Q13" s="3">
        <v>7.99</v>
      </c>
      <c r="R13" s="3"/>
      <c r="S13" s="3">
        <v>7.63</v>
      </c>
      <c r="T13" s="3">
        <f>20.03+25.36+19.3+20.43+18.54+17.79+3.04</f>
        <v>124.49</v>
      </c>
      <c r="U13" s="3">
        <f>14.55+16.99+12.14</f>
        <v>43.68</v>
      </c>
      <c r="V13" s="3"/>
      <c r="W13" s="3">
        <f t="shared" si="0"/>
        <v>338.7</v>
      </c>
    </row>
    <row r="14" spans="1:23">
      <c r="A14" s="1">
        <v>478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16.95+24.34+5.53</f>
        <v>46.82</v>
      </c>
      <c r="N14" s="3">
        <f>17.87+16.18+16.47+7.65</f>
        <v>58.17</v>
      </c>
      <c r="O14" s="3">
        <f>18.68+3.03</f>
        <v>21.71</v>
      </c>
      <c r="P14" s="3">
        <f>14.37+2.25</f>
        <v>16.62</v>
      </c>
      <c r="Q14" s="3">
        <v>4.86</v>
      </c>
      <c r="R14" s="3"/>
      <c r="S14" s="3">
        <v>21.16</v>
      </c>
      <c r="T14" s="3">
        <v>24.72</v>
      </c>
      <c r="U14" s="3">
        <v>6.62</v>
      </c>
      <c r="V14" s="3"/>
      <c r="W14" s="3">
        <f t="shared" si="0"/>
        <v>200.68</v>
      </c>
    </row>
    <row r="15" spans="1:23">
      <c r="A15" s="1">
        <v>982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20.49</v>
      </c>
      <c r="N15" s="3">
        <v>23.27</v>
      </c>
      <c r="O15" s="3"/>
      <c r="P15" s="3"/>
      <c r="Q15" s="3"/>
      <c r="R15" s="3"/>
      <c r="S15" s="3">
        <v>7.68</v>
      </c>
      <c r="T15" s="3"/>
      <c r="U15" s="3">
        <v>0.92</v>
      </c>
      <c r="V15" s="3"/>
      <c r="W15" s="3">
        <f t="shared" si="0"/>
        <v>52.36</v>
      </c>
    </row>
    <row r="16" spans="1:23">
      <c r="A16" s="1">
        <v>693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7.18</v>
      </c>
      <c r="N16" s="3"/>
      <c r="O16" s="3"/>
      <c r="P16" s="3"/>
      <c r="Q16" s="3"/>
      <c r="R16" s="3"/>
      <c r="S16" s="3"/>
      <c r="T16" s="3">
        <v>6.23</v>
      </c>
      <c r="U16" s="3"/>
      <c r="V16" s="3"/>
      <c r="W16" s="3">
        <f t="shared" si="0"/>
        <v>13.41</v>
      </c>
    </row>
    <row r="17" spans="1:23">
      <c r="A17" s="1">
        <v>1791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15.19+24.64</f>
        <v>39.83</v>
      </c>
      <c r="N17" s="3">
        <f>18.8+13.21+16.22+16.87+19.76+20.05+20.84+17.6+23.16</f>
        <v>166.51</v>
      </c>
      <c r="O17" s="3">
        <f>15.84+18.67+16.42+18.77</f>
        <v>69.7</v>
      </c>
      <c r="P17" s="3">
        <f>17.64+15.36+14.24+13.11</f>
        <v>60.35</v>
      </c>
      <c r="Q17" s="3">
        <v>12.28</v>
      </c>
      <c r="R17" s="3"/>
      <c r="S17" s="3">
        <f>18.66+14.92</f>
        <v>33.58</v>
      </c>
      <c r="T17" s="3">
        <f>23.2+19.49+21.34+19.09+23.95</f>
        <v>107.07</v>
      </c>
      <c r="U17" s="3">
        <f>18.84+18.99+19.51+7.1</f>
        <v>64.44</v>
      </c>
      <c r="V17" s="3"/>
      <c r="W17" s="3">
        <f t="shared" si="0"/>
        <v>553.76</v>
      </c>
    </row>
    <row r="18" spans="1:23">
      <c r="A18" s="1">
        <v>765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2.47</v>
      </c>
      <c r="N18" s="3">
        <f>3.36+1.56+1.79</f>
        <v>6.71</v>
      </c>
      <c r="O18" s="3">
        <v>3.85</v>
      </c>
      <c r="P18" s="3">
        <v>2.4</v>
      </c>
      <c r="Q18" s="3">
        <v>5.47</v>
      </c>
      <c r="R18" s="3"/>
      <c r="S18" s="3"/>
      <c r="T18" s="3"/>
      <c r="U18" s="3">
        <v>3.57</v>
      </c>
      <c r="V18" s="3"/>
      <c r="W18" s="3">
        <f t="shared" si="0"/>
        <v>24.47</v>
      </c>
    </row>
    <row r="19" spans="1:23">
      <c r="A19" s="1">
        <v>266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9.58</v>
      </c>
      <c r="N19" s="3"/>
      <c r="O19" s="3"/>
      <c r="P19" s="3"/>
      <c r="Q19" s="3"/>
      <c r="R19" s="3"/>
      <c r="S19" s="3">
        <v>13.09</v>
      </c>
      <c r="T19" s="3"/>
      <c r="U19" s="3"/>
      <c r="V19" s="3"/>
      <c r="W19" s="3">
        <f t="shared" si="0"/>
        <v>22.67</v>
      </c>
    </row>
    <row r="20" spans="1:23">
      <c r="A20" s="1">
        <v>452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9.03</v>
      </c>
      <c r="N20" s="3">
        <v>5.28</v>
      </c>
      <c r="O20" s="3">
        <v>3.02</v>
      </c>
      <c r="P20" s="3"/>
      <c r="Q20" s="3"/>
      <c r="R20" s="3"/>
      <c r="S20" s="3">
        <v>2.31</v>
      </c>
      <c r="T20" s="3">
        <v>15.49</v>
      </c>
      <c r="U20" s="3">
        <v>6.72</v>
      </c>
      <c r="V20" s="3"/>
      <c r="W20" s="3">
        <f t="shared" si="0"/>
        <v>41.85</v>
      </c>
    </row>
    <row r="21" spans="1:23">
      <c r="A21" s="1">
        <v>977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1.94</v>
      </c>
      <c r="N21" s="3">
        <v>5.31</v>
      </c>
      <c r="O21" s="3">
        <v>7.79</v>
      </c>
      <c r="P21" s="3"/>
      <c r="Q21" s="3"/>
      <c r="R21" s="3"/>
      <c r="S21" s="3"/>
      <c r="T21" s="3"/>
      <c r="U21" s="3">
        <v>6.08</v>
      </c>
      <c r="V21" s="3"/>
      <c r="W21" s="3">
        <f t="shared" si="0"/>
        <v>21.12</v>
      </c>
    </row>
    <row r="22" spans="1:23">
      <c r="A22" s="1">
        <v>560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15.9</v>
      </c>
      <c r="N22" s="3">
        <v>4.29</v>
      </c>
      <c r="O22" s="3">
        <v>2.21</v>
      </c>
      <c r="P22" s="3"/>
      <c r="Q22" s="3"/>
      <c r="R22" s="3"/>
      <c r="S22" s="3">
        <v>2.5</v>
      </c>
      <c r="T22" s="3">
        <v>5.75</v>
      </c>
      <c r="U22" s="3">
        <v>0.98</v>
      </c>
      <c r="V22" s="3"/>
      <c r="W22" s="3">
        <f t="shared" si="0"/>
        <v>31.63</v>
      </c>
    </row>
    <row r="23" spans="1:23">
      <c r="A23" s="1">
        <v>180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10.61</v>
      </c>
      <c r="N23" s="3">
        <v>3.58</v>
      </c>
      <c r="O23" s="3"/>
      <c r="P23" s="3">
        <v>2.18</v>
      </c>
      <c r="Q23" s="3"/>
      <c r="R23" s="3"/>
      <c r="S23" s="3"/>
      <c r="T23" s="3"/>
      <c r="U23" s="3">
        <v>0.67</v>
      </c>
      <c r="V23" s="3"/>
      <c r="W23" s="3">
        <f t="shared" si="0"/>
        <v>17.04</v>
      </c>
    </row>
    <row r="24" spans="1:23">
      <c r="A24" s="1">
        <v>1006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14.03</v>
      </c>
      <c r="N24" s="3">
        <f>16.67+17.51</f>
        <v>34.18</v>
      </c>
      <c r="O24" s="3">
        <v>9.17</v>
      </c>
      <c r="P24" s="3">
        <f>16.62+7.35</f>
        <v>23.97</v>
      </c>
      <c r="Q24" s="3">
        <v>4.39</v>
      </c>
      <c r="R24" s="3"/>
      <c r="S24" s="3">
        <v>5.7</v>
      </c>
      <c r="T24" s="3">
        <f>15.24+16.8</f>
        <v>32.04</v>
      </c>
      <c r="U24" s="3">
        <v>19.71</v>
      </c>
      <c r="V24" s="3"/>
      <c r="W24" s="3">
        <f t="shared" si="0"/>
        <v>143.19</v>
      </c>
    </row>
    <row r="25" spans="1:23">
      <c r="A25" s="1">
        <v>1011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2.39</v>
      </c>
      <c r="N25" s="3">
        <v>13.65</v>
      </c>
      <c r="O25" s="3">
        <v>2.8</v>
      </c>
      <c r="P25" s="3"/>
      <c r="Q25" s="3"/>
      <c r="R25" s="3"/>
      <c r="S25" s="3">
        <v>12.11</v>
      </c>
      <c r="T25" s="3">
        <v>8.75</v>
      </c>
      <c r="U25" s="3"/>
      <c r="V25" s="3"/>
      <c r="W25" s="3">
        <f t="shared" si="0"/>
        <v>39.7</v>
      </c>
    </row>
    <row r="26" spans="1:23">
      <c r="A26" s="1">
        <v>1014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6</v>
      </c>
      <c r="N26" s="3">
        <v>1.69</v>
      </c>
      <c r="O26" s="3">
        <v>5.22</v>
      </c>
      <c r="P26" s="3">
        <v>1.89</v>
      </c>
      <c r="Q26" s="3"/>
      <c r="R26" s="3"/>
      <c r="S26" s="3">
        <v>5.12</v>
      </c>
      <c r="T26" s="3"/>
      <c r="U26" s="3"/>
      <c r="V26" s="3"/>
      <c r="W26" s="3">
        <f t="shared" si="0"/>
        <v>19.92</v>
      </c>
    </row>
    <row r="27" spans="1:23">
      <c r="A27" s="1">
        <v>1005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3.88</v>
      </c>
      <c r="O27" s="3">
        <v>1.45</v>
      </c>
      <c r="P27" s="3">
        <v>3.8</v>
      </c>
      <c r="Q27" s="3">
        <v>0.95</v>
      </c>
      <c r="R27" s="3"/>
      <c r="S27" s="3">
        <v>7.1</v>
      </c>
      <c r="T27" s="3">
        <f>20.49+10.78</f>
        <v>31.27</v>
      </c>
      <c r="U27" s="3">
        <v>17.66</v>
      </c>
      <c r="V27" s="3"/>
      <c r="W27" s="3">
        <f t="shared" si="0"/>
        <v>66.11</v>
      </c>
    </row>
    <row r="28" spans="1:23">
      <c r="A28" s="1">
        <v>2202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16.14+11.16</f>
        <v>27.3</v>
      </c>
      <c r="N28" s="3">
        <f>22.46+23.11+17.54+24.09+23.85</f>
        <v>111.05</v>
      </c>
      <c r="O28" s="3">
        <f>13.04+18.17</f>
        <v>31.21</v>
      </c>
      <c r="P28" s="3">
        <f>16.95+5.58</f>
        <v>22.53</v>
      </c>
      <c r="Q28" s="3"/>
      <c r="R28" s="3"/>
      <c r="S28" s="3">
        <v>23.36</v>
      </c>
      <c r="T28" s="3">
        <f>16.3+17.78+4.01</f>
        <v>38.09</v>
      </c>
      <c r="U28" s="3">
        <v>5.95</v>
      </c>
      <c r="V28" s="3"/>
      <c r="W28" s="3">
        <f t="shared" si="0"/>
        <v>259.49</v>
      </c>
    </row>
    <row r="29" spans="1:23">
      <c r="A29" s="1">
        <v>604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f>16.71+5.48</f>
        <v>22.19</v>
      </c>
      <c r="N29" s="3">
        <f>15.94+13.57</f>
        <v>29.51</v>
      </c>
      <c r="O29" s="3">
        <v>15.78</v>
      </c>
      <c r="P29" s="3">
        <v>10.9</v>
      </c>
      <c r="Q29" s="3"/>
      <c r="R29" s="3"/>
      <c r="S29" s="3">
        <v>20.05</v>
      </c>
      <c r="T29" s="3">
        <f>18.72+1.78</f>
        <v>20.5</v>
      </c>
      <c r="U29" s="3"/>
      <c r="V29" s="3"/>
      <c r="W29" s="3">
        <f t="shared" si="0"/>
        <v>118.93</v>
      </c>
    </row>
    <row r="30" spans="1:23">
      <c r="A30" s="1">
        <v>2161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f>22.53+16.39+14.65</f>
        <v>53.57</v>
      </c>
      <c r="N30" s="3">
        <f>17.44+18.97+15.07+5.21</f>
        <v>56.69</v>
      </c>
      <c r="O30" s="3">
        <v>13.57</v>
      </c>
      <c r="P30" s="3">
        <v>9.29</v>
      </c>
      <c r="Q30" s="3">
        <v>1.95</v>
      </c>
      <c r="R30" s="3"/>
      <c r="S30" s="3">
        <f>15.96+22.61+23.22</f>
        <v>61.79</v>
      </c>
      <c r="T30" s="3">
        <f>15.48+20.13+21.44+6.73</f>
        <v>63.78</v>
      </c>
      <c r="U30" s="3">
        <v>5.56</v>
      </c>
      <c r="V30" s="3"/>
      <c r="W30" s="3">
        <f t="shared" si="0"/>
        <v>266.2</v>
      </c>
    </row>
    <row r="31" spans="1:23">
      <c r="A31" s="1">
        <v>1311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20.85</v>
      </c>
      <c r="N31" s="3">
        <v>8.5</v>
      </c>
      <c r="O31" s="3">
        <v>1.3</v>
      </c>
      <c r="P31" s="3"/>
      <c r="Q31" s="3"/>
      <c r="R31" s="3"/>
      <c r="S31" s="3"/>
      <c r="T31" s="3">
        <v>2.64</v>
      </c>
      <c r="U31" s="3"/>
      <c r="V31" s="3"/>
      <c r="W31" s="3">
        <f t="shared" si="0"/>
        <v>33.29</v>
      </c>
    </row>
    <row r="32" spans="1:23">
      <c r="A32" s="1">
        <v>1027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6.78</v>
      </c>
      <c r="N32" s="3">
        <v>8.85</v>
      </c>
      <c r="O32" s="3"/>
      <c r="P32" s="3">
        <v>2.31</v>
      </c>
      <c r="Q32" s="3"/>
      <c r="R32" s="3"/>
      <c r="S32" s="3">
        <v>12.37</v>
      </c>
      <c r="T32" s="3">
        <v>4.91</v>
      </c>
      <c r="U32" s="3"/>
      <c r="V32" s="3"/>
      <c r="W32" s="3">
        <f t="shared" si="0"/>
        <v>35.22</v>
      </c>
    </row>
    <row r="33" spans="1:23">
      <c r="A33" s="1">
        <v>999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4.69</v>
      </c>
      <c r="N33" s="3">
        <v>11.84</v>
      </c>
      <c r="O33" s="3">
        <v>4.6</v>
      </c>
      <c r="P33" s="3">
        <v>1.18</v>
      </c>
      <c r="Q33" s="3"/>
      <c r="R33" s="3"/>
      <c r="S33" s="3">
        <v>5.69</v>
      </c>
      <c r="T33" s="3">
        <v>7.32</v>
      </c>
      <c r="U33" s="3">
        <v>2.61</v>
      </c>
      <c r="V33" s="3"/>
      <c r="W33" s="3">
        <f t="shared" si="0"/>
        <v>37.93</v>
      </c>
    </row>
    <row r="34" spans="1:23">
      <c r="A34" s="1">
        <v>309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9.53</v>
      </c>
      <c r="N34" s="3">
        <v>20.65</v>
      </c>
      <c r="O34" s="3">
        <v>19.84</v>
      </c>
      <c r="P34" s="3">
        <v>12.83</v>
      </c>
      <c r="Q34" s="3"/>
      <c r="R34" s="3"/>
      <c r="S34" s="3">
        <v>18.52</v>
      </c>
      <c r="T34" s="3">
        <v>24.24</v>
      </c>
      <c r="U34" s="3">
        <v>2</v>
      </c>
      <c r="V34" s="3"/>
      <c r="W34" s="3">
        <f t="shared" si="0"/>
        <v>107.61</v>
      </c>
    </row>
    <row r="35" spans="1:23">
      <c r="A35" s="1">
        <v>1791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>18.78+5.12</f>
        <v>23.9</v>
      </c>
      <c r="N35" s="3">
        <f>15.31+18.6+6.95</f>
        <v>40.86</v>
      </c>
      <c r="O35" s="3">
        <f>15.13+10.02</f>
        <v>25.15</v>
      </c>
      <c r="P35" s="3">
        <v>17.2</v>
      </c>
      <c r="Q35" s="3"/>
      <c r="R35" s="3"/>
      <c r="S35" s="3">
        <f>18.22+17.09+14.82+24.48+2.43</f>
        <v>77.04</v>
      </c>
      <c r="T35" s="3">
        <f>16.17+16.49+21.38+23.44+20.17+15.56+17.98+20.91+21.85+21.59+20.07+17.55+22.6+11.87</f>
        <v>267.63</v>
      </c>
      <c r="U35" s="3">
        <f>20.3+12.17</f>
        <v>32.47</v>
      </c>
      <c r="V35" s="3"/>
      <c r="W35" s="3">
        <f t="shared" si="0"/>
        <v>484.25</v>
      </c>
    </row>
    <row r="36" spans="1:23">
      <c r="A36" s="1">
        <v>1792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9.3</v>
      </c>
      <c r="N36" s="3">
        <v>5.12</v>
      </c>
      <c r="O36" s="3">
        <f>15.13+4.67</f>
        <v>19.8</v>
      </c>
      <c r="P36" s="3">
        <v>9.73</v>
      </c>
      <c r="Q36" s="3"/>
      <c r="R36" s="3"/>
      <c r="S36" s="3">
        <v>11.77</v>
      </c>
      <c r="T36" s="3">
        <f>17.09+18.28</f>
        <v>35.37</v>
      </c>
      <c r="U36" s="3">
        <v>8.64</v>
      </c>
      <c r="V36" s="3"/>
      <c r="W36" s="3">
        <f t="shared" si="0"/>
        <v>99.73</v>
      </c>
    </row>
    <row r="37" spans="1:23">
      <c r="A37" s="1">
        <v>1032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9.22</v>
      </c>
      <c r="N37" s="3">
        <v>14.64</v>
      </c>
      <c r="O37" s="3">
        <v>6</v>
      </c>
      <c r="P37" s="3">
        <v>7.2</v>
      </c>
      <c r="Q37" s="3">
        <v>2.57</v>
      </c>
      <c r="R37" s="3"/>
      <c r="S37" s="3">
        <v>7.08</v>
      </c>
      <c r="T37" s="3">
        <v>8.53</v>
      </c>
      <c r="U37" s="3">
        <v>14.01</v>
      </c>
      <c r="V37" s="3"/>
      <c r="W37" s="3">
        <f t="shared" si="0"/>
        <v>69.25</v>
      </c>
    </row>
    <row r="38" spans="1:23">
      <c r="A38" s="1">
        <v>1311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9.47</v>
      </c>
      <c r="N38" s="3">
        <v>3.32</v>
      </c>
      <c r="O38" s="3">
        <v>3.89</v>
      </c>
      <c r="P38" s="3"/>
      <c r="Q38" s="3"/>
      <c r="R38" s="3"/>
      <c r="S38" s="3"/>
      <c r="T38" s="3"/>
      <c r="U38" s="3"/>
      <c r="V38" s="3"/>
      <c r="W38" s="3">
        <f t="shared" si="0"/>
        <v>16.68</v>
      </c>
    </row>
    <row r="39" spans="1:23">
      <c r="A39" s="1">
        <v>919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4.68</v>
      </c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4.68</v>
      </c>
    </row>
    <row r="40" spans="1:23">
      <c r="A40" s="1">
        <v>1971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17.64+7.24+2.63</f>
        <v>27.51</v>
      </c>
      <c r="N40" s="3">
        <v>15.32</v>
      </c>
      <c r="O40" s="3">
        <f>12.65+1.25</f>
        <v>13.9</v>
      </c>
      <c r="P40" s="3"/>
      <c r="Q40" s="3">
        <v>0.8</v>
      </c>
      <c r="R40" s="3"/>
      <c r="S40" s="3"/>
      <c r="T40" s="3"/>
      <c r="U40" s="3"/>
      <c r="V40" s="3"/>
      <c r="W40" s="3">
        <f t="shared" si="0"/>
        <v>57.53</v>
      </c>
    </row>
    <row r="41" spans="1:23">
      <c r="A41" s="1">
        <v>1002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6.27</v>
      </c>
      <c r="N41" s="3">
        <v>1.82</v>
      </c>
      <c r="O41" s="3">
        <v>5.9</v>
      </c>
      <c r="P41" s="3">
        <v>5.34</v>
      </c>
      <c r="Q41" s="3"/>
      <c r="R41" s="3"/>
      <c r="S41" s="3"/>
      <c r="T41" s="3"/>
      <c r="U41" s="3"/>
      <c r="V41" s="3"/>
      <c r="W41" s="3">
        <f t="shared" si="0"/>
        <v>19.33</v>
      </c>
    </row>
    <row r="42" spans="1:23">
      <c r="A42" s="1">
        <v>880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7.59</v>
      </c>
      <c r="N42" s="3">
        <v>7.21</v>
      </c>
      <c r="O42" s="3">
        <v>1.51</v>
      </c>
      <c r="P42" s="3"/>
      <c r="Q42" s="3"/>
      <c r="R42" s="3"/>
      <c r="S42" s="3"/>
      <c r="T42" s="3">
        <v>1.34</v>
      </c>
      <c r="U42" s="3"/>
      <c r="V42" s="3"/>
      <c r="W42" s="3">
        <f t="shared" si="0"/>
        <v>17.65</v>
      </c>
    </row>
    <row r="43" spans="1:23">
      <c r="A43" s="1">
        <v>987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4.24</v>
      </c>
      <c r="N43" s="3">
        <v>16.23</v>
      </c>
      <c r="O43" s="3"/>
      <c r="P43" s="3"/>
      <c r="Q43" s="3"/>
      <c r="R43" s="3"/>
      <c r="S43" s="3"/>
      <c r="T43" s="3"/>
      <c r="U43" s="3"/>
      <c r="V43" s="3"/>
      <c r="W43" s="3">
        <f t="shared" si="0"/>
        <v>20.47</v>
      </c>
    </row>
    <row r="44" spans="1:23">
      <c r="A44" s="1">
        <v>996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19.83</v>
      </c>
      <c r="N44" s="3">
        <v>1.87</v>
      </c>
      <c r="O44" s="3"/>
      <c r="P44" s="3"/>
      <c r="Q44" s="3"/>
      <c r="R44" s="3"/>
      <c r="S44" s="3"/>
      <c r="T44" s="3"/>
      <c r="U44" s="3"/>
      <c r="V44" s="3"/>
      <c r="W44" s="3">
        <f t="shared" si="0"/>
        <v>21.7</v>
      </c>
    </row>
    <row r="45" spans="1:23">
      <c r="A45" s="1">
        <v>997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2.31</v>
      </c>
      <c r="N45" s="3">
        <v>15.64</v>
      </c>
      <c r="O45" s="3">
        <v>2.91</v>
      </c>
      <c r="P45" s="3">
        <v>5.38</v>
      </c>
      <c r="Q45" s="3">
        <v>2.69</v>
      </c>
      <c r="R45" s="3"/>
      <c r="S45" s="3"/>
      <c r="T45" s="3">
        <v>1.41</v>
      </c>
      <c r="U45" s="3"/>
      <c r="V45" s="3"/>
      <c r="W45" s="3">
        <f t="shared" si="0"/>
        <v>30.34</v>
      </c>
    </row>
    <row r="46" spans="1:23">
      <c r="A46" s="1">
        <v>672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f>19.54+21.45+16.67+16.04+18.22+28.3+8.84</f>
        <v>129.06</v>
      </c>
      <c r="N46" s="3">
        <f>14.57+19.03+15.45+17.14+20.73+27.17+19.14+23.21</f>
        <v>156.44</v>
      </c>
      <c r="O46" s="3">
        <f>17.3+17.76</f>
        <v>35.06</v>
      </c>
      <c r="P46" s="3">
        <f>22.08+1.12</f>
        <v>23.2</v>
      </c>
      <c r="Q46" s="3">
        <v>9.65</v>
      </c>
      <c r="R46" s="3"/>
      <c r="S46" s="3">
        <v>14.75</v>
      </c>
      <c r="T46" s="3">
        <v>12.5</v>
      </c>
      <c r="U46" s="3">
        <v>9.6</v>
      </c>
      <c r="V46" s="3"/>
      <c r="W46" s="3">
        <f t="shared" si="0"/>
        <v>390.26</v>
      </c>
    </row>
    <row r="47" spans="1:23">
      <c r="A47" s="1">
        <v>406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2.71</v>
      </c>
      <c r="N47" s="3">
        <v>12.63</v>
      </c>
      <c r="O47" s="3">
        <v>9.97</v>
      </c>
      <c r="P47" s="3">
        <v>6.06</v>
      </c>
      <c r="Q47" s="3">
        <v>2.81</v>
      </c>
      <c r="R47" s="3"/>
      <c r="S47" s="3">
        <v>2.72</v>
      </c>
      <c r="T47" s="3">
        <v>2.35</v>
      </c>
      <c r="U47" s="3">
        <v>3.79</v>
      </c>
      <c r="V47" s="3"/>
      <c r="W47" s="3">
        <f t="shared" si="0"/>
        <v>43.04</v>
      </c>
    </row>
    <row r="48" spans="1:23">
      <c r="A48" s="1">
        <v>2441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2.36</v>
      </c>
      <c r="N48" s="3">
        <v>4.86</v>
      </c>
      <c r="O48" s="3">
        <v>4.24</v>
      </c>
      <c r="P48" s="3">
        <v>3.4</v>
      </c>
      <c r="Q48" s="3"/>
      <c r="R48" s="3"/>
      <c r="S48" s="3">
        <v>2.1</v>
      </c>
      <c r="T48" s="3">
        <v>3.2</v>
      </c>
      <c r="U48" s="3"/>
      <c r="V48" s="3"/>
      <c r="W48" s="3">
        <f t="shared" si="0"/>
        <v>20.16</v>
      </c>
    </row>
    <row r="49" spans="1:23">
      <c r="A49" s="1">
        <v>982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19.48</v>
      </c>
      <c r="N49" s="3">
        <f>19.9+1.63</f>
        <v>21.53</v>
      </c>
      <c r="O49" s="3"/>
      <c r="P49" s="3">
        <v>2.48</v>
      </c>
      <c r="Q49" s="3"/>
      <c r="R49" s="3"/>
      <c r="S49" s="3"/>
      <c r="T49" s="3"/>
      <c r="U49" s="3"/>
      <c r="V49" s="3"/>
      <c r="W49" s="3">
        <f t="shared" si="0"/>
        <v>43.49</v>
      </c>
    </row>
    <row r="50" spans="1:23">
      <c r="A50" s="1">
        <v>968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5.31</v>
      </c>
      <c r="N50" s="3">
        <v>5.81</v>
      </c>
      <c r="O50" s="3">
        <v>4.46</v>
      </c>
      <c r="P50" s="3">
        <v>2.29</v>
      </c>
      <c r="Q50" s="3">
        <v>2.75</v>
      </c>
      <c r="R50" s="3"/>
      <c r="S50" s="3"/>
      <c r="T50" s="3"/>
      <c r="U50" s="3"/>
      <c r="V50" s="3"/>
      <c r="W50" s="3">
        <f t="shared" si="0"/>
        <v>20.62</v>
      </c>
    </row>
    <row r="51" spans="1:23">
      <c r="A51" s="1">
        <v>2192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6.75</v>
      </c>
      <c r="N51" s="3">
        <v>11.16</v>
      </c>
      <c r="O51" s="3">
        <v>19.87</v>
      </c>
      <c r="P51" s="3">
        <v>18.09</v>
      </c>
      <c r="Q51" s="3">
        <v>9.99</v>
      </c>
      <c r="R51" s="3"/>
      <c r="S51" s="3"/>
      <c r="T51" s="3">
        <v>1.19</v>
      </c>
      <c r="U51" s="3">
        <v>8.08</v>
      </c>
      <c r="V51" s="3"/>
      <c r="W51" s="3">
        <f t="shared" si="0"/>
        <v>75.13</v>
      </c>
    </row>
    <row r="52" spans="1:23">
      <c r="A52" s="1">
        <v>1249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f>20.51+22.13+19.87+3.07</f>
        <v>65.58</v>
      </c>
      <c r="N52" s="3">
        <f>19.94+16.69+18.5+12.67</f>
        <v>67.8</v>
      </c>
      <c r="O52" s="3">
        <f>17.49+8.04</f>
        <v>25.53</v>
      </c>
      <c r="P52" s="3">
        <f>20.07+6.93</f>
        <v>27</v>
      </c>
      <c r="Q52" s="3">
        <f>17.1+4.1</f>
        <v>21.2</v>
      </c>
      <c r="R52" s="3"/>
      <c r="S52" s="3">
        <v>2.93</v>
      </c>
      <c r="T52" s="3">
        <v>8.8</v>
      </c>
      <c r="U52" s="3">
        <v>1.38</v>
      </c>
      <c r="V52" s="3"/>
      <c r="W52" s="3">
        <f t="shared" si="0"/>
        <v>220.22</v>
      </c>
    </row>
    <row r="53" spans="1:23">
      <c r="A53" s="1">
        <v>4005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f>17.77+18.22+9.87</f>
        <v>45.86</v>
      </c>
      <c r="N53" s="3">
        <f>17.48+16.74+24.24+18.38+14.93</f>
        <v>91.77</v>
      </c>
      <c r="O53" s="3">
        <f>17.32+21.18</f>
        <v>38.5</v>
      </c>
      <c r="P53" s="3">
        <v>11.75</v>
      </c>
      <c r="Q53" s="3">
        <v>8.3</v>
      </c>
      <c r="R53" s="3"/>
      <c r="S53" s="3">
        <v>18.7</v>
      </c>
      <c r="T53" s="3">
        <v>1.55</v>
      </c>
      <c r="U53" s="3">
        <v>3.23</v>
      </c>
      <c r="V53" s="3"/>
      <c r="W53" s="3">
        <f t="shared" si="0"/>
        <v>219.66</v>
      </c>
    </row>
    <row r="54" spans="1:23">
      <c r="A54" s="1">
        <v>672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f>24.83+16.32+2.87</f>
        <v>44.02</v>
      </c>
      <c r="N54" s="3">
        <f>21.46+16.77+16.32+20.26+19.37+21.62+17.73+16.93+20.03+1.77</f>
        <v>172.26</v>
      </c>
      <c r="O54" s="3">
        <f>16.99+23.95+17.44+17.44+15.48+3.09</f>
        <v>94.39</v>
      </c>
      <c r="P54" s="3">
        <f>16.66+14.08+15.09+8.53</f>
        <v>54.36</v>
      </c>
      <c r="Q54" s="3">
        <f>16.09+15.54+1.87</f>
        <v>33.5</v>
      </c>
      <c r="R54" s="3"/>
      <c r="S54" s="3"/>
      <c r="T54" s="3">
        <f>14.3+18.37+19.68+1.32</f>
        <v>53.67</v>
      </c>
      <c r="U54" s="3">
        <f>14.68+25.55</f>
        <v>40.23</v>
      </c>
      <c r="V54" s="3"/>
      <c r="W54" s="3">
        <f t="shared" si="0"/>
        <v>492.43</v>
      </c>
    </row>
    <row r="55" spans="1:23">
      <c r="A55" s="1">
        <v>361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2.88</v>
      </c>
      <c r="N55" s="3">
        <v>6.84</v>
      </c>
      <c r="O55" s="3">
        <v>8.45</v>
      </c>
      <c r="P55" s="3">
        <v>5.54</v>
      </c>
      <c r="Q55" s="3"/>
      <c r="R55" s="3"/>
      <c r="S55" s="3"/>
      <c r="T55" s="3"/>
      <c r="U55" s="3"/>
      <c r="V55" s="3"/>
      <c r="W55" s="3">
        <f t="shared" si="0"/>
        <v>23.71</v>
      </c>
    </row>
    <row r="56" spans="1:23">
      <c r="A56" s="1">
        <v>1457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7.37</v>
      </c>
      <c r="N56" s="3">
        <v>1.6</v>
      </c>
      <c r="O56" s="3">
        <v>1.43</v>
      </c>
      <c r="P56" s="3"/>
      <c r="Q56" s="3"/>
      <c r="R56" s="3"/>
      <c r="S56" s="3"/>
      <c r="T56" s="3"/>
      <c r="U56" s="3">
        <v>0.79</v>
      </c>
      <c r="V56" s="3"/>
      <c r="W56" s="3">
        <f t="shared" si="0"/>
        <v>11.19</v>
      </c>
    </row>
    <row r="57" spans="1:23">
      <c r="A57" s="1">
        <v>999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f>19.76+19.04+22.55+2.73</f>
        <v>64.08</v>
      </c>
      <c r="N57" s="3">
        <f>22.01+18.38+15.93+9.81</f>
        <v>66.13</v>
      </c>
      <c r="O57" s="3">
        <v>8.71</v>
      </c>
      <c r="P57" s="3">
        <v>7.25</v>
      </c>
      <c r="Q57" s="3">
        <v>1.84</v>
      </c>
      <c r="R57" s="3"/>
      <c r="S57" s="3"/>
      <c r="T57" s="3">
        <v>8.47</v>
      </c>
      <c r="U57" s="3"/>
      <c r="V57" s="3"/>
      <c r="W57" s="3">
        <f t="shared" si="0"/>
        <v>156.48</v>
      </c>
    </row>
    <row r="58" spans="1:23">
      <c r="A58" s="1">
        <v>260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f>21.21+19.57+13.44</f>
        <v>54.22</v>
      </c>
      <c r="N58" s="3">
        <f>20.45+27.97+19.63+18.11+17.64+19.8+3.53</f>
        <v>127.13</v>
      </c>
      <c r="O58" s="3">
        <f>17.17+17.74+14.7</f>
        <v>49.61</v>
      </c>
      <c r="P58" s="3">
        <f>17.22+5.71</f>
        <v>22.93</v>
      </c>
      <c r="Q58" s="3">
        <v>3.78</v>
      </c>
      <c r="R58" s="3"/>
      <c r="S58" s="3">
        <v>12.82</v>
      </c>
      <c r="T58" s="3">
        <v>12.28</v>
      </c>
      <c r="U58" s="3">
        <v>7.94</v>
      </c>
      <c r="V58" s="3"/>
      <c r="W58" s="3">
        <f t="shared" si="0"/>
        <v>290.71</v>
      </c>
    </row>
    <row r="59" spans="1:23">
      <c r="A59" s="1">
        <v>231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4.82</v>
      </c>
      <c r="N59" s="3">
        <v>9.13</v>
      </c>
      <c r="O59" s="3">
        <v>5.61</v>
      </c>
      <c r="P59" s="3">
        <v>1.2</v>
      </c>
      <c r="Q59" s="3"/>
      <c r="R59" s="3"/>
      <c r="S59" s="3"/>
      <c r="T59" s="3"/>
      <c r="U59" s="3"/>
      <c r="V59" s="3"/>
      <c r="W59" s="3">
        <f t="shared" si="0"/>
        <v>20.76</v>
      </c>
    </row>
    <row r="60" spans="1:23">
      <c r="A60" s="1">
        <v>689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16.89</v>
      </c>
      <c r="N60" s="3">
        <f>20.91+1.95</f>
        <v>22.86</v>
      </c>
      <c r="O60" s="3">
        <v>21</v>
      </c>
      <c r="P60" s="3">
        <v>4.54</v>
      </c>
      <c r="Q60" s="3"/>
      <c r="R60" s="3"/>
      <c r="S60" s="3">
        <v>2.18</v>
      </c>
      <c r="T60" s="3"/>
      <c r="U60" s="3"/>
      <c r="V60" s="3"/>
      <c r="W60" s="3">
        <f t="shared" si="0"/>
        <v>67.47</v>
      </c>
    </row>
    <row r="61" spans="1:23">
      <c r="A61" s="1">
        <v>309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f>18.43+13.34+15.6</f>
        <v>47.37</v>
      </c>
      <c r="N61" s="3">
        <f>19.76+17.76+17.4+17.66+17.89+18.72+10.03</f>
        <v>119.22</v>
      </c>
      <c r="O61" s="3">
        <f>18.27+14.8+13.98</f>
        <v>47.05</v>
      </c>
      <c r="P61" s="3">
        <f>16.99+14.73+4.77</f>
        <v>36.49</v>
      </c>
      <c r="Q61" s="3">
        <v>2.88</v>
      </c>
      <c r="R61" s="3"/>
      <c r="S61" s="3">
        <f>19.26+6.04</f>
        <v>25.3</v>
      </c>
      <c r="T61" s="3">
        <f>17.39+4.8</f>
        <v>22.19</v>
      </c>
      <c r="U61" s="3">
        <v>4.27</v>
      </c>
      <c r="V61" s="3"/>
      <c r="W61" s="3">
        <f t="shared" si="0"/>
        <v>304.77</v>
      </c>
    </row>
    <row r="62" spans="1:23">
      <c r="A62" s="1">
        <v>2782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10.16</v>
      </c>
      <c r="N62" s="3">
        <f>20.76+16.6+7.22</f>
        <v>44.58</v>
      </c>
      <c r="O62" s="3">
        <v>8.57</v>
      </c>
      <c r="P62" s="3">
        <v>2.42</v>
      </c>
      <c r="Q62" s="3">
        <v>0.84</v>
      </c>
      <c r="R62" s="3"/>
      <c r="S62" s="3"/>
      <c r="T62" s="3"/>
      <c r="U62" s="3"/>
      <c r="V62" s="3"/>
      <c r="W62" s="3">
        <f t="shared" si="0"/>
        <v>66.57</v>
      </c>
    </row>
    <row r="63" spans="1:23">
      <c r="A63" s="1">
        <v>478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21.16+25.01+16.29+9.14</f>
        <v>71.6</v>
      </c>
      <c r="N63" s="3">
        <f>18.84+17.13+23.75+16.81+19+24.83+17.45+17.15+20.2</f>
        <v>175.16</v>
      </c>
      <c r="O63" s="3">
        <f>15.03+18.67+18.45+17.35+13.19</f>
        <v>82.69</v>
      </c>
      <c r="P63" s="3">
        <f>16.97+19.18+15.88+16.76+3.64</f>
        <v>72.43</v>
      </c>
      <c r="Q63" s="3">
        <f>12.08+6.73</f>
        <v>18.81</v>
      </c>
      <c r="R63" s="3"/>
      <c r="S63" s="3">
        <v>2.79</v>
      </c>
      <c r="T63" s="3">
        <v>13.27</v>
      </c>
      <c r="U63" s="3">
        <f>16.73+1.27</f>
        <v>18</v>
      </c>
      <c r="V63" s="3"/>
      <c r="W63" s="3">
        <f t="shared" si="0"/>
        <v>454.75</v>
      </c>
    </row>
    <row r="64" spans="1:23">
      <c r="A64" s="1">
        <v>4005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17.38+17.35+15.53</f>
        <v>50.26</v>
      </c>
      <c r="N64" s="3">
        <f>19.63+19.77+20.43+20.87+10.17</f>
        <v>90.87</v>
      </c>
      <c r="O64" s="3">
        <v>20.22</v>
      </c>
      <c r="P64" s="3">
        <v>7.9</v>
      </c>
      <c r="Q64" s="3">
        <v>1.64</v>
      </c>
      <c r="R64" s="3"/>
      <c r="S64" s="3">
        <v>12.75</v>
      </c>
      <c r="T64" s="3">
        <v>10.2</v>
      </c>
      <c r="U64" s="3">
        <v>2.52</v>
      </c>
      <c r="V64" s="3"/>
      <c r="W64" s="3">
        <f t="shared" si="0"/>
        <v>196.36</v>
      </c>
    </row>
    <row r="65" spans="1:23">
      <c r="A65" s="1">
        <v>1030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11.73</v>
      </c>
      <c r="N65" s="3">
        <v>3.56</v>
      </c>
      <c r="O65" s="3">
        <v>4.4</v>
      </c>
      <c r="P65" s="3">
        <v>4.29</v>
      </c>
      <c r="Q65" s="3"/>
      <c r="R65" s="3"/>
      <c r="S65" s="3"/>
      <c r="T65" s="3">
        <v>2.66</v>
      </c>
      <c r="U65" s="3"/>
      <c r="V65" s="3"/>
      <c r="W65" s="3">
        <f t="shared" si="0"/>
        <v>26.64</v>
      </c>
    </row>
    <row r="66" spans="1:23">
      <c r="A66" s="1">
        <v>2495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f>8.89+17.89</f>
        <v>26.78</v>
      </c>
      <c r="N66" s="3">
        <f>15.97+15.97+19.83</f>
        <v>51.77</v>
      </c>
      <c r="O66" s="3">
        <f>17.51+8.58</f>
        <v>26.09</v>
      </c>
      <c r="P66" s="3">
        <f>13.71+3.4</f>
        <v>17.11</v>
      </c>
      <c r="Q66" s="3"/>
      <c r="R66" s="3"/>
      <c r="S66" s="3"/>
      <c r="T66" s="3">
        <v>9.16</v>
      </c>
      <c r="U66" s="3">
        <v>2.88</v>
      </c>
      <c r="V66" s="3"/>
      <c r="W66" s="3">
        <f t="shared" si="0"/>
        <v>133.79</v>
      </c>
    </row>
    <row r="67" spans="1:23">
      <c r="A67" s="1">
        <v>345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>14.93+4.17</f>
        <v>19.1</v>
      </c>
      <c r="N67" s="3">
        <v>1.69</v>
      </c>
      <c r="O67" s="3">
        <v>1.4</v>
      </c>
      <c r="P67" s="3">
        <f>2.33+2.06</f>
        <v>4.39</v>
      </c>
      <c r="Q67" s="3"/>
      <c r="R67" s="3"/>
      <c r="S67" s="3">
        <v>3.56</v>
      </c>
      <c r="T67" s="3"/>
      <c r="U67" s="3"/>
      <c r="V67" s="3"/>
      <c r="W67" s="3">
        <f t="shared" si="0"/>
        <v>30.14</v>
      </c>
    </row>
    <row r="68" spans="1:23">
      <c r="A68" s="1">
        <v>1791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f>16.9+21.45+4.87</f>
        <v>43.22</v>
      </c>
      <c r="N68" s="3">
        <f>17.76+20.68+16.79+18.09+19.05+9.71</f>
        <v>102.08</v>
      </c>
      <c r="O68" s="3">
        <f>18.82+17.76+18.03</f>
        <v>54.61</v>
      </c>
      <c r="P68" s="3">
        <f>21.83+17.3+20.96+16.04</f>
        <v>76.13</v>
      </c>
      <c r="Q68" s="3">
        <f>18.59+6.65</f>
        <v>25.24</v>
      </c>
      <c r="R68" s="3"/>
      <c r="S68" s="3">
        <v>10.53</v>
      </c>
      <c r="T68" s="3">
        <f>23.123+19.63</f>
        <v>42.753</v>
      </c>
      <c r="U68" s="3">
        <f>16.38+11.83</f>
        <v>28.21</v>
      </c>
      <c r="V68" s="3"/>
      <c r="W68" s="3">
        <f t="shared" ref="W68:W131" si="1">SUM(C68:V68)</f>
        <v>382.773</v>
      </c>
    </row>
    <row r="69" spans="1:23">
      <c r="A69" s="1">
        <v>309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f>12.59+18.1+16.57+22.41+21.76+14.69+29.67</f>
        <v>135.79</v>
      </c>
      <c r="N69" s="3">
        <f>22.97+19.26+20.71+20.45+17.74+15.58+26.18+22.41+16.57+18.1+12.59</f>
        <v>212.56</v>
      </c>
      <c r="O69" s="3">
        <f>18.06+19.77+12.84</f>
        <v>50.67</v>
      </c>
      <c r="P69" s="3">
        <f>26.1+11.33</f>
        <v>37.43</v>
      </c>
      <c r="Q69" s="3">
        <v>11.76</v>
      </c>
      <c r="R69" s="3"/>
      <c r="S69" s="3">
        <f>23.35+4.89</f>
        <v>28.24</v>
      </c>
      <c r="T69" s="3">
        <f>17.06+1.35</f>
        <v>18.41</v>
      </c>
      <c r="U69" s="3">
        <v>4.72</v>
      </c>
      <c r="V69" s="3"/>
      <c r="W69" s="3">
        <f t="shared" si="1"/>
        <v>499.58</v>
      </c>
    </row>
    <row r="70" spans="1:23">
      <c r="A70" s="1">
        <v>2358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v>4.66</v>
      </c>
      <c r="N70" s="3">
        <v>14.84</v>
      </c>
      <c r="O70" s="3">
        <v>3.1</v>
      </c>
      <c r="P70" s="3">
        <v>3.3</v>
      </c>
      <c r="Q70" s="3">
        <v>0.99</v>
      </c>
      <c r="R70" s="3"/>
      <c r="S70" s="3"/>
      <c r="T70" s="3">
        <v>5.92</v>
      </c>
      <c r="U70" s="3"/>
      <c r="V70" s="3"/>
      <c r="W70" s="3">
        <f t="shared" si="1"/>
        <v>32.81</v>
      </c>
    </row>
    <row r="71" spans="1:23">
      <c r="A71" s="1">
        <v>979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>
        <v>5.64</v>
      </c>
      <c r="N71" s="3">
        <v>3.92</v>
      </c>
      <c r="O71" s="3">
        <v>1.25</v>
      </c>
      <c r="P71" s="3"/>
      <c r="Q71" s="3"/>
      <c r="R71" s="3"/>
      <c r="S71" s="3"/>
      <c r="T71" s="3"/>
      <c r="U71" s="3"/>
      <c r="V71" s="3"/>
      <c r="W71" s="3">
        <f t="shared" si="1"/>
        <v>10.81</v>
      </c>
    </row>
    <row r="72" spans="1:23">
      <c r="A72" s="1">
        <v>1795</v>
      </c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f>17.02+4.99</f>
        <v>22.01</v>
      </c>
      <c r="N72" s="3">
        <f>17.55+18.28+3.42</f>
        <v>39.25</v>
      </c>
      <c r="O72" s="3">
        <v>14.91</v>
      </c>
      <c r="P72" s="3">
        <v>12.73</v>
      </c>
      <c r="Q72" s="3">
        <v>5.3</v>
      </c>
      <c r="R72" s="3"/>
      <c r="S72" s="3">
        <v>2.76</v>
      </c>
      <c r="T72" s="3">
        <v>7.48</v>
      </c>
      <c r="U72" s="3">
        <v>8.75</v>
      </c>
      <c r="V72" s="3"/>
      <c r="W72" s="3">
        <f t="shared" si="1"/>
        <v>113.19</v>
      </c>
    </row>
    <row r="73" spans="1:23">
      <c r="A73" s="1">
        <v>1745</v>
      </c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>
        <v>4.44</v>
      </c>
      <c r="N73" s="3">
        <v>5.28</v>
      </c>
      <c r="O73" s="3">
        <v>2.62</v>
      </c>
      <c r="P73" s="3">
        <v>3.39</v>
      </c>
      <c r="Q73" s="3">
        <v>1.74</v>
      </c>
      <c r="R73" s="3"/>
      <c r="S73" s="3">
        <v>4.46</v>
      </c>
      <c r="T73" s="3"/>
      <c r="U73" s="3">
        <v>0.9</v>
      </c>
      <c r="V73" s="3"/>
      <c r="W73" s="3">
        <f t="shared" si="1"/>
        <v>22.83</v>
      </c>
    </row>
    <row r="74" spans="1:23">
      <c r="A74" s="1">
        <v>641</v>
      </c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f>20.39+16.12+18.79+17.67</f>
        <v>72.97</v>
      </c>
      <c r="N74" s="3">
        <f>21.53+22.98+20.14+25.08+15.74+20+18.91+25.25+18.62+17.06+3.79</f>
        <v>209.1</v>
      </c>
      <c r="O74" s="3">
        <f>17.61+21.04+20.47+16.16+19.17+16.68+13.38</f>
        <v>124.51</v>
      </c>
      <c r="P74" s="3">
        <f>19.61+17.67+15.45+23.64</f>
        <v>76.37</v>
      </c>
      <c r="Q74" s="3">
        <f>13.68+6.74</f>
        <v>20.42</v>
      </c>
      <c r="R74" s="3"/>
      <c r="S74" s="3">
        <f>21.9+19.18+2.07</f>
        <v>43.15</v>
      </c>
      <c r="T74" s="3">
        <f>19.64+16.62+15.58+20.8+20.47+19.94</f>
        <v>113.05</v>
      </c>
      <c r="U74" s="3">
        <f>14.83+18.88+13.75</f>
        <v>47.46</v>
      </c>
      <c r="V74" s="3"/>
      <c r="W74" s="3">
        <f t="shared" si="1"/>
        <v>707.03</v>
      </c>
    </row>
    <row r="75" spans="1:23">
      <c r="A75" s="1">
        <v>1030</v>
      </c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>
        <f>4.47+5.47</f>
        <v>9.94</v>
      </c>
      <c r="N75" s="3">
        <v>11.42</v>
      </c>
      <c r="O75" s="3">
        <f>4.29+1.26</f>
        <v>5.55</v>
      </c>
      <c r="P75" s="3"/>
      <c r="Q75" s="3"/>
      <c r="R75" s="3"/>
      <c r="S75" s="3"/>
      <c r="T75" s="3">
        <v>2.97</v>
      </c>
      <c r="U75" s="3">
        <v>0.98</v>
      </c>
      <c r="V75" s="3"/>
      <c r="W75" s="3">
        <f t="shared" si="1"/>
        <v>30.86</v>
      </c>
    </row>
    <row r="76" spans="1:23">
      <c r="A76" s="1">
        <v>444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>
        <f>21+18.76+27.66</f>
        <v>67.42</v>
      </c>
      <c r="N76" s="3">
        <f>26.4+21.64+25.27</f>
        <v>73.31</v>
      </c>
      <c r="O76" s="3">
        <v>12.19</v>
      </c>
      <c r="P76" s="3">
        <v>9.7</v>
      </c>
      <c r="Q76" s="3"/>
      <c r="R76" s="3"/>
      <c r="S76" s="3">
        <v>23.15</v>
      </c>
      <c r="T76" s="3">
        <v>13.81</v>
      </c>
      <c r="U76" s="3">
        <v>1.56</v>
      </c>
      <c r="V76" s="3"/>
      <c r="W76" s="3">
        <f t="shared" si="1"/>
        <v>201.14</v>
      </c>
    </row>
    <row r="77" spans="1:23">
      <c r="A77" s="1">
        <v>285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>
        <v>10.89</v>
      </c>
      <c r="N77" s="3"/>
      <c r="O77" s="3">
        <f>1.46+4.36</f>
        <v>5.82</v>
      </c>
      <c r="P77" s="3"/>
      <c r="Q77" s="3">
        <v>0.79</v>
      </c>
      <c r="R77" s="3"/>
      <c r="S77" s="3"/>
      <c r="T77" s="3"/>
      <c r="U77" s="3"/>
      <c r="V77" s="3"/>
      <c r="W77" s="3">
        <f t="shared" si="1"/>
        <v>17.5</v>
      </c>
    </row>
    <row r="78" spans="1:23">
      <c r="A78" s="1">
        <v>326</v>
      </c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>
        <v>7.06</v>
      </c>
      <c r="O78" s="3"/>
      <c r="P78" s="3">
        <f>2.22+10.19</f>
        <v>12.41</v>
      </c>
      <c r="Q78" s="3">
        <v>0.82</v>
      </c>
      <c r="R78" s="3"/>
      <c r="S78" s="3"/>
      <c r="T78" s="3">
        <v>2.99</v>
      </c>
      <c r="U78" s="3"/>
      <c r="V78" s="3"/>
      <c r="W78" s="3">
        <f t="shared" si="1"/>
        <v>23.28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1895.85</v>
      </c>
      <c r="N349" s="4">
        <f t="shared" si="6"/>
        <v>3162.87</v>
      </c>
      <c r="O349" s="4">
        <f t="shared" si="6"/>
        <v>1386.75</v>
      </c>
      <c r="P349" s="4">
        <f t="shared" si="6"/>
        <v>1014.36</v>
      </c>
      <c r="Q349" s="4">
        <f t="shared" si="6"/>
        <v>305.73</v>
      </c>
      <c r="R349" s="4">
        <f t="shared" si="6"/>
        <v>0</v>
      </c>
      <c r="S349" s="4">
        <f t="shared" si="6"/>
        <v>674.08</v>
      </c>
      <c r="T349" s="4">
        <f t="shared" si="6"/>
        <v>1372.933</v>
      </c>
      <c r="U349" s="4">
        <f t="shared" si="6"/>
        <v>586.14</v>
      </c>
      <c r="V349" s="4">
        <f t="shared" si="6"/>
        <v>0</v>
      </c>
      <c r="W349" s="4">
        <f>SUM(W2:W348)</f>
        <v>10398.713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1002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9.7</v>
      </c>
      <c r="N2" s="3">
        <v>1.87</v>
      </c>
      <c r="O2" s="3">
        <v>2.75</v>
      </c>
      <c r="P2" s="3">
        <v>1.09</v>
      </c>
      <c r="Q2" s="3"/>
      <c r="R2" s="3"/>
      <c r="S2" s="3"/>
      <c r="T2" s="3"/>
      <c r="U2" s="3"/>
      <c r="V2" s="3"/>
      <c r="W2" s="3">
        <f t="shared" ref="W2:W67" si="0">SUM(C2:V2)</f>
        <v>15.41</v>
      </c>
    </row>
    <row r="3" spans="1:23">
      <c r="A3" s="1">
        <v>919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>
        <v>3.88</v>
      </c>
      <c r="O3" s="3"/>
      <c r="P3" s="3"/>
      <c r="Q3" s="3"/>
      <c r="R3" s="3"/>
      <c r="S3" s="3"/>
      <c r="T3" s="3"/>
      <c r="U3" s="3"/>
      <c r="V3" s="3"/>
      <c r="W3" s="3">
        <f t="shared" si="0"/>
        <v>3.88</v>
      </c>
    </row>
    <row r="4" spans="1:23">
      <c r="A4" s="1">
        <v>880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12.29</v>
      </c>
      <c r="N4" s="3">
        <v>3.93</v>
      </c>
      <c r="O4" s="3"/>
      <c r="P4" s="3"/>
      <c r="Q4" s="3"/>
      <c r="R4" s="3"/>
      <c r="S4" s="3"/>
      <c r="T4" s="3"/>
      <c r="U4" s="3"/>
      <c r="V4" s="3"/>
      <c r="W4" s="3">
        <f t="shared" si="0"/>
        <v>16.22</v>
      </c>
    </row>
    <row r="5" spans="1:23">
      <c r="A5" s="1">
        <v>997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>
        <v>6.94</v>
      </c>
      <c r="O5" s="3">
        <v>1.41</v>
      </c>
      <c r="P5" s="3">
        <v>7.24</v>
      </c>
      <c r="Q5" s="3">
        <v>5.09</v>
      </c>
      <c r="R5" s="3"/>
      <c r="S5" s="3"/>
      <c r="T5" s="3"/>
      <c r="U5" s="3">
        <v>3.04</v>
      </c>
      <c r="V5" s="3"/>
      <c r="W5" s="3">
        <f t="shared" si="0"/>
        <v>23.72</v>
      </c>
    </row>
    <row r="6" spans="1:23">
      <c r="A6" s="1">
        <v>689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12.86</v>
      </c>
      <c r="N6" s="3">
        <v>20.76</v>
      </c>
      <c r="O6" s="3">
        <v>5.72</v>
      </c>
      <c r="P6" s="3">
        <v>0.92</v>
      </c>
      <c r="Q6" s="3">
        <v>0.78</v>
      </c>
      <c r="R6" s="3"/>
      <c r="S6" s="3"/>
      <c r="T6" s="3"/>
      <c r="U6" s="3"/>
      <c r="V6" s="3"/>
      <c r="W6" s="3">
        <f t="shared" si="0"/>
        <v>41.04</v>
      </c>
    </row>
    <row r="7" spans="1:23">
      <c r="A7" s="1">
        <v>406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4.82</v>
      </c>
      <c r="N7" s="3">
        <v>8.81</v>
      </c>
      <c r="O7" s="3">
        <v>6.91</v>
      </c>
      <c r="P7" s="3">
        <v>3.24</v>
      </c>
      <c r="Q7" s="3">
        <v>3.39</v>
      </c>
      <c r="R7" s="3"/>
      <c r="S7" s="3"/>
      <c r="T7" s="3">
        <v>2.43</v>
      </c>
      <c r="U7" s="3">
        <v>1.3</v>
      </c>
      <c r="V7" s="3"/>
      <c r="W7" s="3">
        <f t="shared" si="0"/>
        <v>30.9</v>
      </c>
    </row>
    <row r="8" spans="1:23">
      <c r="A8" s="1">
        <v>996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19.3</v>
      </c>
      <c r="N8" s="3">
        <v>1.98</v>
      </c>
      <c r="O8" s="3"/>
      <c r="P8" s="3"/>
      <c r="Q8" s="3"/>
      <c r="R8" s="3"/>
      <c r="S8" s="3"/>
      <c r="T8" s="3"/>
      <c r="U8" s="3"/>
      <c r="V8" s="3"/>
      <c r="W8" s="3">
        <f t="shared" si="0"/>
        <v>21.28</v>
      </c>
    </row>
    <row r="9" spans="1:23">
      <c r="A9" s="1">
        <v>987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2.23</v>
      </c>
      <c r="N9" s="3">
        <v>7.31</v>
      </c>
      <c r="O9" s="3"/>
      <c r="P9" s="3"/>
      <c r="Q9" s="3"/>
      <c r="R9" s="3"/>
      <c r="S9" s="3"/>
      <c r="T9" s="3"/>
      <c r="U9" s="3"/>
      <c r="V9" s="3"/>
      <c r="W9" s="3">
        <f t="shared" si="0"/>
        <v>9.54</v>
      </c>
    </row>
    <row r="10" spans="1:23">
      <c r="A10" s="1">
        <v>2192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15.89</v>
      </c>
      <c r="N10" s="3">
        <f>13.15+15.11</f>
        <v>28.26</v>
      </c>
      <c r="O10" s="3">
        <v>11.1</v>
      </c>
      <c r="P10" s="3">
        <v>2.11</v>
      </c>
      <c r="Q10" s="3">
        <v>2.59</v>
      </c>
      <c r="R10" s="3"/>
      <c r="S10" s="3"/>
      <c r="T10" s="3"/>
      <c r="U10" s="3">
        <v>0.69</v>
      </c>
      <c r="V10" s="3"/>
      <c r="W10" s="3">
        <f t="shared" si="0"/>
        <v>60.64</v>
      </c>
    </row>
    <row r="11" spans="1:23">
      <c r="A11" s="1">
        <v>231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9.16</v>
      </c>
      <c r="N11" s="3">
        <v>12.3</v>
      </c>
      <c r="O11" s="3"/>
      <c r="P11" s="3"/>
      <c r="Q11" s="3"/>
      <c r="R11" s="3"/>
      <c r="S11" s="3"/>
      <c r="T11" s="3"/>
      <c r="U11" s="3"/>
      <c r="V11" s="3"/>
      <c r="W11" s="3">
        <f t="shared" si="0"/>
        <v>21.46</v>
      </c>
    </row>
    <row r="12" spans="1:23">
      <c r="A12" s="1">
        <v>2192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4.16</v>
      </c>
      <c r="N12" s="3">
        <f>12.05+13.93</f>
        <v>25.98</v>
      </c>
      <c r="O12" s="3"/>
      <c r="P12" s="3">
        <v>1.02</v>
      </c>
      <c r="Q12" s="3"/>
      <c r="R12" s="3"/>
      <c r="S12" s="3"/>
      <c r="T12" s="3"/>
      <c r="U12" s="3"/>
      <c r="V12" s="3"/>
      <c r="W12" s="3">
        <f t="shared" si="0"/>
        <v>31.16</v>
      </c>
    </row>
    <row r="13" spans="1:23">
      <c r="A13" s="1">
        <v>2198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>
        <v>6.1</v>
      </c>
      <c r="P13" s="3">
        <v>9.5</v>
      </c>
      <c r="Q13" s="3">
        <v>5.54</v>
      </c>
      <c r="R13" s="3"/>
      <c r="S13" s="3"/>
      <c r="T13" s="3"/>
      <c r="U13" s="3"/>
      <c r="V13" s="3"/>
      <c r="W13" s="3">
        <f t="shared" si="0"/>
        <v>21.14</v>
      </c>
    </row>
    <row r="14" spans="1:23">
      <c r="A14" s="1">
        <v>672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17.54+18.91+13.86+19.25+18.98+18.2+16.42+17.55+5.83</f>
        <v>146.54</v>
      </c>
      <c r="N14" s="3">
        <f>19.57+17.82+12.82+17.04+17.91+18.1+16.8+23.33+19.72+19.04+12.52+16.53+9.22</f>
        <v>220.42</v>
      </c>
      <c r="O14" s="3">
        <f>10.99+14.29+17.11</f>
        <v>42.39</v>
      </c>
      <c r="P14" s="3">
        <f>17.9+14.47+10.14+12.01</f>
        <v>54.52</v>
      </c>
      <c r="Q14" s="3">
        <f>11.56+6.54</f>
        <v>18.1</v>
      </c>
      <c r="R14" s="3"/>
      <c r="S14" s="3">
        <v>17.2</v>
      </c>
      <c r="T14" s="3">
        <v>13.39</v>
      </c>
      <c r="U14" s="3">
        <v>4.61</v>
      </c>
      <c r="V14" s="3"/>
      <c r="W14" s="3">
        <f t="shared" si="0"/>
        <v>517.17</v>
      </c>
    </row>
    <row r="15" spans="1:23">
      <c r="A15" s="1">
        <v>999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f>17.85+20.27+20.44</f>
        <v>58.56</v>
      </c>
      <c r="N15" s="3">
        <f>18.65+12.87</f>
        <v>31.52</v>
      </c>
      <c r="O15" s="3">
        <v>4.48</v>
      </c>
      <c r="P15" s="3">
        <v>3.42</v>
      </c>
      <c r="Q15" s="3"/>
      <c r="R15" s="3"/>
      <c r="S15" s="3">
        <v>3.64</v>
      </c>
      <c r="T15" s="3">
        <v>6.84</v>
      </c>
      <c r="U15" s="3"/>
      <c r="V15" s="3"/>
      <c r="W15" s="3">
        <f t="shared" si="0"/>
        <v>108.46</v>
      </c>
    </row>
    <row r="16" spans="1:23">
      <c r="A16" s="1">
        <v>1014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>
        <v>23.64</v>
      </c>
      <c r="U16" s="3"/>
      <c r="V16" s="3"/>
      <c r="W16" s="3">
        <f t="shared" si="0"/>
        <v>23.64</v>
      </c>
    </row>
    <row r="17" spans="1:23">
      <c r="A17" s="1">
        <v>1791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14.64+10.06</f>
        <v>24.7</v>
      </c>
      <c r="N17" s="3">
        <f>14.18+13.54+13.38+13.82+11.84+22.44+13.21+5.52</f>
        <v>107.93</v>
      </c>
      <c r="O17" s="3">
        <f>11.83+12.29+10.63+12.07+11.64+2.94</f>
        <v>61.4</v>
      </c>
      <c r="P17" s="3">
        <f>12.45+11.78+10.04+13.85+2.58</f>
        <v>50.7</v>
      </c>
      <c r="Q17" s="3">
        <f>12.04+1.89</f>
        <v>13.93</v>
      </c>
      <c r="R17" s="3"/>
      <c r="S17" s="3">
        <f>20.39+20.27+21.75+4.84</f>
        <v>67.25</v>
      </c>
      <c r="T17" s="3">
        <f>17.28+22.48+11.63+13.84+19.18+22.11+17.49+15.79+19.57+21.32</f>
        <v>180.69</v>
      </c>
      <c r="U17" s="3">
        <f>12.85+10.24+13.37</f>
        <v>36.46</v>
      </c>
      <c r="V17" s="3"/>
      <c r="W17" s="3">
        <f t="shared" si="0"/>
        <v>543.06</v>
      </c>
    </row>
    <row r="18" spans="1:23">
      <c r="A18" s="1">
        <v>1792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2.19</v>
      </c>
      <c r="N18" s="3">
        <f>17.52+1.63</f>
        <v>19.15</v>
      </c>
      <c r="O18" s="3">
        <v>15.41</v>
      </c>
      <c r="P18" s="3">
        <v>6.3</v>
      </c>
      <c r="Q18" s="3">
        <v>1.68</v>
      </c>
      <c r="R18" s="3"/>
      <c r="S18" s="3">
        <v>12.79</v>
      </c>
      <c r="T18" s="3">
        <f>18.71+12.85</f>
        <v>31.56</v>
      </c>
      <c r="U18" s="3">
        <v>8.69</v>
      </c>
      <c r="V18" s="3"/>
      <c r="W18" s="3">
        <f t="shared" si="0"/>
        <v>97.77</v>
      </c>
    </row>
    <row r="19" spans="1:23">
      <c r="A19" s="1">
        <v>2441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11.07</v>
      </c>
      <c r="N19" s="3">
        <v>1.64</v>
      </c>
      <c r="O19" s="3"/>
      <c r="P19" s="3"/>
      <c r="Q19" s="3"/>
      <c r="R19" s="3"/>
      <c r="S19" s="3">
        <v>11.39</v>
      </c>
      <c r="T19" s="3">
        <v>7.49</v>
      </c>
      <c r="U19" s="3">
        <v>0.9</v>
      </c>
      <c r="V19" s="3"/>
      <c r="W19" s="3">
        <f t="shared" si="0"/>
        <v>32.49</v>
      </c>
    </row>
    <row r="20" spans="1:23">
      <c r="A20" s="1">
        <v>478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7.29</v>
      </c>
      <c r="N20" s="3">
        <v>18.21</v>
      </c>
      <c r="O20" s="3">
        <v>17.04</v>
      </c>
      <c r="P20" s="3">
        <v>12.68</v>
      </c>
      <c r="Q20" s="3">
        <v>7.78</v>
      </c>
      <c r="R20" s="3"/>
      <c r="S20" s="3">
        <v>3.15</v>
      </c>
      <c r="T20" s="3">
        <f>24.26+21.55</f>
        <v>45.81</v>
      </c>
      <c r="U20" s="3">
        <v>12.3</v>
      </c>
      <c r="V20" s="3"/>
      <c r="W20" s="3">
        <f t="shared" si="0"/>
        <v>124.26</v>
      </c>
    </row>
    <row r="21" spans="1:23">
      <c r="A21" s="1">
        <v>1791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>
        <v>2.43</v>
      </c>
      <c r="T21" s="3">
        <f>15.97+17.66</f>
        <v>33.63</v>
      </c>
      <c r="U21" s="3">
        <v>9.08</v>
      </c>
      <c r="V21" s="3"/>
      <c r="W21" s="3">
        <f t="shared" si="0"/>
        <v>45.14</v>
      </c>
    </row>
    <row r="22" spans="1:23">
      <c r="A22" s="1">
        <v>1006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>
        <v>5.31</v>
      </c>
      <c r="O22" s="3">
        <v>1.51</v>
      </c>
      <c r="P22" s="3">
        <v>1.14</v>
      </c>
      <c r="Q22" s="3"/>
      <c r="R22" s="3"/>
      <c r="S22" s="3">
        <v>7.05</v>
      </c>
      <c r="T22" s="3">
        <v>19.97</v>
      </c>
      <c r="U22" s="3">
        <v>1.93</v>
      </c>
      <c r="V22" s="3"/>
      <c r="W22" s="3">
        <f t="shared" si="0"/>
        <v>36.91</v>
      </c>
    </row>
    <row r="23" spans="1:23">
      <c r="A23" s="1">
        <v>999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5.19</v>
      </c>
      <c r="N23" s="3">
        <v>5.96</v>
      </c>
      <c r="O23" s="3">
        <v>2.93</v>
      </c>
      <c r="P23" s="3">
        <v>1.24</v>
      </c>
      <c r="Q23" s="3"/>
      <c r="R23" s="3"/>
      <c r="S23" s="3"/>
      <c r="T23" s="3">
        <v>1.19</v>
      </c>
      <c r="U23" s="3">
        <v>0.97</v>
      </c>
      <c r="V23" s="3"/>
      <c r="W23" s="3">
        <f t="shared" si="0"/>
        <v>17.48</v>
      </c>
    </row>
    <row r="24" spans="1:23">
      <c r="A24" s="1">
        <v>1311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>
        <v>3.27</v>
      </c>
      <c r="O24" s="3">
        <v>2.96</v>
      </c>
      <c r="P24" s="3"/>
      <c r="Q24" s="3"/>
      <c r="R24" s="3"/>
      <c r="S24" s="3"/>
      <c r="T24" s="3">
        <v>5.97</v>
      </c>
      <c r="U24" s="3"/>
      <c r="V24" s="3"/>
      <c r="W24" s="3">
        <f t="shared" si="0"/>
        <v>12.2</v>
      </c>
    </row>
    <row r="25" spans="1:23">
      <c r="A25" s="1">
        <v>765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4.46</v>
      </c>
      <c r="N25" s="3">
        <v>7.23</v>
      </c>
      <c r="O25" s="3">
        <v>4.26</v>
      </c>
      <c r="P25" s="3">
        <v>4.8</v>
      </c>
      <c r="Q25" s="3">
        <v>2.82</v>
      </c>
      <c r="R25" s="3"/>
      <c r="S25" s="3">
        <v>2.43</v>
      </c>
      <c r="T25" s="3">
        <v>1.08</v>
      </c>
      <c r="U25" s="3">
        <v>2.42</v>
      </c>
      <c r="V25" s="3"/>
      <c r="W25" s="3">
        <f t="shared" si="0"/>
        <v>29.5</v>
      </c>
    </row>
    <row r="26" spans="1:23">
      <c r="A26" s="1">
        <v>1027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>
        <v>16.15</v>
      </c>
      <c r="O26" s="3">
        <v>4.39</v>
      </c>
      <c r="P26" s="3">
        <v>3.12</v>
      </c>
      <c r="Q26" s="3"/>
      <c r="R26" s="3"/>
      <c r="S26" s="3">
        <v>9.8</v>
      </c>
      <c r="T26" s="3"/>
      <c r="U26" s="3"/>
      <c r="V26" s="3"/>
      <c r="W26" s="3">
        <f t="shared" si="0"/>
        <v>33.46</v>
      </c>
    </row>
    <row r="27" spans="1:23">
      <c r="A27" s="1">
        <v>2161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19.58</v>
      </c>
      <c r="O27" s="3">
        <v>16.52</v>
      </c>
      <c r="P27" s="3">
        <v>7.59</v>
      </c>
      <c r="Q27" s="3"/>
      <c r="R27" s="3"/>
      <c r="S27" s="3">
        <v>9.34</v>
      </c>
      <c r="T27" s="3">
        <f>22.11+19.31+16.1+13.18</f>
        <v>70.7</v>
      </c>
      <c r="U27" s="3">
        <v>12.14</v>
      </c>
      <c r="V27" s="3"/>
      <c r="W27" s="3">
        <f t="shared" si="0"/>
        <v>135.87</v>
      </c>
    </row>
    <row r="28" spans="1:23">
      <c r="A28" s="1">
        <v>309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16.04+15.95+12.81</f>
        <v>44.8</v>
      </c>
      <c r="N28" s="3">
        <f>14.55+10.88+14.17+11.33+20.73+16.07+16.04+11.81+11.52+9.31</f>
        <v>136.41</v>
      </c>
      <c r="O28" s="3">
        <f>11.65+13.84+10.45+10.51</f>
        <v>46.45</v>
      </c>
      <c r="P28" s="3">
        <f>14.63+6.1</f>
        <v>20.73</v>
      </c>
      <c r="Q28" s="3">
        <v>2.55</v>
      </c>
      <c r="R28" s="3"/>
      <c r="S28" s="3">
        <f>23.2+19.55+16.69+15.34+25.38+14.28</f>
        <v>114.44</v>
      </c>
      <c r="T28" s="3">
        <f>17.46+17.74+19.75+19.6+14.42+15.24+19.83+22.94+11.38</f>
        <v>158.36</v>
      </c>
      <c r="U28" s="3">
        <f>10.39+12.81+8.88</f>
        <v>32.08</v>
      </c>
      <c r="V28" s="3"/>
      <c r="W28" s="3">
        <f t="shared" si="0"/>
        <v>555.82</v>
      </c>
    </row>
    <row r="29" spans="1:23">
      <c r="A29" s="1">
        <v>1791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7.38</v>
      </c>
      <c r="N29" s="3">
        <f>18.85+14.06+9.24</f>
        <v>42.15</v>
      </c>
      <c r="O29" s="3">
        <f>12.37+12.05+4.79</f>
        <v>29.21</v>
      </c>
      <c r="P29" s="3">
        <f>12.25+5.2</f>
        <v>17.45</v>
      </c>
      <c r="Q29" s="3">
        <v>1.83</v>
      </c>
      <c r="R29" s="3"/>
      <c r="S29" s="3">
        <f>21.01+6.77</f>
        <v>27.78</v>
      </c>
      <c r="T29" s="3">
        <f>15.13+23.6+20.56</f>
        <v>59.29</v>
      </c>
      <c r="U29" s="3">
        <v>9.58</v>
      </c>
      <c r="V29" s="3"/>
      <c r="W29" s="3">
        <f t="shared" si="0"/>
        <v>194.67</v>
      </c>
    </row>
    <row r="30" spans="1:23">
      <c r="A30" s="1">
        <v>4005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f>19.85+15.57+17.76+15.27+20.72+14.95</f>
        <v>104.12</v>
      </c>
      <c r="N30" s="3">
        <f>11.32+12.63+13.24+16.58+16.59+16.35+14.41+7.45</f>
        <v>108.57</v>
      </c>
      <c r="O30" s="3">
        <f>13.45+17.2+14.64+17.79+12.24+14.01+16.51+1.23</f>
        <v>107.07</v>
      </c>
      <c r="P30" s="3">
        <f>10.68+21.57+14.39+14.68</f>
        <v>61.32</v>
      </c>
      <c r="Q30" s="3">
        <v>20.96</v>
      </c>
      <c r="R30" s="3"/>
      <c r="S30" s="3">
        <v>9.15</v>
      </c>
      <c r="T30" s="3">
        <v>8.78</v>
      </c>
      <c r="U30" s="3">
        <v>2.43</v>
      </c>
      <c r="V30" s="3"/>
      <c r="W30" s="3">
        <f t="shared" si="0"/>
        <v>422.4</v>
      </c>
    </row>
    <row r="31" spans="1:23">
      <c r="A31" s="1">
        <v>1030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10.6</v>
      </c>
      <c r="N31" s="3">
        <v>14.56</v>
      </c>
      <c r="O31" s="3">
        <v>10.35</v>
      </c>
      <c r="P31" s="3">
        <v>7.2</v>
      </c>
      <c r="Q31" s="3"/>
      <c r="R31" s="3"/>
      <c r="S31" s="3"/>
      <c r="T31" s="3"/>
      <c r="U31" s="3"/>
      <c r="V31" s="3"/>
      <c r="W31" s="3">
        <f t="shared" si="0"/>
        <v>42.71</v>
      </c>
    </row>
    <row r="32" spans="1:23">
      <c r="A32" s="1">
        <v>1016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2.71</v>
      </c>
      <c r="N32" s="3">
        <v>1.65</v>
      </c>
      <c r="O32" s="3">
        <v>2.91</v>
      </c>
      <c r="P32" s="3">
        <v>1.12</v>
      </c>
      <c r="Q32" s="3"/>
      <c r="R32" s="3"/>
      <c r="S32" s="3"/>
      <c r="T32" s="3"/>
      <c r="U32" s="3"/>
      <c r="V32" s="3"/>
      <c r="W32" s="3">
        <f t="shared" si="0"/>
        <v>8.39</v>
      </c>
    </row>
    <row r="33" spans="1:23">
      <c r="A33" s="1">
        <v>361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4.91</v>
      </c>
      <c r="N33" s="3">
        <v>12.24</v>
      </c>
      <c r="O33" s="3"/>
      <c r="P33" s="3">
        <v>2.26</v>
      </c>
      <c r="Q33" s="3"/>
      <c r="R33" s="3"/>
      <c r="S33" s="3"/>
      <c r="T33" s="3"/>
      <c r="U33" s="3"/>
      <c r="V33" s="3"/>
      <c r="W33" s="3">
        <f t="shared" si="0"/>
        <v>19.41</v>
      </c>
    </row>
    <row r="34" spans="1:23">
      <c r="A34" s="1">
        <v>2443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19.52</v>
      </c>
      <c r="N34" s="3">
        <v>5.85</v>
      </c>
      <c r="O34" s="3">
        <v>1.57</v>
      </c>
      <c r="P34" s="3"/>
      <c r="Q34" s="3"/>
      <c r="R34" s="3"/>
      <c r="S34" s="3"/>
      <c r="T34" s="3"/>
      <c r="U34" s="3"/>
      <c r="V34" s="3"/>
      <c r="W34" s="3">
        <f t="shared" si="0"/>
        <v>26.94</v>
      </c>
    </row>
    <row r="35" spans="1:23">
      <c r="A35" s="1">
        <v>478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>17.98+20.82+20.75+21.95+19.47+20.63+19.9+19.78+20.54+12.84+2.3</f>
        <v>196.96</v>
      </c>
      <c r="N35" s="3">
        <f>17.7+15.05+16.78+14.24+15.38+14.62+17.99+28.24+15.39+20.72+18.38+18.73+14.27+1.82</f>
        <v>229.31</v>
      </c>
      <c r="O35" s="3">
        <f>13.82+18.3+13.46+12.89+16.22+15.77+14.74</f>
        <v>105.2</v>
      </c>
      <c r="P35" s="3">
        <f>12.64+11.31+12.84+12.24+12.95+26.47+12.43+13.56</f>
        <v>114.44</v>
      </c>
      <c r="Q35" s="3">
        <f>10.83+17.82+16.16+7.79</f>
        <v>52.6</v>
      </c>
      <c r="R35" s="3"/>
      <c r="S35" s="3">
        <v>20.86</v>
      </c>
      <c r="T35" s="3">
        <f>14.46+13.75</f>
        <v>28.21</v>
      </c>
      <c r="U35" s="3">
        <f>23.17+2.06</f>
        <v>25.23</v>
      </c>
      <c r="V35" s="3"/>
      <c r="W35" s="3">
        <f t="shared" si="0"/>
        <v>772.81</v>
      </c>
    </row>
    <row r="36" spans="1:23">
      <c r="A36" s="1">
        <v>260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>16.76+17.41+17.34+2.46</f>
        <v>53.97</v>
      </c>
      <c r="N36" s="3">
        <f>14.41+12.34+15.44+15.43+12.64+17.93+14.85+8.71</f>
        <v>111.75</v>
      </c>
      <c r="O36" s="3">
        <f>13.68+13.59+18.97</f>
        <v>46.24</v>
      </c>
      <c r="P36" s="3">
        <f>19.07+7.54</f>
        <v>26.61</v>
      </c>
      <c r="Q36" s="3">
        <v>7.58</v>
      </c>
      <c r="R36" s="3"/>
      <c r="S36" s="3">
        <v>10.09</v>
      </c>
      <c r="T36" s="3">
        <v>6.89</v>
      </c>
      <c r="U36" s="3">
        <v>2.21</v>
      </c>
      <c r="V36" s="3"/>
      <c r="W36" s="3">
        <f t="shared" si="0"/>
        <v>265.34</v>
      </c>
    </row>
    <row r="37" spans="1:23">
      <c r="A37" s="1">
        <v>2782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15.98</v>
      </c>
      <c r="N37" s="3">
        <f>21.91+10.53</f>
        <v>32.44</v>
      </c>
      <c r="O37" s="3">
        <f>1.37+5.6</f>
        <v>6.97</v>
      </c>
      <c r="P37" s="3"/>
      <c r="Q37" s="3"/>
      <c r="R37" s="3"/>
      <c r="S37" s="3"/>
      <c r="T37" s="3">
        <v>1.53</v>
      </c>
      <c r="U37" s="3"/>
      <c r="V37" s="3"/>
      <c r="W37" s="3">
        <f t="shared" si="0"/>
        <v>56.92</v>
      </c>
    </row>
    <row r="38" spans="1:23">
      <c r="A38" s="1">
        <v>285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4.95</v>
      </c>
      <c r="N38" s="3">
        <v>7.01</v>
      </c>
      <c r="O38" s="3"/>
      <c r="P38" s="3">
        <v>1.16</v>
      </c>
      <c r="Q38" s="3"/>
      <c r="R38" s="3"/>
      <c r="S38" s="3"/>
      <c r="T38" s="3"/>
      <c r="U38" s="3"/>
      <c r="V38" s="3"/>
      <c r="W38" s="3">
        <f t="shared" si="0"/>
        <v>13.12</v>
      </c>
    </row>
    <row r="39" spans="1:23">
      <c r="A39" s="1">
        <v>345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22.37</v>
      </c>
      <c r="N39" s="3">
        <v>4.69</v>
      </c>
      <c r="O39" s="3"/>
      <c r="P39" s="3"/>
      <c r="Q39" s="3">
        <v>1.49</v>
      </c>
      <c r="R39" s="3"/>
      <c r="S39" s="3"/>
      <c r="T39" s="3"/>
      <c r="U39" s="3"/>
      <c r="V39" s="3"/>
      <c r="W39" s="3">
        <f t="shared" si="0"/>
        <v>28.55</v>
      </c>
    </row>
    <row r="40" spans="1:23">
      <c r="A40" s="1">
        <v>309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19.39+18.22+18+14.8+15.03+19.43+17.52+17.17+16.1+19.13+16.24+11.96</f>
        <v>202.99</v>
      </c>
      <c r="N40" s="3">
        <f>22.3+15.05+15.7+14+14.3+20.53+12.65+16.96+17.24+19.03+20.22+17.76+12.05+13.11+12.31+12.89+18.03+7</f>
        <v>281.13</v>
      </c>
      <c r="O40" s="3">
        <f>14.98+12.04+14.3+18.87+16.3+12.99+16.15+4</f>
        <v>109.63</v>
      </c>
      <c r="P40" s="3">
        <f>12.99+11.74+16.11+12.7+14.26+5.7</f>
        <v>73.5</v>
      </c>
      <c r="Q40" s="3">
        <f>14.33+10.74</f>
        <v>25.07</v>
      </c>
      <c r="R40" s="3"/>
      <c r="S40" s="3">
        <f>27.89+17.58</f>
        <v>45.47</v>
      </c>
      <c r="T40" s="3">
        <f>16.83+13.57+19.31</f>
        <v>49.71</v>
      </c>
      <c r="U40" s="3">
        <v>11.74</v>
      </c>
      <c r="V40" s="3"/>
      <c r="W40" s="3">
        <f t="shared" si="0"/>
        <v>799.24</v>
      </c>
    </row>
    <row r="41" spans="1:23">
      <c r="A41" s="1">
        <v>904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9.24</v>
      </c>
      <c r="N41" s="3">
        <v>1.7</v>
      </c>
      <c r="O41" s="3">
        <v>1.4</v>
      </c>
      <c r="P41" s="3">
        <v>1.16</v>
      </c>
      <c r="Q41" s="3"/>
      <c r="R41" s="3"/>
      <c r="S41" s="3"/>
      <c r="T41" s="3"/>
      <c r="U41" s="3"/>
      <c r="V41" s="3"/>
      <c r="W41" s="3">
        <f t="shared" si="0"/>
        <v>13.5</v>
      </c>
    </row>
    <row r="42" spans="1:23">
      <c r="A42" s="1">
        <v>979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5.29</v>
      </c>
      <c r="N42" s="3">
        <v>6.52</v>
      </c>
      <c r="O42" s="3"/>
      <c r="P42" s="3"/>
      <c r="Q42" s="3"/>
      <c r="R42" s="3"/>
      <c r="S42" s="3"/>
      <c r="T42" s="3"/>
      <c r="U42" s="3"/>
      <c r="V42" s="3"/>
      <c r="W42" s="3">
        <f t="shared" si="0"/>
        <v>11.81</v>
      </c>
    </row>
    <row r="43" spans="1:23">
      <c r="A43" s="1">
        <v>1004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2.1</v>
      </c>
      <c r="N43" s="3"/>
      <c r="O43" s="3"/>
      <c r="P43" s="3"/>
      <c r="Q43" s="3"/>
      <c r="R43" s="3"/>
      <c r="S43" s="3">
        <v>4.3</v>
      </c>
      <c r="T43" s="3"/>
      <c r="U43" s="3"/>
      <c r="V43" s="3"/>
      <c r="W43" s="3">
        <f t="shared" si="0"/>
        <v>6.4</v>
      </c>
    </row>
    <row r="44" spans="1:23">
      <c r="A44" s="1">
        <v>1791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f>14.57+12.94+20.4+5.64</f>
        <v>53.55</v>
      </c>
      <c r="N44" s="3">
        <f>18.1+16.42+10.53+12.8+13.73+16.62+10.64</f>
        <v>98.84</v>
      </c>
      <c r="O44" s="3">
        <f>14.01+14.49+12.02+7.35</f>
        <v>47.87</v>
      </c>
      <c r="P44" s="3">
        <f>11.19+19.34+9.08</f>
        <v>39.61</v>
      </c>
      <c r="Q44" s="3">
        <f>13.2+16.2</f>
        <v>29.4</v>
      </c>
      <c r="R44" s="3"/>
      <c r="S44" s="3">
        <v>9.44</v>
      </c>
      <c r="T44" s="3">
        <v>23.27</v>
      </c>
      <c r="U44" s="3">
        <f>22.33+2.77</f>
        <v>25.1</v>
      </c>
      <c r="V44" s="3"/>
      <c r="W44" s="3">
        <f t="shared" si="0"/>
        <v>327.08</v>
      </c>
    </row>
    <row r="45" spans="1:23">
      <c r="A45" s="1">
        <v>1033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16.64+4.92</f>
        <v>21.56</v>
      </c>
      <c r="N45" s="3">
        <f>19.69+16.27+18.34+21.68+9.17</f>
        <v>85.15</v>
      </c>
      <c r="O45" s="3">
        <f>14.22+19.46+12.56</f>
        <v>46.24</v>
      </c>
      <c r="P45" s="3">
        <f>16.63+12.74+13.47</f>
        <v>42.84</v>
      </c>
      <c r="Q45" s="3">
        <f>12.53+5.01</f>
        <v>17.54</v>
      </c>
      <c r="R45" s="3"/>
      <c r="S45" s="3">
        <v>3.03</v>
      </c>
      <c r="T45" s="3">
        <v>5.29</v>
      </c>
      <c r="U45" s="3">
        <v>6.76</v>
      </c>
      <c r="V45" s="3"/>
      <c r="W45" s="3">
        <f t="shared" si="0"/>
        <v>228.41</v>
      </c>
    </row>
    <row r="46" spans="1:23">
      <c r="A46" s="1">
        <v>444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19.23</v>
      </c>
      <c r="N46" s="3">
        <f>12.43+10.4</f>
        <v>22.83</v>
      </c>
      <c r="O46" s="3">
        <v>4.4</v>
      </c>
      <c r="P46" s="3">
        <v>6.21</v>
      </c>
      <c r="Q46" s="3">
        <v>6.51</v>
      </c>
      <c r="R46" s="3"/>
      <c r="S46" s="3"/>
      <c r="T46" s="3">
        <v>10.04</v>
      </c>
      <c r="U46" s="3"/>
      <c r="V46" s="3"/>
      <c r="W46" s="3">
        <f t="shared" si="0"/>
        <v>69.22</v>
      </c>
    </row>
    <row r="47" spans="1:23">
      <c r="A47" s="1">
        <v>1031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24.02</v>
      </c>
      <c r="N47" s="3">
        <v>3.56</v>
      </c>
      <c r="O47" s="3"/>
      <c r="P47" s="3"/>
      <c r="Q47" s="3"/>
      <c r="R47" s="3"/>
      <c r="S47" s="3"/>
      <c r="T47" s="3"/>
      <c r="U47" s="3"/>
      <c r="V47" s="3"/>
      <c r="W47" s="3">
        <f t="shared" si="0"/>
        <v>27.58</v>
      </c>
    </row>
    <row r="48" spans="1:23">
      <c r="A48" s="1">
        <v>770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f>15.44+18.71+19.28+20.2+9.36</f>
        <v>82.99</v>
      </c>
      <c r="N48" s="3">
        <f>12.88+17.09+18.28+15.49+17.74</f>
        <v>81.48</v>
      </c>
      <c r="O48" s="3">
        <f>13.05+13.25+18.42+1.54</f>
        <v>46.26</v>
      </c>
      <c r="P48" s="3">
        <f>18.08+12.02</f>
        <v>30.1</v>
      </c>
      <c r="Q48" s="3">
        <v>6.15</v>
      </c>
      <c r="R48" s="3"/>
      <c r="S48" s="3">
        <v>9.57</v>
      </c>
      <c r="T48" s="3">
        <v>5.04</v>
      </c>
      <c r="U48" s="3">
        <v>4.28</v>
      </c>
      <c r="V48" s="3"/>
      <c r="W48" s="3">
        <f t="shared" si="0"/>
        <v>265.87</v>
      </c>
    </row>
    <row r="49" spans="1:23">
      <c r="A49" s="1">
        <v>1032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6.54</v>
      </c>
      <c r="N49" s="3">
        <v>9.25</v>
      </c>
      <c r="O49" s="3">
        <v>5.58</v>
      </c>
      <c r="P49" s="3">
        <v>8</v>
      </c>
      <c r="Q49" s="3">
        <v>4.61</v>
      </c>
      <c r="R49" s="3"/>
      <c r="S49" s="3"/>
      <c r="T49" s="3"/>
      <c r="U49" s="3">
        <v>1.35</v>
      </c>
      <c r="V49" s="3"/>
      <c r="W49" s="3">
        <f t="shared" si="0"/>
        <v>35.33</v>
      </c>
    </row>
    <row r="50" spans="1:23">
      <c r="A50" s="1">
        <v>1029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23.83+20.37+23.05+20.42+18.06</f>
        <v>105.73</v>
      </c>
      <c r="N50" s="3">
        <f>20.66+15.01+20.01+20.67+14.7+14.19+14.13</f>
        <v>119.37</v>
      </c>
      <c r="O50" s="3">
        <f>15.9+14.08+12.73</f>
        <v>42.71</v>
      </c>
      <c r="P50" s="3">
        <f>14.9+16.39+11+8.14</f>
        <v>50.43</v>
      </c>
      <c r="Q50" s="3">
        <f>9.75+18.01</f>
        <v>27.76</v>
      </c>
      <c r="R50" s="3"/>
      <c r="S50" s="3">
        <v>19.72</v>
      </c>
      <c r="T50" s="3">
        <v>3.06</v>
      </c>
      <c r="U50" s="3">
        <v>14.44</v>
      </c>
      <c r="V50" s="3"/>
      <c r="W50" s="3">
        <f t="shared" si="0"/>
        <v>383.22</v>
      </c>
    </row>
    <row r="51" spans="1:23">
      <c r="A51" s="1">
        <v>309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f>12.42+14.54+16.38+8.2</f>
        <v>51.54</v>
      </c>
      <c r="N51" s="3">
        <f>17+15.67+13.98+16.49+13.52+5.6</f>
        <v>82.26</v>
      </c>
      <c r="O51" s="3">
        <f>13.6+12.25+11.05</f>
        <v>36.9</v>
      </c>
      <c r="P51" s="3">
        <f>19.25+15.91+13.65</f>
        <v>48.81</v>
      </c>
      <c r="Q51" s="3">
        <f>11.03+5.81</f>
        <v>16.84</v>
      </c>
      <c r="R51" s="3"/>
      <c r="S51" s="3">
        <f>19.56+17.13+13.99+2.09</f>
        <v>52.77</v>
      </c>
      <c r="T51" s="3">
        <f>16.56+12.68+20.55+17.83+25.41+17.45+20.2+16.12+3.18</f>
        <v>149.98</v>
      </c>
      <c r="U51" s="3">
        <f>14.19+15.13+23.97</f>
        <v>53.29</v>
      </c>
      <c r="V51" s="3"/>
      <c r="W51" s="3">
        <f t="shared" si="0"/>
        <v>492.39</v>
      </c>
    </row>
    <row r="52" spans="1:23">
      <c r="A52" s="1">
        <v>2161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1.81</v>
      </c>
      <c r="O52" s="3">
        <v>1.46</v>
      </c>
      <c r="P52" s="3">
        <v>7.16</v>
      </c>
      <c r="Q52" s="3">
        <v>3.84</v>
      </c>
      <c r="R52" s="3"/>
      <c r="S52" s="3">
        <v>2.3</v>
      </c>
      <c r="T52" s="3">
        <v>11.82</v>
      </c>
      <c r="U52" s="3">
        <v>27.52</v>
      </c>
      <c r="V52" s="3"/>
      <c r="W52" s="3">
        <f t="shared" si="0"/>
        <v>55.91</v>
      </c>
    </row>
    <row r="53" spans="1:23">
      <c r="A53" s="1">
        <v>260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14.83</v>
      </c>
      <c r="N53" s="3">
        <f>23.05+13.72+15.36+21.32+16.9+12.02</f>
        <v>102.37</v>
      </c>
      <c r="O53" s="3">
        <f>14.75+21.97+13.09</f>
        <v>49.81</v>
      </c>
      <c r="P53" s="3">
        <f>16.42+15.26</f>
        <v>31.68</v>
      </c>
      <c r="Q53" s="3">
        <v>10.41</v>
      </c>
      <c r="R53" s="3"/>
      <c r="S53" s="3">
        <v>14.15</v>
      </c>
      <c r="T53" s="3">
        <f>14.09+23.98+14.98</f>
        <v>53.05</v>
      </c>
      <c r="U53" s="3">
        <v>12.79</v>
      </c>
      <c r="V53" s="3"/>
      <c r="W53" s="3">
        <f t="shared" si="0"/>
        <v>289.09</v>
      </c>
    </row>
    <row r="54" spans="1:23">
      <c r="A54" s="1">
        <v>452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2.25</v>
      </c>
      <c r="N54" s="3">
        <v>13.93</v>
      </c>
      <c r="O54" s="3">
        <v>1.37</v>
      </c>
      <c r="P54" s="3">
        <v>3.59</v>
      </c>
      <c r="Q54" s="3">
        <v>2.58</v>
      </c>
      <c r="R54" s="3"/>
      <c r="S54" s="3"/>
      <c r="T54" s="3">
        <v>7.5</v>
      </c>
      <c r="U54" s="3">
        <v>3.28</v>
      </c>
      <c r="V54" s="3"/>
      <c r="W54" s="3">
        <f t="shared" si="0"/>
        <v>34.5</v>
      </c>
    </row>
    <row r="55" spans="1:23">
      <c r="A55" s="1">
        <v>1311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7.09</v>
      </c>
      <c r="N55" s="3">
        <v>3.55</v>
      </c>
      <c r="O55" s="3">
        <v>2.64</v>
      </c>
      <c r="P55" s="3">
        <v>1.2</v>
      </c>
      <c r="Q55" s="3"/>
      <c r="R55" s="3"/>
      <c r="S55" s="3"/>
      <c r="T55" s="3"/>
      <c r="U55" s="3"/>
      <c r="V55" s="3"/>
      <c r="W55" s="3">
        <f t="shared" si="0"/>
        <v>14.48</v>
      </c>
    </row>
    <row r="56" spans="1:23">
      <c r="A56" s="1">
        <v>560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7.2</v>
      </c>
      <c r="N56" s="3">
        <v>19.61</v>
      </c>
      <c r="O56" s="3"/>
      <c r="P56" s="3">
        <v>1.17</v>
      </c>
      <c r="Q56" s="3">
        <v>0.89</v>
      </c>
      <c r="R56" s="3"/>
      <c r="S56" s="3">
        <v>4.79</v>
      </c>
      <c r="T56" s="3">
        <v>1.21</v>
      </c>
      <c r="U56" s="3"/>
      <c r="V56" s="3"/>
      <c r="W56" s="3">
        <f t="shared" si="0"/>
        <v>34.87</v>
      </c>
    </row>
    <row r="57" spans="1:23">
      <c r="A57" s="1">
        <v>180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f>18.59+21.63</f>
        <v>40.22</v>
      </c>
      <c r="N57" s="3">
        <v>10.88</v>
      </c>
      <c r="O57" s="3"/>
      <c r="P57" s="3">
        <v>1.17</v>
      </c>
      <c r="Q57" s="3"/>
      <c r="R57" s="3"/>
      <c r="S57" s="3"/>
      <c r="T57" s="3"/>
      <c r="U57" s="3"/>
      <c r="V57" s="3"/>
      <c r="W57" s="3">
        <f t="shared" si="0"/>
        <v>52.27</v>
      </c>
    </row>
    <row r="58" spans="1:23">
      <c r="A58" s="1">
        <v>1745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8.92</v>
      </c>
      <c r="N58" s="3">
        <v>10.53</v>
      </c>
      <c r="O58" s="3">
        <v>2.99</v>
      </c>
      <c r="P58" s="3">
        <v>2.3</v>
      </c>
      <c r="Q58" s="3"/>
      <c r="R58" s="3"/>
      <c r="S58" s="3"/>
      <c r="T58" s="3">
        <v>6.14</v>
      </c>
      <c r="U58" s="3">
        <v>0.71</v>
      </c>
      <c r="V58" s="3"/>
      <c r="W58" s="3">
        <f t="shared" si="0"/>
        <v>31.59</v>
      </c>
    </row>
    <row r="59" spans="1:23">
      <c r="A59" s="1">
        <v>1795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15.19</v>
      </c>
      <c r="N59" s="3">
        <v>13.46</v>
      </c>
      <c r="O59" s="3">
        <v>1.52</v>
      </c>
      <c r="P59" s="3">
        <v>8.7</v>
      </c>
      <c r="Q59" s="3">
        <v>4</v>
      </c>
      <c r="R59" s="3"/>
      <c r="S59" s="3"/>
      <c r="T59" s="3">
        <v>1.32</v>
      </c>
      <c r="U59" s="3">
        <v>1.91</v>
      </c>
      <c r="V59" s="3"/>
      <c r="W59" s="3">
        <f t="shared" si="0"/>
        <v>46.1</v>
      </c>
    </row>
    <row r="60" spans="1:23">
      <c r="A60" s="1">
        <v>1007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>
        <v>6.88</v>
      </c>
      <c r="O60" s="3">
        <v>8.76</v>
      </c>
      <c r="P60" s="3">
        <v>9.87</v>
      </c>
      <c r="Q60" s="3">
        <v>4.05</v>
      </c>
      <c r="R60" s="3"/>
      <c r="S60" s="3">
        <v>2.83</v>
      </c>
      <c r="T60" s="3">
        <v>2.33</v>
      </c>
      <c r="U60" s="3">
        <v>5.19</v>
      </c>
      <c r="V60" s="3"/>
      <c r="W60" s="3">
        <f t="shared" si="0"/>
        <v>39.91</v>
      </c>
    </row>
    <row r="61" spans="1:23">
      <c r="A61" s="1">
        <v>2358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8.66</v>
      </c>
      <c r="N61" s="3">
        <v>14.31</v>
      </c>
      <c r="O61" s="3">
        <v>9.61</v>
      </c>
      <c r="P61" s="3">
        <v>1.18</v>
      </c>
      <c r="Q61" s="3">
        <v>2.79</v>
      </c>
      <c r="R61" s="3"/>
      <c r="S61" s="3"/>
      <c r="T61" s="3"/>
      <c r="U61" s="3">
        <v>1.83</v>
      </c>
      <c r="V61" s="3"/>
      <c r="W61" s="3">
        <f t="shared" si="0"/>
        <v>38.38</v>
      </c>
    </row>
    <row r="62" spans="1:23">
      <c r="A62" s="1">
        <v>1026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>
        <v>20.35</v>
      </c>
      <c r="U62" s="3"/>
      <c r="V62" s="3"/>
      <c r="W62" s="3">
        <f t="shared" si="0"/>
        <v>20.35</v>
      </c>
    </row>
    <row r="63" spans="1:23">
      <c r="A63" s="1">
        <v>1791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12.44+12.7+18.19+10.1</f>
        <v>53.43</v>
      </c>
      <c r="N63" s="3">
        <f>14.61+13.47+15.49+13.09+16.4+19.58+13.37</f>
        <v>106.01</v>
      </c>
      <c r="O63" s="3">
        <f>14.01+15.73+12.87+11.68</f>
        <v>54.29</v>
      </c>
      <c r="P63" s="3">
        <f>11.73+12.77+14.35+15.06+17.46</f>
        <v>71.37</v>
      </c>
      <c r="Q63" s="3">
        <f>13.9+4.61</f>
        <v>18.51</v>
      </c>
      <c r="R63" s="3"/>
      <c r="S63" s="3">
        <v>6.9</v>
      </c>
      <c r="T63" s="3">
        <f>15.01+15.22</f>
        <v>30.23</v>
      </c>
      <c r="U63" s="3">
        <f>15.19+11.16</f>
        <v>26.35</v>
      </c>
      <c r="V63" s="3"/>
      <c r="W63" s="3">
        <f t="shared" si="0"/>
        <v>367.09</v>
      </c>
    </row>
    <row r="64" spans="1:23">
      <c r="A64" s="1">
        <v>1163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5.47</v>
      </c>
      <c r="O64" s="3">
        <v>4.08</v>
      </c>
      <c r="P64" s="3"/>
      <c r="Q64" s="3"/>
      <c r="R64" s="3"/>
      <c r="S64" s="3"/>
      <c r="T64" s="3">
        <v>13.48</v>
      </c>
      <c r="U64" s="3">
        <v>1.86</v>
      </c>
      <c r="V64" s="3"/>
      <c r="W64" s="3">
        <f t="shared" si="0"/>
        <v>24.89</v>
      </c>
    </row>
    <row r="65" spans="1:23">
      <c r="A65" s="1">
        <v>2161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7.08</v>
      </c>
      <c r="N65" s="3">
        <v>11.2</v>
      </c>
      <c r="O65" s="3">
        <v>8.89</v>
      </c>
      <c r="P65" s="3">
        <v>8.78</v>
      </c>
      <c r="Q65" s="3">
        <v>6.55</v>
      </c>
      <c r="R65" s="3"/>
      <c r="S65" s="3">
        <v>2.59</v>
      </c>
      <c r="T65" s="3">
        <v>9.9</v>
      </c>
      <c r="U65" s="3">
        <v>2.02</v>
      </c>
      <c r="V65" s="3"/>
      <c r="W65" s="3">
        <f t="shared" si="0"/>
        <v>57.01</v>
      </c>
    </row>
    <row r="66" spans="1:23">
      <c r="A66" s="1">
        <v>2202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f>18.88+11.11+18.17+13.26+23.44+4.94</f>
        <v>89.8</v>
      </c>
      <c r="N66" s="3">
        <f>20.35+18.11+15.79+10.17+20.53+16.21+14.91+14.22</f>
        <v>130.29</v>
      </c>
      <c r="O66" s="3">
        <f>11.89+15.08+1.45</f>
        <v>28.42</v>
      </c>
      <c r="P66" s="3">
        <f>13.31+9.82</f>
        <v>23.13</v>
      </c>
      <c r="Q66" s="3">
        <v>5.7</v>
      </c>
      <c r="R66" s="3"/>
      <c r="S66" s="3">
        <f>17.1+17.54+13.7+13.44</f>
        <v>61.78</v>
      </c>
      <c r="T66" s="3">
        <f>17.76+16.1+9.31</f>
        <v>43.17</v>
      </c>
      <c r="U66" s="3">
        <v>8.68</v>
      </c>
      <c r="V66" s="3"/>
      <c r="W66" s="3">
        <f t="shared" si="0"/>
        <v>390.97</v>
      </c>
    </row>
    <row r="67" spans="1:23">
      <c r="A67" s="1">
        <v>982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v>7.96</v>
      </c>
      <c r="N67" s="3">
        <v>7.42</v>
      </c>
      <c r="O67" s="3">
        <v>7.17</v>
      </c>
      <c r="P67" s="3">
        <v>3.63</v>
      </c>
      <c r="Q67" s="3">
        <v>2.54</v>
      </c>
      <c r="R67" s="3"/>
      <c r="S67" s="3">
        <v>5.43</v>
      </c>
      <c r="T67" s="3">
        <v>5.38</v>
      </c>
      <c r="U67" s="3"/>
      <c r="V67" s="3"/>
      <c r="W67" s="3">
        <f t="shared" si="0"/>
        <v>39.53</v>
      </c>
    </row>
    <row r="68" spans="1:23">
      <c r="A68" s="1">
        <v>968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v>2.09</v>
      </c>
      <c r="N68" s="3">
        <v>3.31</v>
      </c>
      <c r="O68" s="3">
        <v>1.43</v>
      </c>
      <c r="P68" s="3"/>
      <c r="Q68" s="3"/>
      <c r="R68" s="3"/>
      <c r="S68" s="3"/>
      <c r="T68" s="3"/>
      <c r="U68" s="3"/>
      <c r="V68" s="3"/>
      <c r="W68" s="3">
        <f t="shared" ref="W68:W131" si="1">SUM(C68:V68)</f>
        <v>6.83</v>
      </c>
    </row>
    <row r="69" spans="1:23">
      <c r="A69" s="1">
        <v>641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f>12.55+14.04+19.74+9.91</f>
        <v>56.24</v>
      </c>
      <c r="N69" s="3">
        <f>14.77+14+17.63+14.11+17.45+20.39+19.38+13.18+13.57+10.39</f>
        <v>154.87</v>
      </c>
      <c r="O69" s="3">
        <f>11.99+13.96+17.76+14.05+13.56</f>
        <v>71.32</v>
      </c>
      <c r="P69" s="3">
        <f>13.23+11.3+17.13+13.88+5.57</f>
        <v>61.11</v>
      </c>
      <c r="Q69" s="3">
        <f>14.45+3.03</f>
        <v>17.48</v>
      </c>
      <c r="R69" s="3"/>
      <c r="S69" s="3">
        <f>17.59+17.37</f>
        <v>34.96</v>
      </c>
      <c r="T69" s="3">
        <f>18.78+19+18.6+13.79+18.5+16.43+26.43+17.74+16.28+20.69</f>
        <v>186.24</v>
      </c>
      <c r="U69" s="3">
        <f>13.08+11.76+12.4+20.64+17</f>
        <v>74.88</v>
      </c>
      <c r="V69" s="3"/>
      <c r="W69" s="3">
        <f t="shared" si="1"/>
        <v>657.1</v>
      </c>
    </row>
    <row r="70" spans="1:23">
      <c r="A70" s="1">
        <v>1161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v>7.13</v>
      </c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7.13</v>
      </c>
    </row>
    <row r="71" spans="1:23">
      <c r="A71" s="1">
        <v>1722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>
        <v>9.97</v>
      </c>
      <c r="N71" s="3"/>
      <c r="O71" s="3"/>
      <c r="P71" s="3">
        <v>1.2</v>
      </c>
      <c r="Q71" s="3"/>
      <c r="R71" s="3"/>
      <c r="S71" s="3"/>
      <c r="T71" s="3"/>
      <c r="U71" s="3"/>
      <c r="V71" s="3"/>
      <c r="W71" s="3">
        <f t="shared" si="1"/>
        <v>11.17</v>
      </c>
    </row>
    <row r="72" spans="1:23">
      <c r="A72" s="1">
        <v>444</v>
      </c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7.1</v>
      </c>
      <c r="N72" s="3">
        <v>14.84</v>
      </c>
      <c r="O72" s="3">
        <v>5.85</v>
      </c>
      <c r="P72" s="3"/>
      <c r="Q72" s="3"/>
      <c r="R72" s="3"/>
      <c r="S72" s="3">
        <v>2.74</v>
      </c>
      <c r="T72" s="3">
        <v>15.79</v>
      </c>
      <c r="U72" s="3">
        <v>0.87</v>
      </c>
      <c r="V72" s="3"/>
      <c r="W72" s="3">
        <f t="shared" si="1"/>
        <v>47.19</v>
      </c>
    </row>
    <row r="73" spans="1:23">
      <c r="A73" s="1">
        <v>2447</v>
      </c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>
        <v>17.4</v>
      </c>
      <c r="N73" s="3">
        <v>5.32</v>
      </c>
      <c r="O73" s="3"/>
      <c r="P73" s="3"/>
      <c r="Q73" s="3"/>
      <c r="R73" s="3"/>
      <c r="S73" s="3">
        <v>6.11</v>
      </c>
      <c r="T73" s="3"/>
      <c r="U73" s="3"/>
      <c r="V73" s="3"/>
      <c r="W73" s="3">
        <f t="shared" si="1"/>
        <v>28.83</v>
      </c>
    </row>
    <row r="74" spans="1:23">
      <c r="A74" s="1">
        <v>980</v>
      </c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v>4.93</v>
      </c>
      <c r="N74" s="3">
        <v>12.78</v>
      </c>
      <c r="O74" s="3"/>
      <c r="P74" s="3"/>
      <c r="Q74" s="3"/>
      <c r="R74" s="3"/>
      <c r="S74" s="3">
        <v>9.32</v>
      </c>
      <c r="T74" s="3">
        <v>1.04</v>
      </c>
      <c r="U74" s="3">
        <v>0.58</v>
      </c>
      <c r="V74" s="3"/>
      <c r="W74" s="3">
        <f t="shared" si="1"/>
        <v>28.65</v>
      </c>
    </row>
    <row r="75" spans="1:23">
      <c r="A75" s="1">
        <v>2495</v>
      </c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>
        <v>18.74</v>
      </c>
      <c r="N75" s="3">
        <v>21.84</v>
      </c>
      <c r="O75" s="3">
        <v>21.64</v>
      </c>
      <c r="P75" s="3">
        <v>19.45</v>
      </c>
      <c r="Q75" s="3">
        <v>9.34</v>
      </c>
      <c r="R75" s="3"/>
      <c r="S75" s="3">
        <v>8.09</v>
      </c>
      <c r="T75" s="3">
        <v>15.12</v>
      </c>
      <c r="U75" s="3">
        <v>5.84</v>
      </c>
      <c r="V75" s="3"/>
      <c r="W75" s="3">
        <f t="shared" si="1"/>
        <v>120.06</v>
      </c>
    </row>
    <row r="76" spans="1:23">
      <c r="A76" s="1">
        <v>641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12.94</v>
      </c>
      <c r="O76" s="3">
        <v>15.77</v>
      </c>
      <c r="P76" s="3">
        <v>11.29</v>
      </c>
      <c r="Q76" s="3"/>
      <c r="R76" s="3"/>
      <c r="S76" s="3">
        <v>4.72</v>
      </c>
      <c r="T76" s="3">
        <f>21.08+10.58+24.51+18.1+14.71+11.61</f>
        <v>100.59</v>
      </c>
      <c r="U76" s="3">
        <f>15.53+18.59+6.66</f>
        <v>40.78</v>
      </c>
      <c r="V76" s="3"/>
      <c r="W76" s="3">
        <f t="shared" si="1"/>
        <v>186.09</v>
      </c>
    </row>
    <row r="77" spans="1:23">
      <c r="A77" s="1">
        <v>2358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>
        <v>2.34</v>
      </c>
      <c r="N77" s="3">
        <v>3.29</v>
      </c>
      <c r="O77" s="3"/>
      <c r="P77" s="3"/>
      <c r="Q77" s="3"/>
      <c r="R77" s="3"/>
      <c r="S77" s="3">
        <v>6.38</v>
      </c>
      <c r="T77" s="3">
        <v>5.58</v>
      </c>
      <c r="U77" s="3"/>
      <c r="V77" s="3"/>
      <c r="W77" s="3">
        <f t="shared" si="1"/>
        <v>17.59</v>
      </c>
    </row>
    <row r="78" spans="1:23">
      <c r="A78" s="1">
        <v>1005</v>
      </c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>
        <v>11.49</v>
      </c>
      <c r="N78" s="3">
        <f>12.47+5.7</f>
        <v>18.17</v>
      </c>
      <c r="O78" s="3">
        <v>10.96</v>
      </c>
      <c r="P78" s="3">
        <f>11.51+2.5</f>
        <v>14.01</v>
      </c>
      <c r="Q78" s="3">
        <v>1.76</v>
      </c>
      <c r="R78" s="3"/>
      <c r="S78" s="3">
        <v>4.75</v>
      </c>
      <c r="T78" s="3">
        <v>6.43</v>
      </c>
      <c r="U78" s="3">
        <v>2.12</v>
      </c>
      <c r="V78" s="3"/>
      <c r="W78" s="3">
        <f t="shared" si="1"/>
        <v>69.69</v>
      </c>
    </row>
    <row r="79" spans="1:23">
      <c r="A79" s="1">
        <v>1006</v>
      </c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>
        <v>11.61</v>
      </c>
      <c r="N79" s="3">
        <v>16.45</v>
      </c>
      <c r="O79" s="3">
        <v>11.92</v>
      </c>
      <c r="P79" s="3">
        <v>18.32</v>
      </c>
      <c r="Q79" s="3">
        <v>1.96</v>
      </c>
      <c r="R79" s="3"/>
      <c r="S79" s="3"/>
      <c r="T79" s="3">
        <v>8.17</v>
      </c>
      <c r="U79" s="3">
        <v>1.61</v>
      </c>
      <c r="V79" s="3"/>
      <c r="W79" s="3">
        <f t="shared" si="1"/>
        <v>70.04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1835.13</v>
      </c>
      <c r="N349" s="4">
        <f t="shared" si="6"/>
        <v>2798.64</v>
      </c>
      <c r="O349" s="4">
        <f t="shared" si="6"/>
        <v>1224.14</v>
      </c>
      <c r="P349" s="4">
        <f t="shared" si="6"/>
        <v>1023.89</v>
      </c>
      <c r="Q349" s="4">
        <f t="shared" si="6"/>
        <v>374.99</v>
      </c>
      <c r="R349" s="4">
        <f t="shared" si="6"/>
        <v>0</v>
      </c>
      <c r="S349" s="4">
        <f t="shared" si="6"/>
        <v>650.93</v>
      </c>
      <c r="T349" s="4">
        <f t="shared" si="6"/>
        <v>1498.68</v>
      </c>
      <c r="U349" s="4">
        <f t="shared" si="6"/>
        <v>501.84</v>
      </c>
      <c r="V349" s="4">
        <f t="shared" si="6"/>
        <v>0</v>
      </c>
      <c r="W349" s="4">
        <f>SUM(W2:W348)</f>
        <v>9908.24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2198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>
        <v>8.45</v>
      </c>
      <c r="O2" s="3">
        <v>7.51</v>
      </c>
      <c r="P2" s="3">
        <v>1.15</v>
      </c>
      <c r="Q2" s="3"/>
      <c r="R2" s="3"/>
      <c r="S2" s="3"/>
      <c r="T2" s="3">
        <v>5.32</v>
      </c>
      <c r="U2" s="3">
        <v>2.95</v>
      </c>
      <c r="V2" s="3"/>
      <c r="W2" s="3">
        <f t="shared" ref="W2:W67" si="0">SUM(C2:V2)</f>
        <v>25.38</v>
      </c>
    </row>
    <row r="3" spans="1:23">
      <c r="A3" s="1">
        <v>2358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2.09</v>
      </c>
      <c r="N3" s="3">
        <v>10.58</v>
      </c>
      <c r="O3" s="3">
        <v>4.29</v>
      </c>
      <c r="P3" s="3">
        <v>4.97</v>
      </c>
      <c r="Q3" s="3">
        <v>0.9</v>
      </c>
      <c r="R3" s="3"/>
      <c r="S3" s="3">
        <v>3.63</v>
      </c>
      <c r="T3" s="3"/>
      <c r="U3" s="3">
        <v>0.61</v>
      </c>
      <c r="V3" s="3"/>
      <c r="W3" s="3">
        <f t="shared" si="0"/>
        <v>27.07</v>
      </c>
    </row>
    <row r="4" spans="1:23">
      <c r="A4" s="1">
        <v>1745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>
        <v>1.37</v>
      </c>
      <c r="P4" s="3"/>
      <c r="Q4" s="3"/>
      <c r="R4" s="3"/>
      <c r="S4" s="3">
        <v>2.86</v>
      </c>
      <c r="T4" s="3">
        <v>10.68</v>
      </c>
      <c r="U4" s="3">
        <v>2.73</v>
      </c>
      <c r="V4" s="3"/>
      <c r="W4" s="3">
        <f t="shared" si="0"/>
        <v>17.64</v>
      </c>
    </row>
    <row r="5" spans="1:23">
      <c r="A5" s="1">
        <v>999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16.56+16.95+12.35</f>
        <v>45.86</v>
      </c>
      <c r="N5" s="3">
        <f>14.49+12.94</f>
        <v>27.43</v>
      </c>
      <c r="O5" s="3">
        <f>15.39+9.03</f>
        <v>24.42</v>
      </c>
      <c r="P5" s="3">
        <v>8.45</v>
      </c>
      <c r="Q5" s="3"/>
      <c r="R5" s="3"/>
      <c r="S5" s="3">
        <v>6.55</v>
      </c>
      <c r="T5" s="3">
        <f>17.46+12.61</f>
        <v>30.07</v>
      </c>
      <c r="U5" s="3">
        <v>5.65</v>
      </c>
      <c r="V5" s="3"/>
      <c r="W5" s="3">
        <f t="shared" si="0"/>
        <v>148.43</v>
      </c>
    </row>
    <row r="6" spans="1:23">
      <c r="A6" s="1">
        <v>180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6.32</v>
      </c>
      <c r="N6" s="3">
        <v>1.59</v>
      </c>
      <c r="O6" s="3"/>
      <c r="P6" s="3">
        <v>2.09</v>
      </c>
      <c r="Q6" s="3"/>
      <c r="R6" s="3"/>
      <c r="S6" s="3"/>
      <c r="T6" s="3">
        <v>1.11</v>
      </c>
      <c r="U6" s="3"/>
      <c r="V6" s="3"/>
      <c r="W6" s="3">
        <f t="shared" si="0"/>
        <v>11.11</v>
      </c>
    </row>
    <row r="7" spans="1:23">
      <c r="A7" s="1">
        <v>560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17.39</v>
      </c>
      <c r="N7" s="3">
        <v>7.44</v>
      </c>
      <c r="O7" s="3">
        <v>2.97</v>
      </c>
      <c r="P7" s="3">
        <v>1.21</v>
      </c>
      <c r="Q7" s="3"/>
      <c r="R7" s="3"/>
      <c r="S7" s="3">
        <v>4.84</v>
      </c>
      <c r="T7" s="3"/>
      <c r="U7" s="3"/>
      <c r="V7" s="3"/>
      <c r="W7" s="3">
        <f t="shared" si="0"/>
        <v>33.85</v>
      </c>
    </row>
    <row r="8" spans="1:23">
      <c r="A8" s="1">
        <v>2482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16.55+4.41</f>
        <v>20.96</v>
      </c>
      <c r="N8" s="3">
        <v>15.67</v>
      </c>
      <c r="O8" s="3">
        <v>6.58</v>
      </c>
      <c r="P8" s="3">
        <v>0.91</v>
      </c>
      <c r="Q8" s="3"/>
      <c r="R8" s="3"/>
      <c r="S8" s="3">
        <v>2.81</v>
      </c>
      <c r="T8" s="3">
        <v>3.04</v>
      </c>
      <c r="U8" s="3">
        <v>0.67</v>
      </c>
      <c r="V8" s="3"/>
      <c r="W8" s="3">
        <f t="shared" si="0"/>
        <v>50.64</v>
      </c>
    </row>
    <row r="9" spans="1:23">
      <c r="A9" s="1">
        <v>444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17.92+23.51+10.16</f>
        <v>51.59</v>
      </c>
      <c r="N9" s="3">
        <f>22.73+16.25</f>
        <v>38.98</v>
      </c>
      <c r="O9" s="3">
        <v>8.44</v>
      </c>
      <c r="P9" s="3">
        <v>3.75</v>
      </c>
      <c r="Q9" s="3">
        <v>1.67</v>
      </c>
      <c r="R9" s="3"/>
      <c r="S9" s="3">
        <v>8.75</v>
      </c>
      <c r="T9" s="3">
        <v>6.41</v>
      </c>
      <c r="U9" s="3">
        <v>1.69</v>
      </c>
      <c r="V9" s="3"/>
      <c r="W9" s="3">
        <f t="shared" si="0"/>
        <v>121.28</v>
      </c>
    </row>
    <row r="10" spans="1:23">
      <c r="A10" s="1">
        <v>641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17.02+13.66+16.31+12.4</f>
        <v>59.39</v>
      </c>
      <c r="N10" s="3">
        <f>16.03+16.22+13.89+21.22+16.59+22.06+16.33+17.96</f>
        <v>140.3</v>
      </c>
      <c r="O10" s="3">
        <f>14.23+18.02+15.65+15</f>
        <v>62.9</v>
      </c>
      <c r="P10" s="3">
        <f>15.29+16.28+15.07</f>
        <v>46.64</v>
      </c>
      <c r="Q10" s="3"/>
      <c r="R10" s="3"/>
      <c r="S10" s="3"/>
      <c r="T10" s="3">
        <f>23.77+12.67+25.18+16.14+18.88</f>
        <v>96.64</v>
      </c>
      <c r="U10" s="3">
        <f>19.1+18.77+16.93+18.19</f>
        <v>72.99</v>
      </c>
      <c r="V10" s="3"/>
      <c r="W10" s="3">
        <f t="shared" si="0"/>
        <v>478.86</v>
      </c>
    </row>
    <row r="11" spans="1:23">
      <c r="A11" s="1">
        <v>641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4.94</v>
      </c>
      <c r="N11" s="3">
        <f>15.31+12.59+6.92</f>
        <v>34.82</v>
      </c>
      <c r="O11" s="3">
        <f>13.62+14.66+3.11</f>
        <v>31.39</v>
      </c>
      <c r="P11" s="3">
        <f>16.75+11.54+8.14</f>
        <v>36.43</v>
      </c>
      <c r="Q11" s="3">
        <v>0.84</v>
      </c>
      <c r="R11" s="3"/>
      <c r="S11" s="3">
        <v>11.11</v>
      </c>
      <c r="T11" s="3">
        <f>18.6+14.34+17.18+9.45</f>
        <v>59.57</v>
      </c>
      <c r="U11" s="3">
        <f>15.57+12.99</f>
        <v>28.56</v>
      </c>
      <c r="V11" s="3"/>
      <c r="W11" s="3">
        <f t="shared" si="0"/>
        <v>207.66</v>
      </c>
    </row>
    <row r="12" spans="1:23">
      <c r="A12" s="1">
        <v>1791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14.69+21.05+17.36</f>
        <v>53.1</v>
      </c>
      <c r="N12" s="3">
        <f>18.53+15.38+17.49+16.04+16.04+19.62</f>
        <v>103.1</v>
      </c>
      <c r="O12" s="3">
        <f>15.72+16.02+16.88+16.4+16.35+15.15</f>
        <v>96.52</v>
      </c>
      <c r="P12" s="3">
        <f>18.08+18.62+14.34+12.81</f>
        <v>63.85</v>
      </c>
      <c r="Q12" s="3">
        <v>13.14</v>
      </c>
      <c r="R12" s="3"/>
      <c r="S12" s="3">
        <v>21.99</v>
      </c>
      <c r="T12" s="3">
        <f>18.79+15.55+6.41</f>
        <v>40.75</v>
      </c>
      <c r="U12" s="3">
        <v>11.5</v>
      </c>
      <c r="V12" s="3"/>
      <c r="W12" s="3">
        <f t="shared" si="0"/>
        <v>403.95</v>
      </c>
    </row>
    <row r="13" spans="1:23">
      <c r="A13" s="1">
        <v>655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2.35</v>
      </c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2.35</v>
      </c>
    </row>
    <row r="14" spans="1:23">
      <c r="A14" s="1">
        <v>326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20.26+10.04</f>
        <v>30.3</v>
      </c>
      <c r="N14" s="3">
        <v>19.6</v>
      </c>
      <c r="O14" s="3">
        <v>5.45</v>
      </c>
      <c r="P14" s="3">
        <v>5.37</v>
      </c>
      <c r="Q14" s="3"/>
      <c r="R14" s="3"/>
      <c r="S14" s="3"/>
      <c r="T14" s="3"/>
      <c r="U14" s="3"/>
      <c r="V14" s="3"/>
      <c r="W14" s="3">
        <f t="shared" si="0"/>
        <v>60.72</v>
      </c>
    </row>
    <row r="15" spans="1:23">
      <c r="A15" s="1">
        <v>285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2.62</v>
      </c>
      <c r="N15" s="3">
        <v>1.7</v>
      </c>
      <c r="O15" s="3"/>
      <c r="P15" s="3"/>
      <c r="Q15" s="3"/>
      <c r="R15" s="3"/>
      <c r="S15" s="3">
        <v>2.79</v>
      </c>
      <c r="T15" s="3"/>
      <c r="U15" s="3"/>
      <c r="V15" s="3"/>
      <c r="W15" s="3">
        <f t="shared" si="0"/>
        <v>7.11</v>
      </c>
    </row>
    <row r="16" spans="1:23">
      <c r="A16" s="1">
        <v>2425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10.87</v>
      </c>
      <c r="N16" s="3">
        <f>19.41+7.88</f>
        <v>27.29</v>
      </c>
      <c r="O16" s="3">
        <v>13.01</v>
      </c>
      <c r="P16" s="3">
        <v>9.11</v>
      </c>
      <c r="Q16" s="3">
        <v>2.57</v>
      </c>
      <c r="R16" s="3"/>
      <c r="S16" s="3">
        <v>3.83</v>
      </c>
      <c r="T16" s="3">
        <v>9.39</v>
      </c>
      <c r="U16" s="3">
        <v>13.95</v>
      </c>
      <c r="V16" s="3"/>
      <c r="W16" s="3">
        <f t="shared" si="0"/>
        <v>90.02</v>
      </c>
    </row>
    <row r="17" spans="1:23">
      <c r="A17" s="1">
        <v>1311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>
        <v>6.93</v>
      </c>
      <c r="O17" s="3"/>
      <c r="P17" s="3"/>
      <c r="Q17" s="3">
        <v>0.74</v>
      </c>
      <c r="R17" s="3"/>
      <c r="S17" s="3"/>
      <c r="T17" s="3"/>
      <c r="U17" s="3"/>
      <c r="V17" s="3"/>
      <c r="W17" s="3">
        <f t="shared" si="0"/>
        <v>7.67</v>
      </c>
    </row>
    <row r="18" spans="1:23">
      <c r="A18" s="1">
        <v>2358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>
        <v>1.82</v>
      </c>
      <c r="O18" s="3">
        <v>2.84</v>
      </c>
      <c r="P18" s="3">
        <v>1.19</v>
      </c>
      <c r="Q18" s="3"/>
      <c r="R18" s="3"/>
      <c r="S18" s="3">
        <v>3.4</v>
      </c>
      <c r="T18" s="3"/>
      <c r="U18" s="3"/>
      <c r="V18" s="3"/>
      <c r="W18" s="3">
        <f t="shared" si="0"/>
        <v>9.25</v>
      </c>
    </row>
    <row r="19" spans="1:23">
      <c r="A19" s="1">
        <v>2441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6.14</v>
      </c>
      <c r="N19" s="3">
        <v>3.74</v>
      </c>
      <c r="O19" s="3">
        <v>2.92</v>
      </c>
      <c r="P19" s="3">
        <v>2.57</v>
      </c>
      <c r="Q19" s="3">
        <v>0.87</v>
      </c>
      <c r="R19" s="3"/>
      <c r="S19" s="3"/>
      <c r="T19" s="3">
        <v>1.43</v>
      </c>
      <c r="U19" s="3"/>
      <c r="V19" s="3"/>
      <c r="W19" s="3">
        <f t="shared" si="0"/>
        <v>17.67</v>
      </c>
    </row>
    <row r="20" spans="1:23">
      <c r="A20" s="1">
        <v>693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9.22</v>
      </c>
      <c r="N20" s="3">
        <v>3.17</v>
      </c>
      <c r="O20" s="3"/>
      <c r="P20" s="3"/>
      <c r="Q20" s="3"/>
      <c r="R20" s="3"/>
      <c r="S20" s="3">
        <v>2.18</v>
      </c>
      <c r="T20" s="3"/>
      <c r="U20" s="3"/>
      <c r="V20" s="3"/>
      <c r="W20" s="3">
        <f t="shared" si="0"/>
        <v>14.57</v>
      </c>
    </row>
    <row r="21" spans="1:23">
      <c r="A21" s="1">
        <v>982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11.67</v>
      </c>
      <c r="N21" s="3">
        <v>11.14</v>
      </c>
      <c r="O21" s="3">
        <v>7.74</v>
      </c>
      <c r="P21" s="3">
        <v>3.52</v>
      </c>
      <c r="Q21" s="3">
        <v>2.88</v>
      </c>
      <c r="R21" s="3"/>
      <c r="S21" s="3">
        <v>2.21</v>
      </c>
      <c r="T21" s="3">
        <v>1.41</v>
      </c>
      <c r="U21" s="3"/>
      <c r="V21" s="3"/>
      <c r="W21" s="3">
        <f t="shared" si="0"/>
        <v>40.57</v>
      </c>
    </row>
    <row r="22" spans="1:23">
      <c r="A22" s="1">
        <v>968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>
        <v>5.13</v>
      </c>
      <c r="O22" s="3">
        <v>1.38</v>
      </c>
      <c r="P22" s="3">
        <v>3.64</v>
      </c>
      <c r="Q22" s="3"/>
      <c r="R22" s="3"/>
      <c r="S22" s="3"/>
      <c r="T22" s="3"/>
      <c r="U22" s="3"/>
      <c r="V22" s="3"/>
      <c r="W22" s="3">
        <f t="shared" si="0"/>
        <v>10.15</v>
      </c>
    </row>
    <row r="23" spans="1:23">
      <c r="A23" s="1">
        <v>765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2.28</v>
      </c>
      <c r="N23" s="3">
        <v>9.38</v>
      </c>
      <c r="O23" s="3">
        <v>9.83</v>
      </c>
      <c r="P23" s="3">
        <v>4.68</v>
      </c>
      <c r="Q23" s="3">
        <v>0.89</v>
      </c>
      <c r="R23" s="3"/>
      <c r="S23" s="3">
        <v>2.23</v>
      </c>
      <c r="T23" s="3">
        <v>7.84</v>
      </c>
      <c r="U23" s="3"/>
      <c r="V23" s="3"/>
      <c r="W23" s="3">
        <f t="shared" si="0"/>
        <v>37.13</v>
      </c>
    </row>
    <row r="24" spans="1:23">
      <c r="A24" s="1">
        <v>260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f>14.73+6.7</f>
        <v>21.43</v>
      </c>
      <c r="N24" s="3">
        <f>18.61+14.3+13.58</f>
        <v>46.49</v>
      </c>
      <c r="O24" s="3">
        <f>17.44+9.24</f>
        <v>26.68</v>
      </c>
      <c r="P24" s="3">
        <v>13.75</v>
      </c>
      <c r="Q24" s="3">
        <v>5.02</v>
      </c>
      <c r="R24" s="3"/>
      <c r="S24" s="3">
        <f>20.25+18.17</f>
        <v>38.42</v>
      </c>
      <c r="T24" s="3">
        <f>17.95+16.74+19.88+8.43</f>
        <v>63</v>
      </c>
      <c r="U24" s="3">
        <v>13.98</v>
      </c>
      <c r="V24" s="3"/>
      <c r="W24" s="3">
        <f t="shared" si="0"/>
        <v>228.77</v>
      </c>
    </row>
    <row r="25" spans="1:23">
      <c r="A25" s="1">
        <v>2447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18.43</v>
      </c>
      <c r="N25" s="3">
        <v>5.72</v>
      </c>
      <c r="O25" s="3">
        <v>1.38</v>
      </c>
      <c r="P25" s="3">
        <v>3.24</v>
      </c>
      <c r="Q25" s="3">
        <v>0.77</v>
      </c>
      <c r="R25" s="3"/>
      <c r="S25" s="3"/>
      <c r="T25" s="3">
        <v>1.96</v>
      </c>
      <c r="U25" s="3"/>
      <c r="V25" s="3"/>
      <c r="W25" s="3">
        <f t="shared" si="0"/>
        <v>31.5</v>
      </c>
    </row>
    <row r="26" spans="1:23">
      <c r="A26" s="1">
        <v>2381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7.71</v>
      </c>
      <c r="N26" s="3">
        <v>6.43</v>
      </c>
      <c r="O26" s="3">
        <v>2.82</v>
      </c>
      <c r="P26" s="3">
        <v>3.34</v>
      </c>
      <c r="Q26" s="3"/>
      <c r="R26" s="3"/>
      <c r="S26" s="3">
        <v>9.3</v>
      </c>
      <c r="T26" s="3">
        <v>1.35</v>
      </c>
      <c r="U26" s="3"/>
      <c r="V26" s="3"/>
      <c r="W26" s="3">
        <f t="shared" si="0"/>
        <v>30.95</v>
      </c>
    </row>
    <row r="27" spans="1:23">
      <c r="A27" s="1">
        <v>681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7.34</v>
      </c>
      <c r="N27" s="3"/>
      <c r="O27" s="3">
        <v>6.04</v>
      </c>
      <c r="P27" s="3">
        <v>8.17</v>
      </c>
      <c r="Q27" s="3">
        <v>5.44</v>
      </c>
      <c r="R27" s="3"/>
      <c r="S27" s="3"/>
      <c r="T27" s="3">
        <v>1.94</v>
      </c>
      <c r="U27" s="3">
        <v>3.44</v>
      </c>
      <c r="V27" s="3"/>
      <c r="W27" s="3">
        <f t="shared" si="0"/>
        <v>32.37</v>
      </c>
    </row>
    <row r="28" spans="1:23">
      <c r="A28" s="1">
        <v>980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9.36</v>
      </c>
      <c r="N28" s="3">
        <v>18.38</v>
      </c>
      <c r="O28" s="3">
        <v>4</v>
      </c>
      <c r="P28" s="3">
        <v>2.87</v>
      </c>
      <c r="Q28" s="3">
        <v>1.52</v>
      </c>
      <c r="R28" s="3"/>
      <c r="S28" s="3">
        <v>3.23</v>
      </c>
      <c r="T28" s="3"/>
      <c r="U28" s="3"/>
      <c r="V28" s="3"/>
      <c r="W28" s="3">
        <f t="shared" si="0"/>
        <v>39.36</v>
      </c>
    </row>
    <row r="29" spans="1:23">
      <c r="A29" s="1">
        <v>444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8.94</v>
      </c>
      <c r="O29" s="3"/>
      <c r="P29" s="3"/>
      <c r="Q29" s="3"/>
      <c r="R29" s="3"/>
      <c r="S29" s="3"/>
      <c r="T29" s="3">
        <v>3.16</v>
      </c>
      <c r="U29" s="3"/>
      <c r="V29" s="3"/>
      <c r="W29" s="3">
        <f t="shared" si="0"/>
        <v>12.1</v>
      </c>
    </row>
    <row r="30" spans="1:23">
      <c r="A30" s="1">
        <v>641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f>17.64+4.74</f>
        <v>22.38</v>
      </c>
      <c r="N30" s="3">
        <f>17.48+16.8</f>
        <v>34.28</v>
      </c>
      <c r="O30" s="3">
        <f>15.21+7.42</f>
        <v>22.63</v>
      </c>
      <c r="P30" s="3">
        <v>13.83</v>
      </c>
      <c r="Q30" s="3">
        <v>2.83</v>
      </c>
      <c r="R30" s="3"/>
      <c r="S30" s="3">
        <f>16.55+3.94</f>
        <v>20.49</v>
      </c>
      <c r="T30" s="3">
        <f>25.47+14.1+22.7+10.77</f>
        <v>73.04</v>
      </c>
      <c r="U30" s="3">
        <f>22.37+21.08+1.47</f>
        <v>44.92</v>
      </c>
      <c r="V30" s="3"/>
      <c r="W30" s="3">
        <f t="shared" si="0"/>
        <v>234.4</v>
      </c>
    </row>
    <row r="31" spans="1:23">
      <c r="A31" s="1">
        <v>770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11.51</v>
      </c>
      <c r="O31" s="3">
        <v>18.82</v>
      </c>
      <c r="P31" s="3">
        <v>9.74</v>
      </c>
      <c r="Q31" s="3">
        <v>3.79</v>
      </c>
      <c r="R31" s="3"/>
      <c r="S31" s="3">
        <v>3.17</v>
      </c>
      <c r="T31" s="3">
        <v>11.6</v>
      </c>
      <c r="U31" s="3">
        <v>1.96</v>
      </c>
      <c r="V31" s="3"/>
      <c r="W31" s="3">
        <f t="shared" si="0"/>
        <v>60.59</v>
      </c>
    </row>
    <row r="32" spans="1:23">
      <c r="A32" s="1">
        <v>1006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15.4</v>
      </c>
      <c r="O32" s="3">
        <f>16.76+1.51</f>
        <v>18.27</v>
      </c>
      <c r="P32" s="3">
        <v>7.71</v>
      </c>
      <c r="Q32" s="3">
        <v>1.6</v>
      </c>
      <c r="R32" s="3"/>
      <c r="S32" s="3">
        <v>2.29</v>
      </c>
      <c r="T32" s="3">
        <f>18.55+7.35</f>
        <v>25.9</v>
      </c>
      <c r="U32" s="3">
        <v>14.7</v>
      </c>
      <c r="V32" s="3"/>
      <c r="W32" s="3">
        <f t="shared" si="0"/>
        <v>85.87</v>
      </c>
    </row>
    <row r="33" spans="1:23">
      <c r="A33" s="1">
        <v>1020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5.65</v>
      </c>
      <c r="P33" s="3">
        <v>1.97</v>
      </c>
      <c r="Q33" s="3"/>
      <c r="R33" s="3"/>
      <c r="S33" s="3"/>
      <c r="T33" s="3">
        <v>4.91</v>
      </c>
      <c r="U33" s="3">
        <v>1.63</v>
      </c>
      <c r="V33" s="3"/>
      <c r="W33" s="3">
        <f t="shared" si="0"/>
        <v>14.16</v>
      </c>
    </row>
    <row r="34" spans="1:23">
      <c r="A34" s="1">
        <v>1019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2.71</v>
      </c>
      <c r="N34" s="3">
        <v>3.48</v>
      </c>
      <c r="O34" s="3">
        <v>2.89</v>
      </c>
      <c r="P34" s="3">
        <v>4.98</v>
      </c>
      <c r="Q34" s="3"/>
      <c r="R34" s="3"/>
      <c r="S34" s="3"/>
      <c r="T34" s="3">
        <v>2.56</v>
      </c>
      <c r="U34" s="3">
        <v>1.79</v>
      </c>
      <c r="V34" s="3"/>
      <c r="W34" s="3">
        <f t="shared" si="0"/>
        <v>18.41</v>
      </c>
    </row>
    <row r="35" spans="1:23">
      <c r="A35" s="1">
        <v>266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8.25</v>
      </c>
      <c r="N35" s="3">
        <v>3.89</v>
      </c>
      <c r="O35" s="3">
        <v>1.44</v>
      </c>
      <c r="P35" s="3"/>
      <c r="Q35" s="3"/>
      <c r="R35" s="3"/>
      <c r="S35" s="3">
        <v>2.75</v>
      </c>
      <c r="T35" s="3"/>
      <c r="U35" s="3"/>
      <c r="V35" s="3"/>
      <c r="W35" s="3">
        <f t="shared" si="0"/>
        <v>16.33</v>
      </c>
    </row>
    <row r="36" spans="1:23">
      <c r="A36" s="1">
        <v>478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>15.76+13.83</f>
        <v>29.59</v>
      </c>
      <c r="N36" s="3">
        <f>16.39+14.45+17.46</f>
        <v>48.3</v>
      </c>
      <c r="O36" s="3">
        <f>15.02+5.61</f>
        <v>20.63</v>
      </c>
      <c r="P36" s="3">
        <f>13.52+9.43</f>
        <v>22.95</v>
      </c>
      <c r="Q36" s="3">
        <v>3.04</v>
      </c>
      <c r="R36" s="3"/>
      <c r="S36" s="3"/>
      <c r="T36" s="3">
        <v>2.68</v>
      </c>
      <c r="U36" s="3">
        <v>4.07</v>
      </c>
      <c r="V36" s="3"/>
      <c r="W36" s="3">
        <f t="shared" si="0"/>
        <v>131.26</v>
      </c>
    </row>
    <row r="37" spans="1:23">
      <c r="A37" s="1">
        <v>1791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14.62+18.14+8.04</f>
        <v>40.8</v>
      </c>
      <c r="N37" s="3">
        <f>19.34+19+13.5+16.22+18.98+16.87+13.25+19.38</f>
        <v>136.54</v>
      </c>
      <c r="O37" s="3">
        <f>19.92+15.3+11.03</f>
        <v>46.25</v>
      </c>
      <c r="P37" s="3">
        <f>16.33+15.11</f>
        <v>31.44</v>
      </c>
      <c r="Q37" s="3">
        <f>14.17+1.91</f>
        <v>16.08</v>
      </c>
      <c r="R37" s="3"/>
      <c r="S37" s="3">
        <v>11.78</v>
      </c>
      <c r="T37" s="3">
        <f>18.51+23.81</f>
        <v>42.32</v>
      </c>
      <c r="U37" s="3">
        <v>16.96</v>
      </c>
      <c r="V37" s="3"/>
      <c r="W37" s="3">
        <f t="shared" si="0"/>
        <v>342.17</v>
      </c>
    </row>
    <row r="38" spans="1:23">
      <c r="A38" s="1">
        <v>1792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12.74</v>
      </c>
      <c r="N38" s="3">
        <v>9.51</v>
      </c>
      <c r="O38" s="3">
        <v>6.97</v>
      </c>
      <c r="P38" s="3">
        <v>9.07</v>
      </c>
      <c r="Q38" s="3">
        <v>2.41</v>
      </c>
      <c r="R38" s="3"/>
      <c r="S38" s="3">
        <v>11.89</v>
      </c>
      <c r="T38" s="3">
        <v>9.32</v>
      </c>
      <c r="U38" s="3">
        <v>2.52</v>
      </c>
      <c r="V38" s="3"/>
      <c r="W38" s="3">
        <f t="shared" si="0"/>
        <v>64.43</v>
      </c>
    </row>
    <row r="39" spans="1:23">
      <c r="A39" s="1">
        <v>1311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8.52</v>
      </c>
      <c r="N39" s="3">
        <v>13.08</v>
      </c>
      <c r="O39" s="3"/>
      <c r="P39" s="3"/>
      <c r="Q39" s="3"/>
      <c r="R39" s="3"/>
      <c r="S39" s="3"/>
      <c r="T39" s="3">
        <v>1.07</v>
      </c>
      <c r="U39" s="3"/>
      <c r="V39" s="3"/>
      <c r="W39" s="3">
        <f t="shared" si="0"/>
        <v>22.67</v>
      </c>
    </row>
    <row r="40" spans="1:23">
      <c r="A40" s="1">
        <v>309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18.08+19.05+17.46+19.87+17.13+16.12</f>
        <v>107.71</v>
      </c>
      <c r="N40" s="3">
        <f>17.47+18.77+16.71+17.1+19.55+17.58+21.6+21.66+1.7</f>
        <v>152.14</v>
      </c>
      <c r="O40" s="3">
        <f>20.72+15.83+17.88+14.77+18.25+2.74</f>
        <v>90.19</v>
      </c>
      <c r="P40" s="3">
        <f>17.46+15.89+7.19</f>
        <v>40.54</v>
      </c>
      <c r="Q40" s="3">
        <v>5.58</v>
      </c>
      <c r="R40" s="3"/>
      <c r="S40" s="3">
        <f>18.06+14.04+9.09</f>
        <v>41.19</v>
      </c>
      <c r="T40" s="3">
        <f>15.25+16.12+16.33+25.19+18.63+4.29</f>
        <v>95.81</v>
      </c>
      <c r="U40" s="3">
        <f>16.86+3.21</f>
        <v>20.07</v>
      </c>
      <c r="V40" s="3"/>
      <c r="W40" s="3">
        <f t="shared" si="0"/>
        <v>553.23</v>
      </c>
    </row>
    <row r="41" spans="1:23">
      <c r="A41" s="1">
        <v>2161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3.77</v>
      </c>
      <c r="O41" s="3">
        <v>3.01</v>
      </c>
      <c r="P41" s="3">
        <v>2.44</v>
      </c>
      <c r="Q41" s="3">
        <v>0.9</v>
      </c>
      <c r="R41" s="3"/>
      <c r="S41" s="3">
        <v>16.28</v>
      </c>
      <c r="T41" s="3">
        <f>23.14+16.07</f>
        <v>39.21</v>
      </c>
      <c r="U41" s="3">
        <v>13.6</v>
      </c>
      <c r="V41" s="3"/>
      <c r="W41" s="3">
        <f t="shared" si="0"/>
        <v>79.21</v>
      </c>
    </row>
    <row r="42" spans="1:23">
      <c r="A42" s="1">
        <v>906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4.7</v>
      </c>
      <c r="N42" s="3">
        <v>1.76</v>
      </c>
      <c r="O42" s="3"/>
      <c r="P42" s="3"/>
      <c r="Q42" s="3"/>
      <c r="R42" s="3"/>
      <c r="S42" s="3"/>
      <c r="T42" s="3"/>
      <c r="U42" s="3"/>
      <c r="V42" s="3"/>
      <c r="W42" s="3">
        <f t="shared" si="0"/>
        <v>6.46</v>
      </c>
    </row>
    <row r="43" spans="1:23">
      <c r="A43" s="1">
        <v>364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1.9</v>
      </c>
      <c r="O43" s="3">
        <v>1.42</v>
      </c>
      <c r="P43" s="3">
        <v>1.08</v>
      </c>
      <c r="Q43" s="3"/>
      <c r="R43" s="3"/>
      <c r="S43" s="3"/>
      <c r="T43" s="3"/>
      <c r="U43" s="3"/>
      <c r="V43" s="3"/>
      <c r="W43" s="3">
        <f t="shared" si="0"/>
        <v>4.4</v>
      </c>
    </row>
    <row r="44" spans="1:23">
      <c r="A44" s="1">
        <v>2198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1.8</v>
      </c>
      <c r="O44" s="3">
        <v>2.68</v>
      </c>
      <c r="P44" s="3"/>
      <c r="Q44" s="3"/>
      <c r="R44" s="3"/>
      <c r="S44" s="3"/>
      <c r="T44" s="3"/>
      <c r="U44" s="3"/>
      <c r="V44" s="3"/>
      <c r="W44" s="3">
        <f t="shared" si="0"/>
        <v>4.48</v>
      </c>
    </row>
    <row r="45" spans="1:23">
      <c r="A45" s="1">
        <v>672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23.2+23.25+21.22+21.45+20.65+16.17+8.32</f>
        <v>134.26</v>
      </c>
      <c r="N45" s="3">
        <f>18.64+21.75+20.05+19.25+20.76+15.78+18.01+13.19+15.78+7.71</f>
        <v>170.92</v>
      </c>
      <c r="O45" s="3">
        <f>16.09+14.68+10.32</f>
        <v>41.09</v>
      </c>
      <c r="P45" s="3">
        <f>19.36+15.08+5.02</f>
        <v>39.46</v>
      </c>
      <c r="Q45" s="3">
        <v>11.05</v>
      </c>
      <c r="R45" s="3"/>
      <c r="S45" s="3">
        <v>6.44</v>
      </c>
      <c r="T45" s="3">
        <v>8.15</v>
      </c>
      <c r="U45" s="3">
        <v>8.68</v>
      </c>
      <c r="V45" s="3"/>
      <c r="W45" s="3">
        <f t="shared" si="0"/>
        <v>420.05</v>
      </c>
    </row>
    <row r="46" spans="1:23">
      <c r="A46" s="1">
        <v>1801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7.15</v>
      </c>
      <c r="N46" s="3">
        <v>11.45</v>
      </c>
      <c r="O46" s="3">
        <v>2.7</v>
      </c>
      <c r="P46" s="3">
        <v>2.22</v>
      </c>
      <c r="Q46" s="3">
        <v>1.82</v>
      </c>
      <c r="R46" s="3"/>
      <c r="S46" s="3"/>
      <c r="T46" s="3">
        <v>1.11</v>
      </c>
      <c r="U46" s="3"/>
      <c r="V46" s="3"/>
      <c r="W46" s="3">
        <f t="shared" si="0"/>
        <v>26.45</v>
      </c>
    </row>
    <row r="47" spans="1:23">
      <c r="A47" s="1">
        <v>1723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f>5.24+1.65</f>
        <v>6.89</v>
      </c>
      <c r="O47" s="3"/>
      <c r="P47" s="3">
        <v>4.33</v>
      </c>
      <c r="Q47" s="3">
        <v>1.42</v>
      </c>
      <c r="R47" s="3"/>
      <c r="S47" s="3"/>
      <c r="T47" s="3">
        <v>1.73</v>
      </c>
      <c r="U47" s="3"/>
      <c r="V47" s="3"/>
      <c r="W47" s="3">
        <f t="shared" si="0"/>
        <v>14.37</v>
      </c>
    </row>
    <row r="48" spans="1:23">
      <c r="A48" s="1">
        <v>987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2.17</v>
      </c>
      <c r="N48" s="3">
        <v>6.01</v>
      </c>
      <c r="O48" s="3"/>
      <c r="P48" s="3"/>
      <c r="Q48" s="3"/>
      <c r="R48" s="3"/>
      <c r="S48" s="3"/>
      <c r="T48" s="3"/>
      <c r="U48" s="3"/>
      <c r="V48" s="3"/>
      <c r="W48" s="3">
        <f t="shared" si="0"/>
        <v>8.18</v>
      </c>
    </row>
    <row r="49" spans="1:23">
      <c r="A49" s="1">
        <v>1670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8.58</v>
      </c>
      <c r="N49" s="3">
        <v>5.41</v>
      </c>
      <c r="O49" s="3">
        <v>1.21</v>
      </c>
      <c r="P49" s="3">
        <v>1.04</v>
      </c>
      <c r="Q49" s="3">
        <v>1.89</v>
      </c>
      <c r="R49" s="3"/>
      <c r="S49" s="3">
        <v>3.1</v>
      </c>
      <c r="T49" s="3"/>
      <c r="U49" s="3"/>
      <c r="V49" s="3"/>
      <c r="W49" s="3">
        <f t="shared" si="0"/>
        <v>21.23</v>
      </c>
    </row>
    <row r="50" spans="1:23">
      <c r="A50" s="1">
        <v>231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6.73</v>
      </c>
      <c r="N50" s="3">
        <v>7.36</v>
      </c>
      <c r="O50" s="3">
        <v>4.24</v>
      </c>
      <c r="P50" s="3"/>
      <c r="Q50" s="3"/>
      <c r="R50" s="3"/>
      <c r="S50" s="3"/>
      <c r="T50" s="3"/>
      <c r="U50" s="3"/>
      <c r="V50" s="3"/>
      <c r="W50" s="3">
        <f t="shared" si="0"/>
        <v>18.33</v>
      </c>
    </row>
    <row r="51" spans="1:23">
      <c r="A51" s="1">
        <v>2192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6.81</v>
      </c>
      <c r="N51" s="3">
        <v>9.67</v>
      </c>
      <c r="O51" s="3"/>
      <c r="P51" s="3">
        <v>1.23</v>
      </c>
      <c r="Q51" s="3">
        <v>0.75</v>
      </c>
      <c r="R51" s="3"/>
      <c r="S51" s="3"/>
      <c r="T51" s="3"/>
      <c r="U51" s="3"/>
      <c r="V51" s="3"/>
      <c r="W51" s="3">
        <f t="shared" si="0"/>
        <v>18.46</v>
      </c>
    </row>
    <row r="52" spans="1:23">
      <c r="A52" s="1">
        <v>880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9.96</v>
      </c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9.96</v>
      </c>
    </row>
    <row r="53" spans="1:23">
      <c r="A53" s="1">
        <v>996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19.24</v>
      </c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19.24</v>
      </c>
    </row>
    <row r="54" spans="1:23">
      <c r="A54" s="1">
        <v>345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4.53</v>
      </c>
      <c r="N54" s="3">
        <v>9.04</v>
      </c>
      <c r="O54" s="3">
        <v>1.4</v>
      </c>
      <c r="P54" s="3">
        <v>0.93</v>
      </c>
      <c r="Q54" s="3">
        <v>0.71</v>
      </c>
      <c r="R54" s="3"/>
      <c r="S54" s="3"/>
      <c r="T54" s="3"/>
      <c r="U54" s="3"/>
      <c r="V54" s="3"/>
      <c r="W54" s="3">
        <f t="shared" si="0"/>
        <v>16.61</v>
      </c>
    </row>
    <row r="55" spans="1:23">
      <c r="A55" s="1">
        <v>361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2.3</v>
      </c>
      <c r="N55" s="3">
        <v>7.02</v>
      </c>
      <c r="O55" s="3">
        <f>4.17+1.33</f>
        <v>5.5</v>
      </c>
      <c r="P55" s="3"/>
      <c r="Q55" s="3"/>
      <c r="R55" s="3"/>
      <c r="S55" s="3"/>
      <c r="T55" s="3"/>
      <c r="U55" s="3"/>
      <c r="V55" s="3"/>
      <c r="W55" s="3">
        <f t="shared" si="0"/>
        <v>14.82</v>
      </c>
    </row>
    <row r="56" spans="1:23">
      <c r="A56" s="1">
        <v>990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13.43</v>
      </c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13.43</v>
      </c>
    </row>
    <row r="57" spans="1:23">
      <c r="A57" s="1">
        <v>1795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9.45</v>
      </c>
      <c r="N57" s="3">
        <v>17.43</v>
      </c>
      <c r="O57" s="3">
        <v>7.58</v>
      </c>
      <c r="P57" s="3">
        <v>12.93</v>
      </c>
      <c r="Q57" s="3">
        <v>6.47</v>
      </c>
      <c r="R57" s="3"/>
      <c r="S57" s="3">
        <v>3.14</v>
      </c>
      <c r="T57" s="3">
        <v>1.95</v>
      </c>
      <c r="U57" s="3">
        <v>4.19</v>
      </c>
      <c r="V57" s="3"/>
      <c r="W57" s="3">
        <f t="shared" si="0"/>
        <v>63.14</v>
      </c>
    </row>
    <row r="58" spans="1:23">
      <c r="A58" s="1">
        <v>689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14.75</v>
      </c>
      <c r="N58" s="3">
        <v>29.26</v>
      </c>
      <c r="O58" s="3">
        <v>7.31</v>
      </c>
      <c r="P58" s="3">
        <v>5.08</v>
      </c>
      <c r="Q58" s="3"/>
      <c r="R58" s="3"/>
      <c r="S58" s="3"/>
      <c r="T58" s="3"/>
      <c r="U58" s="3"/>
      <c r="V58" s="3"/>
      <c r="W58" s="3">
        <f t="shared" si="0"/>
        <v>56.4</v>
      </c>
    </row>
    <row r="59" spans="1:23">
      <c r="A59" s="1">
        <v>1002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16.83</v>
      </c>
      <c r="N59" s="3">
        <f>16.62+7</f>
        <v>23.62</v>
      </c>
      <c r="O59" s="3">
        <v>11.73</v>
      </c>
      <c r="P59" s="3">
        <v>4.95</v>
      </c>
      <c r="Q59" s="3">
        <v>2.84</v>
      </c>
      <c r="R59" s="3"/>
      <c r="S59" s="3"/>
      <c r="T59" s="3">
        <v>7.72</v>
      </c>
      <c r="U59" s="3">
        <v>2.36</v>
      </c>
      <c r="V59" s="3"/>
      <c r="W59" s="3">
        <f t="shared" si="0"/>
        <v>70.05</v>
      </c>
    </row>
    <row r="60" spans="1:23">
      <c r="A60" s="1">
        <v>273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>
        <v>1.6</v>
      </c>
      <c r="O60" s="3"/>
      <c r="P60" s="3">
        <v>13.99</v>
      </c>
      <c r="Q60" s="3">
        <v>4.72</v>
      </c>
      <c r="R60" s="3"/>
      <c r="S60" s="3"/>
      <c r="T60" s="3">
        <v>1.42</v>
      </c>
      <c r="U60" s="3">
        <v>3.33</v>
      </c>
      <c r="V60" s="3"/>
      <c r="W60" s="3">
        <f t="shared" si="0"/>
        <v>25.06</v>
      </c>
    </row>
    <row r="61" spans="1:23">
      <c r="A61" s="1">
        <v>1030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9.39</v>
      </c>
      <c r="N61" s="3">
        <v>5.61</v>
      </c>
      <c r="O61" s="3">
        <v>11.74</v>
      </c>
      <c r="P61" s="3">
        <v>2.01</v>
      </c>
      <c r="Q61" s="3">
        <v>0.76</v>
      </c>
      <c r="R61" s="3"/>
      <c r="S61" s="3"/>
      <c r="T61" s="3">
        <v>1.52</v>
      </c>
      <c r="U61" s="3"/>
      <c r="V61" s="3"/>
      <c r="W61" s="3">
        <f t="shared" si="0"/>
        <v>31.03</v>
      </c>
    </row>
    <row r="62" spans="1:23">
      <c r="A62" s="1">
        <v>1009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4.87</v>
      </c>
      <c r="N62" s="3">
        <v>3.55</v>
      </c>
      <c r="O62" s="3">
        <v>2.64</v>
      </c>
      <c r="P62" s="3">
        <v>2.21</v>
      </c>
      <c r="Q62" s="3">
        <v>0.87</v>
      </c>
      <c r="R62" s="3"/>
      <c r="S62" s="3"/>
      <c r="T62" s="3">
        <v>7.01</v>
      </c>
      <c r="U62" s="3"/>
      <c r="V62" s="3"/>
      <c r="W62" s="3">
        <f t="shared" si="0"/>
        <v>21.15</v>
      </c>
    </row>
    <row r="63" spans="1:23">
      <c r="A63" s="1">
        <v>1791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16.38+15.43+20.7+2.33</f>
        <v>54.84</v>
      </c>
      <c r="N63" s="3">
        <f>15.81+22.16+13.91+16.82+14.59+17.46+20.54</f>
        <v>121.29</v>
      </c>
      <c r="O63" s="3">
        <f>14.73+16.19+17.53+9.03</f>
        <v>57.48</v>
      </c>
      <c r="P63" s="3">
        <f>14.9+15.58+18.97+11.92</f>
        <v>61.37</v>
      </c>
      <c r="Q63" s="3">
        <f>16.02+17.23+6.91</f>
        <v>40.16</v>
      </c>
      <c r="R63" s="3"/>
      <c r="S63" s="3">
        <v>3.09</v>
      </c>
      <c r="T63" s="3">
        <f>14.84+5.24</f>
        <v>20.08</v>
      </c>
      <c r="U63" s="3">
        <f>17.65+1.19</f>
        <v>18.84</v>
      </c>
      <c r="V63" s="3"/>
      <c r="W63" s="3">
        <f t="shared" si="0"/>
        <v>377.15</v>
      </c>
    </row>
    <row r="64" spans="1:23">
      <c r="A64" s="1">
        <v>309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20.67+15.72+17.42+23.65+19.88+17.51+18.48+18.79+11.97</f>
        <v>164.09</v>
      </c>
      <c r="N64" s="3">
        <f>17.51+17.01+21.46+15.42+17.7+12.5+16.47+20.37+20.32+11.14</f>
        <v>169.9</v>
      </c>
      <c r="O64" s="3">
        <f>20.22+14.92+14.41+16.95+16.18</f>
        <v>82.68</v>
      </c>
      <c r="P64" s="3">
        <f>16.34+20.42+15.99+16.88+11.15</f>
        <v>80.78</v>
      </c>
      <c r="Q64" s="3">
        <f>16.53+17.47+3.32</f>
        <v>37.32</v>
      </c>
      <c r="R64" s="3"/>
      <c r="S64" s="3">
        <f>22.16+16.39+12.45+16.47</f>
        <v>67.47</v>
      </c>
      <c r="T64" s="3">
        <f>23.84+16.15+12.51</f>
        <v>52.5</v>
      </c>
      <c r="U64" s="3">
        <f>21.62+17</f>
        <v>38.62</v>
      </c>
      <c r="V64" s="3"/>
      <c r="W64" s="3">
        <f t="shared" si="0"/>
        <v>693.36</v>
      </c>
    </row>
    <row r="65" spans="1:23">
      <c r="A65" s="1">
        <v>1033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17.14</v>
      </c>
      <c r="N65" s="3">
        <f>16.49+19.25+24.39+12.97</f>
        <v>73.1</v>
      </c>
      <c r="O65" s="3">
        <f>11.63+15.89+1.45</f>
        <v>28.97</v>
      </c>
      <c r="P65" s="3">
        <f>19.54+15.8+7.06</f>
        <v>42.4</v>
      </c>
      <c r="Q65" s="3">
        <f>17.77+3.68</f>
        <v>21.45</v>
      </c>
      <c r="R65" s="3"/>
      <c r="S65" s="3"/>
      <c r="T65" s="3">
        <v>4.81</v>
      </c>
      <c r="U65" s="3">
        <v>8.96</v>
      </c>
      <c r="V65" s="3"/>
      <c r="W65" s="3">
        <f t="shared" si="0"/>
        <v>196.83</v>
      </c>
    </row>
    <row r="66" spans="1:23">
      <c r="A66" s="1">
        <v>979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7.13</v>
      </c>
      <c r="N66" s="3">
        <v>3.7</v>
      </c>
      <c r="O66" s="3">
        <v>1.4</v>
      </c>
      <c r="P66" s="3"/>
      <c r="Q66" s="3"/>
      <c r="R66" s="3"/>
      <c r="S66" s="3"/>
      <c r="T66" s="3"/>
      <c r="U66" s="3"/>
      <c r="V66" s="3"/>
      <c r="W66" s="3">
        <f t="shared" si="0"/>
        <v>12.23</v>
      </c>
    </row>
    <row r="67" spans="1:23">
      <c r="A67" s="1">
        <v>1004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v>2.32</v>
      </c>
      <c r="N67" s="3">
        <v>1.94</v>
      </c>
      <c r="O67" s="3"/>
      <c r="P67" s="3"/>
      <c r="Q67" s="3"/>
      <c r="R67" s="3"/>
      <c r="S67" s="3"/>
      <c r="T67" s="3"/>
      <c r="U67" s="3"/>
      <c r="V67" s="3"/>
      <c r="W67" s="3">
        <f t="shared" si="0"/>
        <v>4.26</v>
      </c>
    </row>
    <row r="68" spans="1:23">
      <c r="A68" s="1">
        <v>4005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f>16.89+17.43+9.54</f>
        <v>43.86</v>
      </c>
      <c r="N68" s="3">
        <f>18.33+22.73+15.41+14.87+19.16</f>
        <v>90.5</v>
      </c>
      <c r="O68" s="3">
        <f>17.48+20.2+7.06</f>
        <v>44.74</v>
      </c>
      <c r="P68" s="3">
        <f>18.84+11.98</f>
        <v>30.82</v>
      </c>
      <c r="Q68" s="3">
        <v>17.05</v>
      </c>
      <c r="R68" s="3"/>
      <c r="S68" s="3"/>
      <c r="T68" s="3">
        <v>6.05</v>
      </c>
      <c r="U68" s="3">
        <v>7.7</v>
      </c>
      <c r="V68" s="3"/>
      <c r="W68" s="3">
        <f t="shared" ref="W68:W131" si="1">SUM(C68:V68)</f>
        <v>240.72</v>
      </c>
    </row>
    <row r="69" spans="1:23">
      <c r="A69" s="1">
        <v>1032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7.36</v>
      </c>
      <c r="N69" s="3">
        <v>1.72</v>
      </c>
      <c r="O69" s="3">
        <v>12.74</v>
      </c>
      <c r="P69" s="3">
        <v>2.11</v>
      </c>
      <c r="Q69" s="3"/>
      <c r="R69" s="3"/>
      <c r="S69" s="3"/>
      <c r="T69" s="3">
        <v>3.91</v>
      </c>
      <c r="U69" s="3"/>
      <c r="V69" s="3"/>
      <c r="W69" s="3">
        <f t="shared" si="1"/>
        <v>27.84</v>
      </c>
    </row>
    <row r="70" spans="1:23">
      <c r="A70" s="1">
        <v>478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f>17.18+17.38+19.78+15.01+21.87+22.09+26.4</f>
        <v>139.71</v>
      </c>
      <c r="N70" s="3">
        <f>19.97+16.47+14.69+26.63+15.59+14.92+15.88+17.07+18.14+10.1</f>
        <v>169.46</v>
      </c>
      <c r="O70" s="3">
        <f>14.55+18.24+16.29+17+5.43</f>
        <v>71.51</v>
      </c>
      <c r="P70" s="3">
        <f>15.41+18.54+16.36+13.15</f>
        <v>63.46</v>
      </c>
      <c r="Q70" s="3">
        <f>14.1+5.41</f>
        <v>19.51</v>
      </c>
      <c r="R70" s="3"/>
      <c r="S70" s="3">
        <v>15.25</v>
      </c>
      <c r="T70" s="3">
        <f>19.38+19.4+6.23</f>
        <v>45.01</v>
      </c>
      <c r="U70" s="3">
        <f>19.39+12.1</f>
        <v>31.49</v>
      </c>
      <c r="V70" s="3"/>
      <c r="W70" s="3">
        <f t="shared" si="1"/>
        <v>555.4</v>
      </c>
    </row>
    <row r="71" spans="1:23">
      <c r="A71" s="1">
        <v>2495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>
        <v>10.51</v>
      </c>
      <c r="N71" s="3">
        <v>15.45</v>
      </c>
      <c r="O71" s="3">
        <v>14.38</v>
      </c>
      <c r="P71" s="3">
        <v>18.37</v>
      </c>
      <c r="Q71" s="3">
        <v>5.06</v>
      </c>
      <c r="R71" s="3"/>
      <c r="S71" s="3">
        <v>2.34</v>
      </c>
      <c r="T71" s="3">
        <v>10.13</v>
      </c>
      <c r="U71" s="3">
        <v>11.82</v>
      </c>
      <c r="V71" s="3"/>
      <c r="W71" s="3">
        <f t="shared" si="1"/>
        <v>88.06</v>
      </c>
    </row>
    <row r="72" spans="1:23">
      <c r="A72" s="1">
        <v>260</v>
      </c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f>15.57+17.42+17.6+10.84</f>
        <v>61.43</v>
      </c>
      <c r="N72" s="3">
        <f>13.49+19.56+16.88+17.75+15.55</f>
        <v>83.23</v>
      </c>
      <c r="O72" s="3">
        <f>18.17+14.17+18.16</f>
        <v>50.5</v>
      </c>
      <c r="P72" s="3">
        <f>17.45+14.2+11.74</f>
        <v>43.39</v>
      </c>
      <c r="Q72" s="3">
        <v>10.21</v>
      </c>
      <c r="R72" s="3"/>
      <c r="S72" s="3">
        <v>14.14</v>
      </c>
      <c r="T72" s="3">
        <f>16.41+11.53</f>
        <v>27.94</v>
      </c>
      <c r="U72" s="3">
        <v>21.15</v>
      </c>
      <c r="V72" s="3"/>
      <c r="W72" s="3">
        <f t="shared" si="1"/>
        <v>311.99</v>
      </c>
    </row>
    <row r="73" spans="1:23">
      <c r="A73" s="1">
        <v>1791</v>
      </c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>
        <f>16.94+16.24+4.83</f>
        <v>38.01</v>
      </c>
      <c r="N73" s="3">
        <f>19.54+17.11+20.33+17.85+5.86</f>
        <v>80.69</v>
      </c>
      <c r="O73" s="3">
        <f>16.39+15.32</f>
        <v>31.71</v>
      </c>
      <c r="P73" s="3">
        <f>16.89+17.11+3.83</f>
        <v>37.83</v>
      </c>
      <c r="Q73" s="3">
        <v>13</v>
      </c>
      <c r="R73" s="3"/>
      <c r="S73" s="3">
        <f>19.3+2.34</f>
        <v>21.64</v>
      </c>
      <c r="T73" s="3">
        <f>19.43+4.54</f>
        <v>23.97</v>
      </c>
      <c r="U73" s="3">
        <v>15.58</v>
      </c>
      <c r="V73" s="3"/>
      <c r="W73" s="3">
        <f t="shared" si="1"/>
        <v>262.43</v>
      </c>
    </row>
    <row r="74" spans="1:23">
      <c r="A74" s="1">
        <v>309</v>
      </c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f>14.41+22.53+21.7+18.51+17.06+23.56+20.73+20.7+9.7</f>
        <v>168.9</v>
      </c>
      <c r="N74" s="3">
        <f>16.61+19.45+17.82+20.98+15.94+16.89+16.58+15.66+22.67+18.14+20.11+17.99+11.75</f>
        <v>230.59</v>
      </c>
      <c r="O74" s="3">
        <f>14.75+15.54+14.52+15.32+20.35+16.66</f>
        <v>97.14</v>
      </c>
      <c r="P74" s="3">
        <f>16.98+16.63+15.08+16.36+11.35</f>
        <v>76.4</v>
      </c>
      <c r="Q74" s="3">
        <f>15.17+15.07</f>
        <v>30.24</v>
      </c>
      <c r="R74" s="3"/>
      <c r="S74" s="3">
        <f>17.84+16.92</f>
        <v>34.76</v>
      </c>
      <c r="T74" s="3">
        <f>14.77+14.44+15.17+19.31</f>
        <v>63.69</v>
      </c>
      <c r="U74" s="3">
        <f>13.59+10.74</f>
        <v>24.33</v>
      </c>
      <c r="V74" s="3"/>
      <c r="W74" s="3">
        <f t="shared" si="1"/>
        <v>726.05</v>
      </c>
    </row>
    <row r="75" spans="1:23">
      <c r="A75" s="1">
        <v>604</v>
      </c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>
        <v>15.9</v>
      </c>
      <c r="N75" s="3">
        <v>19.02</v>
      </c>
      <c r="O75" s="3">
        <v>7.7</v>
      </c>
      <c r="P75" s="3">
        <v>5.92</v>
      </c>
      <c r="Q75" s="3">
        <v>2.67</v>
      </c>
      <c r="R75" s="3"/>
      <c r="S75" s="3"/>
      <c r="T75" s="3">
        <v>8.59</v>
      </c>
      <c r="U75" s="3">
        <v>0.74</v>
      </c>
      <c r="V75" s="3"/>
      <c r="W75" s="3">
        <f t="shared" si="1"/>
        <v>60.54</v>
      </c>
    </row>
    <row r="76" spans="1:23">
      <c r="A76" s="1">
        <v>2202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>
        <v>12.8</v>
      </c>
      <c r="N76" s="3">
        <f>19.91+7.36</f>
        <v>27.27</v>
      </c>
      <c r="O76" s="3">
        <v>9.54</v>
      </c>
      <c r="P76" s="3">
        <v>4.27</v>
      </c>
      <c r="Q76" s="3"/>
      <c r="R76" s="3"/>
      <c r="S76" s="3">
        <v>3.07</v>
      </c>
      <c r="T76" s="3">
        <v>6.56</v>
      </c>
      <c r="U76" s="3">
        <v>2.43</v>
      </c>
      <c r="V76" s="3"/>
      <c r="W76" s="3">
        <f t="shared" si="1"/>
        <v>65.94</v>
      </c>
    </row>
    <row r="77" spans="1:23">
      <c r="A77" s="1">
        <v>2161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>
        <v>3.01</v>
      </c>
      <c r="N77" s="3">
        <v>3.84</v>
      </c>
      <c r="O77" s="3">
        <v>5.87</v>
      </c>
      <c r="P77" s="3">
        <v>8.14</v>
      </c>
      <c r="Q77" s="3">
        <v>14.86</v>
      </c>
      <c r="R77" s="3"/>
      <c r="S77" s="3">
        <v>8.13</v>
      </c>
      <c r="T77" s="3"/>
      <c r="U77" s="3">
        <v>1.48</v>
      </c>
      <c r="V77" s="3"/>
      <c r="W77" s="3">
        <f t="shared" si="1"/>
        <v>45.33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1656.22</v>
      </c>
      <c r="N349" s="4">
        <f t="shared" si="6"/>
        <v>2408.12</v>
      </c>
      <c r="O349" s="4">
        <f t="shared" si="6"/>
        <v>1184.83</v>
      </c>
      <c r="P349" s="4">
        <f t="shared" si="6"/>
        <v>942.29</v>
      </c>
      <c r="Q349" s="4">
        <f t="shared" si="6"/>
        <v>318.31</v>
      </c>
      <c r="R349" s="4">
        <f t="shared" si="6"/>
        <v>0</v>
      </c>
      <c r="S349" s="4">
        <f t="shared" si="6"/>
        <v>422.54</v>
      </c>
      <c r="T349" s="4">
        <f t="shared" si="6"/>
        <v>957.34</v>
      </c>
      <c r="U349" s="4">
        <f t="shared" si="6"/>
        <v>482.64</v>
      </c>
      <c r="V349" s="4">
        <f t="shared" si="6"/>
        <v>0</v>
      </c>
      <c r="W349" s="4">
        <f>SUM(W2:W348)</f>
        <v>8372.29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1020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>
        <v>1.56</v>
      </c>
      <c r="O2" s="3"/>
      <c r="P2" s="3">
        <v>2.32</v>
      </c>
      <c r="Q2" s="3">
        <v>2.69</v>
      </c>
      <c r="R2" s="3"/>
      <c r="S2" s="3"/>
      <c r="T2" s="3">
        <v>5.73</v>
      </c>
      <c r="U2" s="3">
        <v>1.52</v>
      </c>
      <c r="V2" s="3"/>
      <c r="W2" s="3">
        <f t="shared" ref="W2:W67" si="0">SUM(C2:V2)</f>
        <v>13.82</v>
      </c>
    </row>
    <row r="3" spans="1:23">
      <c r="A3" s="1">
        <v>309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17.68+17.72+16.32+20.83+4.69</f>
        <v>77.24</v>
      </c>
      <c r="N3" s="3">
        <f>13.79+16.7+17.7+17+18.05+14.77+5.64</f>
        <v>103.65</v>
      </c>
      <c r="O3" s="3">
        <f>18.9+13.85+17.04+9.99</f>
        <v>59.78</v>
      </c>
      <c r="P3" s="3">
        <f>21.1+14.41</f>
        <v>35.51</v>
      </c>
      <c r="Q3" s="3">
        <v>10.67</v>
      </c>
      <c r="R3" s="3"/>
      <c r="S3" s="3">
        <f>21.26+17.57</f>
        <v>38.83</v>
      </c>
      <c r="T3" s="3">
        <f>11.89+20.44+1.94</f>
        <v>34.27</v>
      </c>
      <c r="U3" s="3">
        <v>6.3</v>
      </c>
      <c r="V3" s="3"/>
      <c r="W3" s="3">
        <f t="shared" si="0"/>
        <v>366.25</v>
      </c>
    </row>
    <row r="4" spans="1:23">
      <c r="A4" s="1">
        <v>266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2.62</v>
      </c>
      <c r="N4" s="3"/>
      <c r="O4" s="3"/>
      <c r="P4" s="3"/>
      <c r="Q4" s="3"/>
      <c r="R4" s="3"/>
      <c r="S4" s="3"/>
      <c r="T4" s="3"/>
      <c r="U4" s="3"/>
      <c r="V4" s="3"/>
      <c r="W4" s="3">
        <f t="shared" si="0"/>
        <v>2.62</v>
      </c>
    </row>
    <row r="5" spans="1:23">
      <c r="A5" s="1">
        <v>980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14.51</v>
      </c>
      <c r="N5" s="3">
        <v>9.16</v>
      </c>
      <c r="O5" s="3">
        <v>4.42</v>
      </c>
      <c r="P5" s="3">
        <v>2.59</v>
      </c>
      <c r="Q5" s="3">
        <v>5.43</v>
      </c>
      <c r="R5" s="3"/>
      <c r="S5" s="3"/>
      <c r="T5" s="3"/>
      <c r="U5" s="3"/>
      <c r="V5" s="3"/>
      <c r="W5" s="3">
        <f t="shared" si="0"/>
        <v>36.11</v>
      </c>
    </row>
    <row r="6" spans="1:23">
      <c r="A6" s="1">
        <v>252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9.85</v>
      </c>
      <c r="N6" s="3">
        <v>11.33</v>
      </c>
      <c r="O6" s="3"/>
      <c r="P6" s="3">
        <v>1.14</v>
      </c>
      <c r="Q6" s="3"/>
      <c r="R6" s="3"/>
      <c r="S6" s="3"/>
      <c r="T6" s="3">
        <v>1.8</v>
      </c>
      <c r="U6" s="3"/>
      <c r="V6" s="3"/>
      <c r="W6" s="3">
        <f t="shared" si="0"/>
        <v>24.12</v>
      </c>
    </row>
    <row r="7" spans="1:23">
      <c r="A7" s="1">
        <v>1006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2.14</v>
      </c>
      <c r="N7" s="3">
        <v>20.24</v>
      </c>
      <c r="O7" s="3">
        <v>5.64</v>
      </c>
      <c r="P7" s="3">
        <v>3.28</v>
      </c>
      <c r="Q7" s="3">
        <v>3.74</v>
      </c>
      <c r="R7" s="3"/>
      <c r="S7" s="3">
        <v>2.85</v>
      </c>
      <c r="T7" s="3">
        <v>5.36</v>
      </c>
      <c r="U7" s="3">
        <v>3.7</v>
      </c>
      <c r="V7" s="3"/>
      <c r="W7" s="3">
        <f t="shared" si="0"/>
        <v>46.95</v>
      </c>
    </row>
    <row r="8" spans="1:23">
      <c r="A8" s="1">
        <v>977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>
        <v>5.3</v>
      </c>
      <c r="T8" s="3">
        <v>4.53</v>
      </c>
      <c r="U8" s="3"/>
      <c r="V8" s="3"/>
      <c r="W8" s="3">
        <f t="shared" si="0"/>
        <v>9.83</v>
      </c>
    </row>
    <row r="9" spans="1:23">
      <c r="A9" s="1">
        <v>1005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>
        <v>3.72</v>
      </c>
      <c r="O9" s="3">
        <v>1.49</v>
      </c>
      <c r="P9" s="3">
        <v>4.55</v>
      </c>
      <c r="Q9" s="3">
        <v>5.73</v>
      </c>
      <c r="R9" s="3"/>
      <c r="S9" s="3"/>
      <c r="T9" s="3">
        <v>8.01</v>
      </c>
      <c r="U9" s="3">
        <v>12.76</v>
      </c>
      <c r="V9" s="3"/>
      <c r="W9" s="3">
        <f t="shared" si="0"/>
        <v>36.26</v>
      </c>
    </row>
    <row r="10" spans="1:23">
      <c r="A10" s="1">
        <v>641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15.41+18.47+12.31</f>
        <v>46.19</v>
      </c>
      <c r="N10" s="3">
        <f>12.61+15.96+19.53+16.71+18.27+19.36+13.03+14.27</f>
        <v>129.74</v>
      </c>
      <c r="O10" s="3">
        <f>15.35+21.08+13.37+14.17+11.56+12.1</f>
        <v>87.63</v>
      </c>
      <c r="P10" s="3">
        <f>14.35+14.67+13.15+10.97+11.28</f>
        <v>64.42</v>
      </c>
      <c r="Q10" s="3">
        <f>14.78+11.3</f>
        <v>26.08</v>
      </c>
      <c r="R10" s="3"/>
      <c r="S10" s="3">
        <f>10.75+14.59</f>
        <v>25.34</v>
      </c>
      <c r="T10" s="3">
        <f>12.53+16.82+14.38+17.01+20.17+15.38+13.88+13.25</f>
        <v>123.42</v>
      </c>
      <c r="U10" s="3">
        <f>11.94+12.32+11.88+21.2+17.06+12.68+12.85</f>
        <v>99.93</v>
      </c>
      <c r="V10" s="3"/>
      <c r="W10" s="3">
        <f t="shared" si="0"/>
        <v>602.75</v>
      </c>
    </row>
    <row r="11" spans="1:23">
      <c r="A11" s="1">
        <v>641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>
        <v>5.56</v>
      </c>
      <c r="O11" s="3">
        <v>4.61</v>
      </c>
      <c r="P11" s="3">
        <v>9.93</v>
      </c>
      <c r="Q11" s="3">
        <v>0.98</v>
      </c>
      <c r="R11" s="3"/>
      <c r="S11" s="3">
        <v>7.18</v>
      </c>
      <c r="T11" s="3">
        <f>16.41+15.66+4.14</f>
        <v>36.21</v>
      </c>
      <c r="U11" s="3">
        <f>13.57+6.74</f>
        <v>20.31</v>
      </c>
      <c r="V11" s="3"/>
      <c r="W11" s="3">
        <f t="shared" si="0"/>
        <v>84.78</v>
      </c>
    </row>
    <row r="12" spans="1:23">
      <c r="A12" s="1">
        <v>444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2.33</v>
      </c>
      <c r="N12" s="3">
        <v>11.31</v>
      </c>
      <c r="O12" s="3">
        <f>16.19+1.55</f>
        <v>17.74</v>
      </c>
      <c r="P12" s="3">
        <v>10.03</v>
      </c>
      <c r="Q12" s="3"/>
      <c r="R12" s="3"/>
      <c r="S12" s="3">
        <v>6.31</v>
      </c>
      <c r="T12" s="3">
        <f>14.7+14.76</f>
        <v>29.46</v>
      </c>
      <c r="U12" s="3">
        <v>5.65</v>
      </c>
      <c r="V12" s="3"/>
      <c r="W12" s="3">
        <f t="shared" si="0"/>
        <v>82.83</v>
      </c>
    </row>
    <row r="13" spans="1:23">
      <c r="A13" s="1">
        <v>1011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2.33</v>
      </c>
      <c r="N13" s="3">
        <v>1.77</v>
      </c>
      <c r="O13" s="3">
        <v>4.35</v>
      </c>
      <c r="P13" s="3">
        <v>4.51</v>
      </c>
      <c r="Q13" s="3"/>
      <c r="R13" s="3"/>
      <c r="S13" s="3">
        <v>2.5</v>
      </c>
      <c r="T13" s="3">
        <v>5.11</v>
      </c>
      <c r="U13" s="3">
        <v>4.41</v>
      </c>
      <c r="V13" s="3"/>
      <c r="W13" s="3">
        <f t="shared" si="0"/>
        <v>24.98</v>
      </c>
    </row>
    <row r="14" spans="1:23">
      <c r="A14" s="1">
        <v>999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16.08</v>
      </c>
      <c r="N14" s="3">
        <v>3.75</v>
      </c>
      <c r="O14" s="3">
        <v>6.05</v>
      </c>
      <c r="P14" s="3"/>
      <c r="Q14" s="3"/>
      <c r="R14" s="3"/>
      <c r="S14" s="3">
        <v>4.04</v>
      </c>
      <c r="T14" s="3">
        <v>6.59</v>
      </c>
      <c r="U14" s="3"/>
      <c r="V14" s="3"/>
      <c r="W14" s="3">
        <f t="shared" si="0"/>
        <v>36.51</v>
      </c>
    </row>
    <row r="15" spans="1:23">
      <c r="A15" s="1">
        <v>2202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12.78</v>
      </c>
      <c r="N15" s="3">
        <f>13.57+1.64</f>
        <v>15.21</v>
      </c>
      <c r="O15" s="3">
        <v>12.27</v>
      </c>
      <c r="P15" s="3">
        <v>14.68</v>
      </c>
      <c r="Q15" s="3">
        <v>4.91</v>
      </c>
      <c r="R15" s="3"/>
      <c r="S15" s="3">
        <v>8.35</v>
      </c>
      <c r="T15" s="3">
        <v>17.32</v>
      </c>
      <c r="U15" s="3">
        <v>4.07</v>
      </c>
      <c r="V15" s="3"/>
      <c r="W15" s="3">
        <f t="shared" si="0"/>
        <v>89.59</v>
      </c>
    </row>
    <row r="16" spans="1:23">
      <c r="A16" s="1">
        <v>2161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2.94</v>
      </c>
      <c r="N16" s="3">
        <v>3.63</v>
      </c>
      <c r="O16" s="3">
        <v>9.6</v>
      </c>
      <c r="P16" s="3">
        <v>1.98</v>
      </c>
      <c r="Q16" s="3"/>
      <c r="R16" s="3"/>
      <c r="S16" s="3"/>
      <c r="T16" s="3">
        <f>17.07+11.92</f>
        <v>28.99</v>
      </c>
      <c r="U16" s="3">
        <f>12.59+6.28</f>
        <v>18.87</v>
      </c>
      <c r="V16" s="3"/>
      <c r="W16" s="3">
        <f t="shared" si="0"/>
        <v>66.01</v>
      </c>
    </row>
    <row r="17" spans="1:23">
      <c r="A17" s="1">
        <v>1791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13.6+9.66</f>
        <v>23.26</v>
      </c>
      <c r="N17" s="3">
        <f>17.32+13.62+14.13+13.85+13.96+15.85+3.67</f>
        <v>92.4</v>
      </c>
      <c r="O17" s="3">
        <f>12.59+14.11+15.92+14.67+10.68</f>
        <v>67.97</v>
      </c>
      <c r="P17" s="3">
        <f>11.16+11.1+13.86+6.24</f>
        <v>42.36</v>
      </c>
      <c r="Q17" s="3">
        <f>12.97+6.48</f>
        <v>19.45</v>
      </c>
      <c r="R17" s="3"/>
      <c r="S17" s="3">
        <f>13.71+4.9</f>
        <v>18.61</v>
      </c>
      <c r="T17" s="3">
        <f>18.15+17.03+18.46+19.46+22.03+11.18</f>
        <v>106.31</v>
      </c>
      <c r="U17" s="3">
        <f>18.7+13.43</f>
        <v>32.13</v>
      </c>
      <c r="V17" s="3"/>
      <c r="W17" s="3">
        <f t="shared" si="0"/>
        <v>402.49</v>
      </c>
    </row>
    <row r="18" spans="1:23">
      <c r="A18" s="1">
        <v>765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>
        <f>4.35+3.65</f>
        <v>8</v>
      </c>
      <c r="O18" s="3">
        <v>1.43</v>
      </c>
      <c r="P18" s="3">
        <v>6.92</v>
      </c>
      <c r="Q18" s="3"/>
      <c r="R18" s="3"/>
      <c r="S18" s="3">
        <v>2.42</v>
      </c>
      <c r="T18" s="3">
        <v>6.93</v>
      </c>
      <c r="U18" s="3">
        <v>5.95</v>
      </c>
      <c r="V18" s="3"/>
      <c r="W18" s="3">
        <f t="shared" si="0"/>
        <v>31.65</v>
      </c>
    </row>
    <row r="19" spans="1:23">
      <c r="A19" s="1">
        <v>1792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>
        <v>1.63</v>
      </c>
      <c r="O19" s="3">
        <v>4.17</v>
      </c>
      <c r="P19" s="3">
        <v>3.58</v>
      </c>
      <c r="Q19" s="3">
        <v>1.81</v>
      </c>
      <c r="R19" s="3"/>
      <c r="S19" s="3"/>
      <c r="T19" s="3">
        <f>15.84+3.28</f>
        <v>19.12</v>
      </c>
      <c r="U19" s="3">
        <v>18.84</v>
      </c>
      <c r="V19" s="3"/>
      <c r="W19" s="3">
        <f t="shared" si="0"/>
        <v>49.15</v>
      </c>
    </row>
    <row r="20" spans="1:23">
      <c r="A20" s="1">
        <v>1791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f>15.44+15.26+5.13</f>
        <v>35.83</v>
      </c>
      <c r="N20" s="3">
        <f>12.26+13.47+12.33+15.59</f>
        <v>53.65</v>
      </c>
      <c r="O20" s="3">
        <f>14.1+12.21+4.7</f>
        <v>31.01</v>
      </c>
      <c r="P20" s="3">
        <f>15.9+2.65</f>
        <v>18.55</v>
      </c>
      <c r="Q20" s="3">
        <v>2.55</v>
      </c>
      <c r="R20" s="3"/>
      <c r="S20" s="3">
        <f>12.96+2.47</f>
        <v>15.43</v>
      </c>
      <c r="T20" s="3">
        <f>15.83+18.39+16.1+12.85</f>
        <v>63.17</v>
      </c>
      <c r="U20" s="3">
        <f>14.01+8.29</f>
        <v>22.3</v>
      </c>
      <c r="V20" s="3"/>
      <c r="W20" s="3">
        <f t="shared" si="0"/>
        <v>242.49</v>
      </c>
    </row>
    <row r="21" spans="1:23">
      <c r="A21" s="1">
        <v>987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4.64</v>
      </c>
      <c r="N21" s="3">
        <v>3.37</v>
      </c>
      <c r="O21" s="3"/>
      <c r="P21" s="3"/>
      <c r="Q21" s="3"/>
      <c r="R21" s="3"/>
      <c r="S21" s="3"/>
      <c r="T21" s="3"/>
      <c r="U21" s="3"/>
      <c r="V21" s="3"/>
      <c r="W21" s="3">
        <f t="shared" si="0"/>
        <v>8.01</v>
      </c>
    </row>
    <row r="22" spans="1:23">
      <c r="A22" s="1">
        <v>919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2.28</v>
      </c>
      <c r="N22" s="3">
        <v>1.81</v>
      </c>
      <c r="O22" s="3"/>
      <c r="P22" s="3"/>
      <c r="Q22" s="3"/>
      <c r="R22" s="3"/>
      <c r="S22" s="3"/>
      <c r="T22" s="3"/>
      <c r="U22" s="3"/>
      <c r="V22" s="3"/>
      <c r="W22" s="3">
        <f t="shared" si="0"/>
        <v>4.09</v>
      </c>
    </row>
    <row r="23" spans="1:23">
      <c r="A23" s="1">
        <v>364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>
        <v>3.05</v>
      </c>
      <c r="O23" s="3"/>
      <c r="P23" s="3">
        <v>0.94</v>
      </c>
      <c r="Q23" s="3"/>
      <c r="R23" s="3"/>
      <c r="S23" s="3"/>
      <c r="T23" s="3"/>
      <c r="U23" s="3"/>
      <c r="V23" s="3"/>
      <c r="W23" s="3">
        <f t="shared" si="0"/>
        <v>3.99</v>
      </c>
    </row>
    <row r="24" spans="1:23">
      <c r="A24" s="1">
        <v>2192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f>12.13+16.31</f>
        <v>28.44</v>
      </c>
      <c r="N24" s="3">
        <v>16.92</v>
      </c>
      <c r="O24" s="3">
        <v>5.47</v>
      </c>
      <c r="P24" s="3">
        <v>2.31</v>
      </c>
      <c r="Q24" s="3"/>
      <c r="R24" s="3"/>
      <c r="S24" s="3"/>
      <c r="T24" s="3"/>
      <c r="U24" s="3"/>
      <c r="V24" s="3"/>
      <c r="W24" s="3">
        <f t="shared" si="0"/>
        <v>53.14</v>
      </c>
    </row>
    <row r="25" spans="1:23">
      <c r="A25" s="1">
        <v>1722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4.92</v>
      </c>
      <c r="N25" s="3"/>
      <c r="O25" s="3">
        <v>1.25</v>
      </c>
      <c r="P25" s="3"/>
      <c r="Q25" s="3"/>
      <c r="R25" s="3"/>
      <c r="S25" s="3"/>
      <c r="T25" s="3"/>
      <c r="U25" s="3">
        <v>0.59</v>
      </c>
      <c r="V25" s="3"/>
      <c r="W25" s="3">
        <f t="shared" si="0"/>
        <v>6.76</v>
      </c>
    </row>
    <row r="26" spans="1:23">
      <c r="A26" s="1">
        <v>1723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2.22</v>
      </c>
      <c r="N26" s="3">
        <v>8.93</v>
      </c>
      <c r="O26" s="3">
        <v>14.63</v>
      </c>
      <c r="P26" s="3">
        <v>5.17</v>
      </c>
      <c r="Q26" s="3">
        <v>1.72</v>
      </c>
      <c r="R26" s="3"/>
      <c r="S26" s="3"/>
      <c r="T26" s="3">
        <v>1.27</v>
      </c>
      <c r="U26" s="3">
        <v>2.67</v>
      </c>
      <c r="V26" s="3"/>
      <c r="W26" s="3">
        <f t="shared" si="0"/>
        <v>36.61</v>
      </c>
    </row>
    <row r="27" spans="1:23">
      <c r="A27" s="1">
        <v>880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2.72</v>
      </c>
      <c r="N27" s="3">
        <v>3.73</v>
      </c>
      <c r="O27" s="3"/>
      <c r="P27" s="3"/>
      <c r="Q27" s="3"/>
      <c r="R27" s="3"/>
      <c r="S27" s="3"/>
      <c r="T27" s="3"/>
      <c r="U27" s="3"/>
      <c r="V27" s="3"/>
      <c r="W27" s="3">
        <f t="shared" si="0"/>
        <v>6.45</v>
      </c>
    </row>
    <row r="28" spans="1:23">
      <c r="A28" s="1">
        <v>1670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7.93</v>
      </c>
      <c r="N28" s="3">
        <v>3.91</v>
      </c>
      <c r="O28" s="3"/>
      <c r="P28" s="3">
        <v>2.33</v>
      </c>
      <c r="Q28" s="3"/>
      <c r="R28" s="3"/>
      <c r="S28" s="3"/>
      <c r="T28" s="3"/>
      <c r="U28" s="3"/>
      <c r="V28" s="3"/>
      <c r="W28" s="3">
        <f t="shared" si="0"/>
        <v>14.17</v>
      </c>
    </row>
    <row r="29" spans="1:23">
      <c r="A29" s="1">
        <v>225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2.49</v>
      </c>
      <c r="N29" s="3">
        <v>1.67</v>
      </c>
      <c r="O29" s="3">
        <v>2.92</v>
      </c>
      <c r="P29" s="3">
        <v>3.73</v>
      </c>
      <c r="Q29" s="3"/>
      <c r="R29" s="3"/>
      <c r="S29" s="3"/>
      <c r="T29" s="3"/>
      <c r="U29" s="3"/>
      <c r="V29" s="3"/>
      <c r="W29" s="3">
        <f t="shared" si="0"/>
        <v>10.81</v>
      </c>
    </row>
    <row r="30" spans="1:23">
      <c r="A30" s="1">
        <v>996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15.86</v>
      </c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15.86</v>
      </c>
    </row>
    <row r="31" spans="1:23">
      <c r="A31" s="1">
        <v>1161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5.69</v>
      </c>
      <c r="N31" s="3">
        <v>4.75</v>
      </c>
      <c r="O31" s="3"/>
      <c r="P31" s="3">
        <v>2.18</v>
      </c>
      <c r="Q31" s="3">
        <v>0.89</v>
      </c>
      <c r="R31" s="3"/>
      <c r="S31" s="3"/>
      <c r="T31" s="3"/>
      <c r="U31" s="3"/>
      <c r="V31" s="3"/>
      <c r="W31" s="3">
        <f t="shared" si="0"/>
        <v>13.51</v>
      </c>
    </row>
    <row r="32" spans="1:23">
      <c r="A32" s="1">
        <v>858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5.52</v>
      </c>
      <c r="N32" s="3">
        <v>5.87</v>
      </c>
      <c r="O32" s="3">
        <v>1.3</v>
      </c>
      <c r="P32" s="3"/>
      <c r="Q32" s="3"/>
      <c r="R32" s="3"/>
      <c r="S32" s="3"/>
      <c r="T32" s="3"/>
      <c r="U32" s="3"/>
      <c r="V32" s="3"/>
      <c r="W32" s="3">
        <f t="shared" si="0"/>
        <v>12.69</v>
      </c>
    </row>
    <row r="33" spans="1:23">
      <c r="A33" s="1">
        <v>1002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10.99</v>
      </c>
      <c r="O33" s="3">
        <v>7.81</v>
      </c>
      <c r="P33" s="3">
        <v>3.61</v>
      </c>
      <c r="Q33" s="3">
        <v>1.87</v>
      </c>
      <c r="R33" s="3"/>
      <c r="S33" s="3"/>
      <c r="T33" s="3">
        <v>3.51</v>
      </c>
      <c r="U33" s="3">
        <v>2.28</v>
      </c>
      <c r="V33" s="3"/>
      <c r="W33" s="3">
        <f t="shared" si="0"/>
        <v>30.07</v>
      </c>
    </row>
    <row r="34" spans="1:23">
      <c r="A34" s="1">
        <v>231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2.88</v>
      </c>
      <c r="N34" s="3">
        <v>12.47</v>
      </c>
      <c r="O34" s="3"/>
      <c r="P34" s="3">
        <v>2.86</v>
      </c>
      <c r="Q34" s="3">
        <v>2.71</v>
      </c>
      <c r="R34" s="3"/>
      <c r="S34" s="3"/>
      <c r="T34" s="3"/>
      <c r="U34" s="3"/>
      <c r="V34" s="3"/>
      <c r="W34" s="3">
        <f t="shared" si="0"/>
        <v>20.92</v>
      </c>
    </row>
    <row r="35" spans="1:23">
      <c r="A35" s="1">
        <v>1032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7.6</v>
      </c>
      <c r="N35" s="3"/>
      <c r="O35" s="3">
        <v>4.59</v>
      </c>
      <c r="P35" s="3">
        <v>3.97</v>
      </c>
      <c r="Q35" s="3"/>
      <c r="R35" s="3">
        <v>2.35</v>
      </c>
      <c r="S35" s="3"/>
      <c r="T35" s="3"/>
      <c r="U35" s="3"/>
      <c r="V35" s="3"/>
      <c r="W35" s="3">
        <f t="shared" si="0"/>
        <v>18.51</v>
      </c>
    </row>
    <row r="36" spans="1:23">
      <c r="A36" s="1">
        <v>672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>17.04+20+14.53+19.81+15.29+19.1+22.03+16.84+13.14</f>
        <v>157.78</v>
      </c>
      <c r="N36" s="3">
        <f>13.92+13.85+15.69+13.34+15.79+15.67+15.07+16.68+18.54+16+7.7</f>
        <v>162.25</v>
      </c>
      <c r="O36" s="3">
        <f>16.63+14.36+18.07+14.93+5.79</f>
        <v>69.78</v>
      </c>
      <c r="P36" s="3">
        <f>22.24+14.14+9.95</f>
        <v>46.33</v>
      </c>
      <c r="Q36" s="3">
        <f>13.82+9.04</f>
        <v>22.86</v>
      </c>
      <c r="R36" s="3"/>
      <c r="S36" s="3">
        <f>23.43+3.58</f>
        <v>27.01</v>
      </c>
      <c r="T36" s="3">
        <v>10.73</v>
      </c>
      <c r="U36" s="3">
        <v>12.53</v>
      </c>
      <c r="V36" s="3"/>
      <c r="W36" s="3">
        <f t="shared" si="0"/>
        <v>509.27</v>
      </c>
    </row>
    <row r="37" spans="1:23">
      <c r="A37" s="1">
        <v>273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4.18</v>
      </c>
      <c r="N37" s="3">
        <v>3.57</v>
      </c>
      <c r="O37" s="3">
        <v>1.52</v>
      </c>
      <c r="P37" s="3">
        <v>2.2</v>
      </c>
      <c r="Q37" s="3">
        <v>1.73</v>
      </c>
      <c r="R37" s="3"/>
      <c r="S37" s="3"/>
      <c r="T37" s="3"/>
      <c r="U37" s="3"/>
      <c r="V37" s="3"/>
      <c r="W37" s="3">
        <f t="shared" si="0"/>
        <v>13.2</v>
      </c>
    </row>
    <row r="38" spans="1:23">
      <c r="A38" s="1">
        <v>361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2.98</v>
      </c>
      <c r="N38" s="3">
        <v>3.47</v>
      </c>
      <c r="O38" s="3">
        <f>12.12+1.29</f>
        <v>13.41</v>
      </c>
      <c r="P38" s="3"/>
      <c r="Q38" s="3"/>
      <c r="R38" s="3"/>
      <c r="S38" s="3"/>
      <c r="T38" s="3">
        <v>1.68</v>
      </c>
      <c r="U38" s="3"/>
      <c r="V38" s="3"/>
      <c r="W38" s="3">
        <f t="shared" si="0"/>
        <v>21.54</v>
      </c>
    </row>
    <row r="39" spans="1:23">
      <c r="A39" s="1">
        <v>1016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12.77</v>
      </c>
      <c r="N39" s="3">
        <v>1.67</v>
      </c>
      <c r="O39" s="3"/>
      <c r="P39" s="3"/>
      <c r="Q39" s="3"/>
      <c r="R39" s="3"/>
      <c r="S39" s="3"/>
      <c r="T39" s="3"/>
      <c r="U39" s="3"/>
      <c r="V39" s="3"/>
      <c r="W39" s="3">
        <f t="shared" si="0"/>
        <v>14.44</v>
      </c>
    </row>
    <row r="40" spans="1:23">
      <c r="A40" s="1">
        <v>4005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19.83+5.51</f>
        <v>25.34</v>
      </c>
      <c r="N40" s="3">
        <f>21.1+15.92+16.29+14.02</f>
        <v>67.33</v>
      </c>
      <c r="O40" s="3">
        <f>15.83+12.99+15.55+1.46</f>
        <v>45.83</v>
      </c>
      <c r="P40" s="3">
        <f>12.38+12.77+8.26</f>
        <v>33.41</v>
      </c>
      <c r="Q40" s="3">
        <f>12.67+3.74</f>
        <v>16.41</v>
      </c>
      <c r="R40" s="3"/>
      <c r="S40" s="3"/>
      <c r="T40" s="3">
        <v>9.85</v>
      </c>
      <c r="U40" s="3">
        <v>7.91</v>
      </c>
      <c r="V40" s="3"/>
      <c r="W40" s="3">
        <f t="shared" si="0"/>
        <v>206.08</v>
      </c>
    </row>
    <row r="41" spans="1:23">
      <c r="A41" s="1">
        <v>326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13.38</v>
      </c>
      <c r="O41" s="3">
        <f>1.26+3.01</f>
        <v>4.27</v>
      </c>
      <c r="P41" s="3"/>
      <c r="Q41" s="3">
        <v>2.89</v>
      </c>
      <c r="R41" s="3"/>
      <c r="S41" s="3"/>
      <c r="T41" s="3"/>
      <c r="U41" s="3"/>
      <c r="V41" s="3"/>
      <c r="W41" s="3">
        <f t="shared" si="0"/>
        <v>20.54</v>
      </c>
    </row>
    <row r="42" spans="1:23">
      <c r="A42" s="1">
        <v>285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3.13</v>
      </c>
      <c r="N42" s="3">
        <v>1.76</v>
      </c>
      <c r="O42" s="3">
        <v>1.47</v>
      </c>
      <c r="P42" s="3">
        <v>0.97</v>
      </c>
      <c r="Q42" s="3">
        <v>3.42</v>
      </c>
      <c r="R42" s="3"/>
      <c r="S42" s="3"/>
      <c r="T42" s="3"/>
      <c r="U42" s="3">
        <v>1.79</v>
      </c>
      <c r="V42" s="3"/>
      <c r="W42" s="3">
        <f t="shared" si="0"/>
        <v>12.54</v>
      </c>
    </row>
    <row r="43" spans="1:23">
      <c r="A43" s="1">
        <v>1791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4.68</v>
      </c>
      <c r="N43" s="3">
        <v>7.2</v>
      </c>
      <c r="O43" s="3">
        <f>15.31+4.34</f>
        <v>19.65</v>
      </c>
      <c r="P43" s="3">
        <v>9.37</v>
      </c>
      <c r="Q43" s="3">
        <v>2.93</v>
      </c>
      <c r="R43" s="3"/>
      <c r="S43" s="3">
        <v>3.23</v>
      </c>
      <c r="T43" s="3">
        <v>4.55</v>
      </c>
      <c r="U43" s="3">
        <v>4.65</v>
      </c>
      <c r="V43" s="3"/>
      <c r="W43" s="3">
        <f t="shared" si="0"/>
        <v>56.26</v>
      </c>
    </row>
    <row r="44" spans="1:23">
      <c r="A44" s="1">
        <v>1030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13.43</v>
      </c>
      <c r="N44" s="3">
        <f>15.37+14.21+15.51+3.67</f>
        <v>48.76</v>
      </c>
      <c r="O44" s="3">
        <f>14+14.89+11.9+9.17</f>
        <v>49.96</v>
      </c>
      <c r="P44" s="3">
        <f>17.61+13.94+11.64+2.6</f>
        <v>45.79</v>
      </c>
      <c r="Q44" s="3">
        <f>14.18+16.58</f>
        <v>30.76</v>
      </c>
      <c r="R44" s="3"/>
      <c r="S44" s="3"/>
      <c r="T44" s="3">
        <v>2.5</v>
      </c>
      <c r="U44" s="3">
        <v>10.46</v>
      </c>
      <c r="V44" s="3"/>
      <c r="W44" s="3">
        <f t="shared" si="0"/>
        <v>201.66</v>
      </c>
    </row>
    <row r="45" spans="1:23">
      <c r="A45" s="1">
        <v>309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15.53+15.95+19.07+16.91</f>
        <v>67.46</v>
      </c>
      <c r="N45" s="3">
        <f>11.89+13.36+14.15+22.23+15.38+12.94+13.1+13.72+18.75+7.26</f>
        <v>142.78</v>
      </c>
      <c r="O45" s="3">
        <f>12.06+14.48+11.88+14.68+17.43+13.47+13.47+2.79</f>
        <v>100.26</v>
      </c>
      <c r="P45" s="3">
        <f>12.38+14.89+13.61+15.1+16.63+15.1+12.31</f>
        <v>100.02</v>
      </c>
      <c r="Q45" s="3">
        <f>10.62+15+8.15</f>
        <v>33.77</v>
      </c>
      <c r="R45" s="3"/>
      <c r="S45" s="3">
        <v>6.66</v>
      </c>
      <c r="T45" s="3">
        <f>15.47+17.57+18.46+1.6</f>
        <v>53.1</v>
      </c>
      <c r="U45" s="3">
        <f>15.79+20.95+0.77</f>
        <v>37.51</v>
      </c>
      <c r="V45" s="3"/>
      <c r="W45" s="3">
        <f t="shared" si="0"/>
        <v>541.56</v>
      </c>
    </row>
    <row r="46" spans="1:23">
      <c r="A46" s="1">
        <v>655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f>16.59+12.48+17.43</f>
        <v>46.5</v>
      </c>
      <c r="N46" s="3">
        <f>18.31+19.43+13.55+16.18+18.69+3.27</f>
        <v>89.43</v>
      </c>
      <c r="O46" s="3">
        <f>16.75+14.8+14.6</f>
        <v>46.15</v>
      </c>
      <c r="P46" s="3">
        <v>3.43</v>
      </c>
      <c r="Q46" s="3">
        <v>8</v>
      </c>
      <c r="R46" s="3"/>
      <c r="S46" s="3"/>
      <c r="T46" s="3">
        <v>8.25</v>
      </c>
      <c r="U46" s="3">
        <f>2.23+0.67</f>
        <v>2.9</v>
      </c>
      <c r="V46" s="3"/>
      <c r="W46" s="3">
        <f t="shared" si="0"/>
        <v>204.66</v>
      </c>
    </row>
    <row r="47" spans="1:23">
      <c r="A47" s="1">
        <v>180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7.25</v>
      </c>
      <c r="N47" s="3">
        <v>1.94</v>
      </c>
      <c r="O47" s="3">
        <v>1.48</v>
      </c>
      <c r="P47" s="3"/>
      <c r="Q47" s="3"/>
      <c r="R47" s="3"/>
      <c r="S47" s="3"/>
      <c r="T47" s="3"/>
      <c r="U47" s="3"/>
      <c r="V47" s="3"/>
      <c r="W47" s="3">
        <f t="shared" si="0"/>
        <v>10.67</v>
      </c>
    </row>
    <row r="48" spans="1:23">
      <c r="A48" s="1">
        <v>560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22.65</v>
      </c>
      <c r="N48" s="3">
        <v>11.26</v>
      </c>
      <c r="O48" s="3">
        <v>2.71</v>
      </c>
      <c r="P48" s="3">
        <v>0.99</v>
      </c>
      <c r="Q48" s="3"/>
      <c r="R48" s="3"/>
      <c r="S48" s="3"/>
      <c r="T48" s="3"/>
      <c r="U48" s="3"/>
      <c r="V48" s="3"/>
      <c r="W48" s="3">
        <f t="shared" si="0"/>
        <v>37.61</v>
      </c>
    </row>
    <row r="49" spans="1:23">
      <c r="A49" s="1">
        <v>1311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10.08</v>
      </c>
      <c r="O49" s="3">
        <v>1.39</v>
      </c>
      <c r="P49" s="3">
        <v>1.14</v>
      </c>
      <c r="Q49" s="3"/>
      <c r="R49" s="3"/>
      <c r="S49" s="3"/>
      <c r="T49" s="3"/>
      <c r="U49" s="3"/>
      <c r="V49" s="3"/>
      <c r="W49" s="3">
        <f t="shared" si="0"/>
        <v>12.61</v>
      </c>
    </row>
    <row r="50" spans="1:23">
      <c r="A50" s="1">
        <v>478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15.3+15.63+17.71+20.25</f>
        <v>68.89</v>
      </c>
      <c r="N50" s="3">
        <f>13.05+13.99+18.44+15.82+15.49+19.85+18.02+18.42+19.3+25.23</f>
        <v>177.61</v>
      </c>
      <c r="O50" s="3">
        <f>13.32+12.11+11.97+14.27+15.32+16.21+17.65</f>
        <v>100.85</v>
      </c>
      <c r="P50" s="3">
        <f>12.28+12.69+13.35+13.24+15.34+13.25</f>
        <v>80.15</v>
      </c>
      <c r="Q50" s="3">
        <f>12.51+11.87</f>
        <v>24.38</v>
      </c>
      <c r="R50" s="3"/>
      <c r="S50" s="3"/>
      <c r="T50" s="3">
        <f>15.25+17.54</f>
        <v>32.79</v>
      </c>
      <c r="U50" s="3">
        <f>14.08+13.49</f>
        <v>27.57</v>
      </c>
      <c r="V50" s="3"/>
      <c r="W50" s="3">
        <f t="shared" si="0"/>
        <v>512.24</v>
      </c>
    </row>
    <row r="51" spans="1:23">
      <c r="A51" s="1">
        <v>478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f>18.17+22.86+21.52+21.64</f>
        <v>84.19</v>
      </c>
      <c r="N51" s="3">
        <f>17.1+22.62+16.2+16.18+22.93+9.33</f>
        <v>104.36</v>
      </c>
      <c r="O51" s="3">
        <f>13.98+16.98+5.67</f>
        <v>36.63</v>
      </c>
      <c r="P51" s="3">
        <f>15.2+20.61+15.61+11.11</f>
        <v>62.53</v>
      </c>
      <c r="Q51" s="3">
        <f>18.44+9.92</f>
        <v>28.36</v>
      </c>
      <c r="R51" s="3"/>
      <c r="S51" s="3">
        <v>12.78</v>
      </c>
      <c r="T51" s="3">
        <f>24.09+6.11</f>
        <v>30.2</v>
      </c>
      <c r="U51" s="3">
        <f>17.74+5.95</f>
        <v>23.69</v>
      </c>
      <c r="V51" s="18" t="s">
        <v>25</v>
      </c>
      <c r="W51" s="3">
        <f t="shared" si="0"/>
        <v>382.74</v>
      </c>
    </row>
    <row r="52" spans="1:23">
      <c r="A52" s="1">
        <v>2441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7.84</v>
      </c>
      <c r="N52" s="3">
        <v>5.88</v>
      </c>
      <c r="O52" s="3">
        <v>1.49</v>
      </c>
      <c r="P52" s="3"/>
      <c r="Q52" s="3"/>
      <c r="R52" s="3"/>
      <c r="S52" s="3">
        <v>2.37</v>
      </c>
      <c r="T52" s="3"/>
      <c r="U52" s="3"/>
      <c r="V52" s="3"/>
      <c r="W52" s="3">
        <f t="shared" si="0"/>
        <v>17.58</v>
      </c>
    </row>
    <row r="53" spans="1:23">
      <c r="A53" s="1">
        <v>693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8.23</v>
      </c>
      <c r="N53" s="3">
        <v>8.23</v>
      </c>
      <c r="O53" s="3"/>
      <c r="P53" s="3"/>
      <c r="Q53" s="3"/>
      <c r="R53" s="3"/>
      <c r="S53" s="3">
        <v>2.51</v>
      </c>
      <c r="T53" s="3">
        <v>5.63</v>
      </c>
      <c r="U53" s="3"/>
      <c r="V53" s="3"/>
      <c r="W53" s="3">
        <f t="shared" si="0"/>
        <v>24.6</v>
      </c>
    </row>
    <row r="54" spans="1:23">
      <c r="A54" s="1">
        <v>982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15.82</v>
      </c>
      <c r="N54" s="3">
        <v>9.44</v>
      </c>
      <c r="O54" s="3">
        <v>2.63</v>
      </c>
      <c r="P54" s="3">
        <v>3.32</v>
      </c>
      <c r="Q54" s="3"/>
      <c r="R54" s="3"/>
      <c r="S54" s="3"/>
      <c r="T54" s="3">
        <v>3.7</v>
      </c>
      <c r="U54" s="3">
        <v>0.94</v>
      </c>
      <c r="V54" s="3"/>
      <c r="W54" s="3">
        <f t="shared" si="0"/>
        <v>35.85</v>
      </c>
    </row>
    <row r="55" spans="1:23">
      <c r="A55" s="1">
        <v>968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2.03</v>
      </c>
      <c r="N55" s="3"/>
      <c r="O55" s="3"/>
      <c r="P55" s="3"/>
      <c r="Q55" s="3">
        <v>0.66</v>
      </c>
      <c r="R55" s="3"/>
      <c r="S55" s="3"/>
      <c r="T55" s="3"/>
      <c r="U55" s="3"/>
      <c r="V55" s="3"/>
      <c r="W55" s="3">
        <f t="shared" si="0"/>
        <v>2.69</v>
      </c>
    </row>
    <row r="56" spans="1:23">
      <c r="A56" s="1">
        <v>2443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7.03</v>
      </c>
      <c r="N56" s="3">
        <v>3.72</v>
      </c>
      <c r="O56" s="3"/>
      <c r="P56" s="3"/>
      <c r="Q56" s="3"/>
      <c r="R56" s="3"/>
      <c r="S56" s="3"/>
      <c r="T56" s="3"/>
      <c r="U56" s="3"/>
      <c r="V56" s="3"/>
      <c r="W56" s="3">
        <f t="shared" si="0"/>
        <v>10.75</v>
      </c>
    </row>
    <row r="57" spans="1:23">
      <c r="A57" s="1">
        <v>309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f>19.56+13.23+16.95+19.22+17.94+17.34+16.33+17.1+24.76+7.36</f>
        <v>169.79</v>
      </c>
      <c r="N57" s="3">
        <f>17.26+16.11+19.58+15.4+21.1+15.27+20.43+14.27+20.46+18.56+14.01+16.75+15.48+7.44</f>
        <v>232.12</v>
      </c>
      <c r="O57" s="3">
        <f>14.98+19+16.22+13.64+7.88</f>
        <v>71.72</v>
      </c>
      <c r="P57" s="3">
        <f>13.97+13.75+13.2</f>
        <v>40.92</v>
      </c>
      <c r="Q57" s="3">
        <v>10.64</v>
      </c>
      <c r="R57" s="3"/>
      <c r="S57" s="3">
        <f>15.6+19.59+2.66</f>
        <v>37.85</v>
      </c>
      <c r="T57" s="3">
        <f>16.55+15.07</f>
        <v>31.62</v>
      </c>
      <c r="U57" s="3">
        <v>14.78</v>
      </c>
      <c r="V57" s="3"/>
      <c r="W57" s="3">
        <f t="shared" si="0"/>
        <v>609.44</v>
      </c>
    </row>
    <row r="58" spans="1:23">
      <c r="A58" s="13" t="s">
        <v>26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10.05</v>
      </c>
      <c r="N58" s="3">
        <v>12.82</v>
      </c>
      <c r="O58" s="3">
        <v>2.81</v>
      </c>
      <c r="P58" s="3">
        <v>3.38</v>
      </c>
      <c r="Q58" s="3">
        <v>1.67</v>
      </c>
      <c r="R58" s="3"/>
      <c r="S58" s="3"/>
      <c r="T58" s="3"/>
      <c r="U58" s="3"/>
      <c r="V58" s="3"/>
      <c r="W58" s="3">
        <f t="shared" si="0"/>
        <v>30.73</v>
      </c>
    </row>
    <row r="59" spans="1:23">
      <c r="A59" s="1">
        <v>452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6.61</v>
      </c>
      <c r="N59" s="3">
        <v>11.05</v>
      </c>
      <c r="O59" s="3">
        <v>2.45</v>
      </c>
      <c r="P59" s="3">
        <v>0.99</v>
      </c>
      <c r="Q59" s="3">
        <v>0.8</v>
      </c>
      <c r="R59" s="3"/>
      <c r="S59" s="3">
        <v>3.76</v>
      </c>
      <c r="T59" s="3"/>
      <c r="U59" s="3"/>
      <c r="V59" s="3"/>
      <c r="W59" s="3">
        <f t="shared" si="0"/>
        <v>25.66</v>
      </c>
    </row>
    <row r="60" spans="1:23">
      <c r="A60" s="1">
        <v>260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f>15.93+21.01+21.62+5.15</f>
        <v>63.71</v>
      </c>
      <c r="N60" s="3">
        <f>15.64+17.84+16.38+15.61+14.4+17.94+13.04</f>
        <v>110.85</v>
      </c>
      <c r="O60" s="3">
        <f>14.79+13.23+13.18+11.2</f>
        <v>52.4</v>
      </c>
      <c r="P60" s="3">
        <f>13.36+11.11+10.51</f>
        <v>34.98</v>
      </c>
      <c r="Q60" s="3">
        <v>10.99</v>
      </c>
      <c r="R60" s="3"/>
      <c r="S60" s="3"/>
      <c r="T60" s="3">
        <v>2.96</v>
      </c>
      <c r="U60" s="3">
        <v>8.03</v>
      </c>
      <c r="V60" s="3"/>
      <c r="W60" s="3">
        <f t="shared" si="0"/>
        <v>283.92</v>
      </c>
    </row>
    <row r="61" spans="1:23">
      <c r="A61" s="1">
        <v>2495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9.57</v>
      </c>
      <c r="N61" s="3">
        <f>14.47+1.84</f>
        <v>16.31</v>
      </c>
      <c r="O61" s="3">
        <f>16.46+5.88</f>
        <v>22.34</v>
      </c>
      <c r="P61" s="3">
        <v>13.73</v>
      </c>
      <c r="Q61" s="3">
        <v>8.33</v>
      </c>
      <c r="R61" s="3"/>
      <c r="S61" s="3"/>
      <c r="T61" s="3">
        <v>6.23</v>
      </c>
      <c r="U61" s="3">
        <v>5.29</v>
      </c>
      <c r="V61" s="3"/>
      <c r="W61" s="3">
        <f t="shared" si="0"/>
        <v>81.8</v>
      </c>
    </row>
    <row r="62" spans="1:23">
      <c r="A62" s="1">
        <v>444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f>10.44+4.35</f>
        <v>14.79</v>
      </c>
      <c r="N62" s="3">
        <f>10.06+7.47</f>
        <v>17.53</v>
      </c>
      <c r="O62" s="3">
        <v>4.39</v>
      </c>
      <c r="P62" s="3">
        <v>6.03</v>
      </c>
      <c r="Q62" s="3"/>
      <c r="R62" s="3"/>
      <c r="S62" s="3">
        <v>7.67</v>
      </c>
      <c r="T62" s="3">
        <v>2.76</v>
      </c>
      <c r="U62" s="3">
        <v>2.62</v>
      </c>
      <c r="V62" s="3"/>
      <c r="W62" s="3">
        <f t="shared" si="0"/>
        <v>55.79</v>
      </c>
    </row>
    <row r="63" spans="1:23">
      <c r="A63" s="1">
        <v>1030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18.82+18.2+16.78+16.04</f>
        <v>69.84</v>
      </c>
      <c r="N63" s="3">
        <f>15.53+17.12+16.38+12.9+15.78+15.64+14.42+17.8</f>
        <v>125.57</v>
      </c>
      <c r="O63" s="3">
        <f>16.89+13.66+12.97+22.71</f>
        <v>66.23</v>
      </c>
      <c r="P63" s="3">
        <f>13.99+12.32+8.48+13.51+9.33</f>
        <v>57.63</v>
      </c>
      <c r="Q63" s="3">
        <f>19.36+14.94+9.7</f>
        <v>44</v>
      </c>
      <c r="R63" s="3"/>
      <c r="S63" s="3">
        <v>11.32</v>
      </c>
      <c r="T63" s="3">
        <v>4.27</v>
      </c>
      <c r="U63" s="3">
        <f>16.78+1.4</f>
        <v>18.18</v>
      </c>
      <c r="V63" s="3"/>
      <c r="W63" s="3">
        <f t="shared" si="0"/>
        <v>397.04</v>
      </c>
    </row>
    <row r="64" spans="1:23">
      <c r="A64" s="1">
        <v>2482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4.71</v>
      </c>
      <c r="N64" s="3">
        <v>12.68</v>
      </c>
      <c r="O64" s="3">
        <v>2.94</v>
      </c>
      <c r="P64" s="3">
        <v>7.49</v>
      </c>
      <c r="Q64" s="3"/>
      <c r="R64" s="3"/>
      <c r="S64" s="3"/>
      <c r="T64" s="3">
        <v>1.39</v>
      </c>
      <c r="U64" s="3"/>
      <c r="V64" s="3"/>
      <c r="W64" s="3">
        <f t="shared" si="0"/>
        <v>29.21</v>
      </c>
    </row>
    <row r="65" spans="1:23">
      <c r="A65" s="1">
        <v>1745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>
        <v>6.96</v>
      </c>
      <c r="P65" s="3">
        <v>2.48</v>
      </c>
      <c r="Q65" s="3">
        <v>2.75</v>
      </c>
      <c r="R65" s="3"/>
      <c r="S65" s="3"/>
      <c r="T65" s="3">
        <v>1.32</v>
      </c>
      <c r="U65" s="3"/>
      <c r="V65" s="3"/>
      <c r="W65" s="3">
        <f t="shared" si="0"/>
        <v>13.51</v>
      </c>
    </row>
    <row r="66" spans="1:23">
      <c r="A66" s="1">
        <v>1795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11.84</v>
      </c>
      <c r="N66" s="3">
        <v>9.61</v>
      </c>
      <c r="O66" s="3">
        <v>8.17</v>
      </c>
      <c r="P66" s="3">
        <v>8.3</v>
      </c>
      <c r="Q66" s="3">
        <v>15.31</v>
      </c>
      <c r="R66" s="3"/>
      <c r="S66" s="3"/>
      <c r="T66" s="3">
        <v>1.17</v>
      </c>
      <c r="U66" s="3">
        <v>1.91</v>
      </c>
      <c r="V66" s="3"/>
      <c r="W66" s="3">
        <f t="shared" si="0"/>
        <v>56.31</v>
      </c>
    </row>
    <row r="67" spans="1:23">
      <c r="A67" s="1">
        <v>1791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>15.95+19.32+7.78</f>
        <v>43.05</v>
      </c>
      <c r="N67" s="3">
        <f>17.94+20.24+16.86+23.61</f>
        <v>78.65</v>
      </c>
      <c r="O67" s="3">
        <f>19.67+16.2+16.44+9.06</f>
        <v>61.37</v>
      </c>
      <c r="P67" s="3">
        <f>17.78+14.8+6.01</f>
        <v>38.59</v>
      </c>
      <c r="Q67" s="3">
        <f>11.09+5.53</f>
        <v>16.62</v>
      </c>
      <c r="R67" s="3"/>
      <c r="S67" s="3">
        <v>8.49</v>
      </c>
      <c r="T67" s="3">
        <f>13.6+5.2</f>
        <v>18.8</v>
      </c>
      <c r="U67" s="3">
        <f>10.87+7.16</f>
        <v>18.03</v>
      </c>
      <c r="V67" s="3"/>
      <c r="W67" s="3">
        <f t="shared" si="0"/>
        <v>283.6</v>
      </c>
    </row>
    <row r="68" spans="1:23">
      <c r="A68" s="1">
        <v>345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v>8.69</v>
      </c>
      <c r="N68" s="3">
        <v>7.58</v>
      </c>
      <c r="O68" s="3"/>
      <c r="P68" s="3">
        <v>1.07</v>
      </c>
      <c r="Q68" s="3"/>
      <c r="R68" s="3"/>
      <c r="S68" s="3"/>
      <c r="T68" s="3"/>
      <c r="U68" s="3"/>
      <c r="V68" s="3"/>
      <c r="W68" s="3">
        <f t="shared" ref="W68:W131" si="1">SUM(C68:V68)</f>
        <v>17.34</v>
      </c>
    </row>
    <row r="69" spans="1:23">
      <c r="A69" s="1">
        <v>1034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10.88</v>
      </c>
      <c r="N69" s="3">
        <v>15.48</v>
      </c>
      <c r="O69" s="3">
        <v>17.4</v>
      </c>
      <c r="P69" s="3">
        <v>3</v>
      </c>
      <c r="Q69" s="3"/>
      <c r="R69" s="3"/>
      <c r="S69" s="3">
        <v>2.95</v>
      </c>
      <c r="T69" s="3"/>
      <c r="U69" s="3"/>
      <c r="V69" s="3"/>
      <c r="W69" s="3">
        <f t="shared" si="1"/>
        <v>49.71</v>
      </c>
    </row>
    <row r="70" spans="1:23">
      <c r="A70" s="1">
        <v>260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f>16.32+12.8</f>
        <v>29.12</v>
      </c>
      <c r="N70" s="3">
        <f>14.95+6.09</f>
        <v>21.04</v>
      </c>
      <c r="O70" s="18">
        <f>15.63+7.82</f>
        <v>23.45</v>
      </c>
      <c r="P70" s="3">
        <v>11.01</v>
      </c>
      <c r="Q70" s="3">
        <v>3.26</v>
      </c>
      <c r="R70" s="3"/>
      <c r="S70" s="3">
        <f>12.81+5.73</f>
        <v>18.54</v>
      </c>
      <c r="T70" s="3">
        <f>12.88+15.76+9.25</f>
        <v>37.89</v>
      </c>
      <c r="U70" s="3">
        <f>14.16+6.05</f>
        <v>20.21</v>
      </c>
      <c r="V70" s="3"/>
      <c r="W70" s="3">
        <f t="shared" si="1"/>
        <v>164.52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1356.12</v>
      </c>
      <c r="N349" s="4">
        <f t="shared" si="6"/>
        <v>2099.19</v>
      </c>
      <c r="O349" s="4">
        <f t="shared" si="6"/>
        <v>1198.24</v>
      </c>
      <c r="P349" s="4">
        <f t="shared" si="6"/>
        <v>872.7</v>
      </c>
      <c r="Q349" s="4">
        <f t="shared" si="6"/>
        <v>381.77</v>
      </c>
      <c r="R349" s="4">
        <f t="shared" si="6"/>
        <v>2.35</v>
      </c>
      <c r="S349" s="4">
        <f t="shared" si="6"/>
        <v>282.3</v>
      </c>
      <c r="T349" s="4">
        <f t="shared" si="6"/>
        <v>778.5</v>
      </c>
      <c r="U349" s="4">
        <f t="shared" si="6"/>
        <v>481.28</v>
      </c>
      <c r="V349" s="4">
        <f t="shared" si="6"/>
        <v>0</v>
      </c>
      <c r="W349" s="4">
        <f>SUM(W2:W348)</f>
        <v>7452.45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604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14.7</v>
      </c>
      <c r="N2" s="3">
        <v>25.88</v>
      </c>
      <c r="O2" s="3">
        <v>8.73</v>
      </c>
      <c r="P2" s="3"/>
      <c r="Q2" s="3">
        <v>1.94</v>
      </c>
      <c r="R2" s="3"/>
      <c r="S2" s="3"/>
      <c r="T2" s="3">
        <v>12.39</v>
      </c>
      <c r="U2" s="3"/>
      <c r="V2" s="3"/>
      <c r="W2" s="3">
        <f t="shared" ref="W2:W67" si="0">SUM(C2:V2)</f>
        <v>63.64</v>
      </c>
    </row>
    <row r="3" spans="1:23">
      <c r="A3" s="1">
        <v>1005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2.16</v>
      </c>
      <c r="N3" s="3">
        <v>7.05</v>
      </c>
      <c r="O3" s="3">
        <v>2.91</v>
      </c>
      <c r="P3" s="3">
        <v>2.27</v>
      </c>
      <c r="Q3" s="3">
        <v>2.75</v>
      </c>
      <c r="R3" s="3"/>
      <c r="S3" s="3"/>
      <c r="T3" s="3">
        <v>4.33</v>
      </c>
      <c r="U3" s="3">
        <v>1.74</v>
      </c>
      <c r="V3" s="3"/>
      <c r="W3" s="3">
        <f t="shared" si="0"/>
        <v>23.21</v>
      </c>
    </row>
    <row r="4" spans="1:23">
      <c r="A4" s="1">
        <v>999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11.04</v>
      </c>
      <c r="N4" s="3">
        <v>19.16</v>
      </c>
      <c r="O4" s="3">
        <v>1.43</v>
      </c>
      <c r="P4" s="3"/>
      <c r="Q4" s="3"/>
      <c r="R4" s="3"/>
      <c r="S4" s="3">
        <v>10.53</v>
      </c>
      <c r="T4" s="3">
        <v>3.71</v>
      </c>
      <c r="U4" s="3"/>
      <c r="V4" s="3"/>
      <c r="W4" s="3">
        <f t="shared" si="0"/>
        <v>45.87</v>
      </c>
    </row>
    <row r="5" spans="1:23">
      <c r="A5" s="1">
        <v>1006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4.63</v>
      </c>
      <c r="N5" s="3">
        <v>9.19</v>
      </c>
      <c r="O5" s="3">
        <v>10.69</v>
      </c>
      <c r="P5" s="3">
        <v>8.63</v>
      </c>
      <c r="Q5" s="3">
        <v>0.96</v>
      </c>
      <c r="R5" s="3"/>
      <c r="S5" s="3"/>
      <c r="T5" s="3">
        <v>7.25</v>
      </c>
      <c r="U5" s="3">
        <v>2.63</v>
      </c>
      <c r="V5" s="3"/>
      <c r="W5" s="3">
        <f t="shared" si="0"/>
        <v>43.98</v>
      </c>
    </row>
    <row r="6" spans="1:23">
      <c r="A6" s="1">
        <v>1792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4.66</v>
      </c>
      <c r="N6" s="3">
        <v>11.1</v>
      </c>
      <c r="O6" s="3">
        <v>18.93</v>
      </c>
      <c r="P6" s="3">
        <v>5.16</v>
      </c>
      <c r="Q6" s="3">
        <v>3.91</v>
      </c>
      <c r="R6" s="3"/>
      <c r="S6" s="3">
        <v>11.51</v>
      </c>
      <c r="T6" s="3">
        <v>8.82</v>
      </c>
      <c r="U6" s="3"/>
      <c r="V6" s="3"/>
      <c r="W6" s="3">
        <f t="shared" si="0"/>
        <v>64.09</v>
      </c>
    </row>
    <row r="7" spans="1:23">
      <c r="A7" s="1">
        <v>1792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4.58</v>
      </c>
      <c r="N7" s="3">
        <v>13.99</v>
      </c>
      <c r="O7" s="3">
        <v>11.21</v>
      </c>
      <c r="P7" s="3">
        <v>9.43</v>
      </c>
      <c r="Q7" s="3"/>
      <c r="R7" s="3"/>
      <c r="S7" s="3">
        <v>7.23</v>
      </c>
      <c r="T7" s="3">
        <v>8.42</v>
      </c>
      <c r="U7" s="3">
        <v>3.61</v>
      </c>
      <c r="V7" s="3"/>
      <c r="W7" s="3">
        <f t="shared" si="0"/>
        <v>58.47</v>
      </c>
    </row>
    <row r="8" spans="1:23">
      <c r="A8" s="1">
        <v>987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2.14+2.45</f>
        <v>4.59</v>
      </c>
      <c r="N8" s="3">
        <v>3.74</v>
      </c>
      <c r="O8" s="3"/>
      <c r="P8" s="3"/>
      <c r="Q8" s="3"/>
      <c r="R8" s="3"/>
      <c r="S8" s="3"/>
      <c r="T8" s="3"/>
      <c r="U8" s="3"/>
      <c r="V8" s="3"/>
      <c r="W8" s="3">
        <f t="shared" si="0"/>
        <v>8.33</v>
      </c>
    </row>
    <row r="9" spans="1:23">
      <c r="A9" s="1">
        <v>406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2.56</v>
      </c>
      <c r="N9" s="3">
        <v>1.77</v>
      </c>
      <c r="O9" s="3">
        <v>1.41</v>
      </c>
      <c r="P9" s="3">
        <v>7.92</v>
      </c>
      <c r="Q9" s="3">
        <v>1.72</v>
      </c>
      <c r="R9" s="3"/>
      <c r="S9" s="3"/>
      <c r="T9" s="3"/>
      <c r="U9" s="3"/>
      <c r="V9" s="3"/>
      <c r="W9" s="3">
        <f t="shared" si="0"/>
        <v>15.38</v>
      </c>
    </row>
    <row r="10" spans="1:23">
      <c r="A10" s="1">
        <v>2192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4.68</v>
      </c>
      <c r="N10" s="3">
        <f>17.79+15.47</f>
        <v>33.26</v>
      </c>
      <c r="O10" s="3">
        <f>14.75+1.44</f>
        <v>16.19</v>
      </c>
      <c r="P10" s="3">
        <v>15.84</v>
      </c>
      <c r="Q10" s="3">
        <v>9.26</v>
      </c>
      <c r="R10" s="3"/>
      <c r="S10" s="3"/>
      <c r="T10" s="3"/>
      <c r="U10" s="3">
        <v>2.63</v>
      </c>
      <c r="V10" s="3"/>
      <c r="W10" s="3">
        <f t="shared" si="0"/>
        <v>81.86</v>
      </c>
    </row>
    <row r="11" spans="1:23">
      <c r="A11" s="1">
        <v>1017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4.62</v>
      </c>
      <c r="N11" s="3">
        <v>3.9</v>
      </c>
      <c r="O11" s="3">
        <f>1.3+6.57</f>
        <v>7.87</v>
      </c>
      <c r="P11" s="3"/>
      <c r="Q11" s="3">
        <v>1.77</v>
      </c>
      <c r="R11" s="3"/>
      <c r="S11" s="3"/>
      <c r="T11" s="3">
        <v>1.47</v>
      </c>
      <c r="U11" s="3"/>
      <c r="V11" s="3"/>
      <c r="W11" s="3">
        <f t="shared" si="0"/>
        <v>19.63</v>
      </c>
    </row>
    <row r="12" spans="1:23">
      <c r="A12" s="1">
        <v>1971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11.86</v>
      </c>
      <c r="N12" s="3">
        <v>9.51</v>
      </c>
      <c r="O12" s="3">
        <v>3.01</v>
      </c>
      <c r="P12" s="3">
        <v>9.62</v>
      </c>
      <c r="Q12" s="3">
        <v>0.84</v>
      </c>
      <c r="R12" s="3"/>
      <c r="S12" s="3"/>
      <c r="T12" s="3">
        <v>1.52</v>
      </c>
      <c r="U12" s="3"/>
      <c r="V12" s="3"/>
      <c r="W12" s="3">
        <f t="shared" si="0"/>
        <v>36.36</v>
      </c>
    </row>
    <row r="13" spans="1:23">
      <c r="A13" s="1">
        <v>1723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v>15.41</v>
      </c>
      <c r="O13" s="3">
        <v>10.51</v>
      </c>
      <c r="P13" s="3">
        <v>4.92</v>
      </c>
      <c r="Q13" s="3">
        <v>5.96</v>
      </c>
      <c r="R13" s="3"/>
      <c r="S13" s="3"/>
      <c r="T13" s="3">
        <v>4.43</v>
      </c>
      <c r="U13" s="3">
        <v>0.69</v>
      </c>
      <c r="V13" s="3"/>
      <c r="W13" s="3">
        <f t="shared" si="0"/>
        <v>41.92</v>
      </c>
    </row>
    <row r="14" spans="1:23">
      <c r="A14" s="1">
        <v>689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>
        <v>4.2</v>
      </c>
      <c r="P14" s="3">
        <v>16</v>
      </c>
      <c r="Q14" s="3">
        <v>2.68</v>
      </c>
      <c r="R14" s="3"/>
      <c r="S14" s="3"/>
      <c r="T14" s="3">
        <v>1.33</v>
      </c>
      <c r="U14" s="3">
        <v>0.89</v>
      </c>
      <c r="V14" s="3"/>
      <c r="W14" s="3">
        <f t="shared" si="0"/>
        <v>25.1</v>
      </c>
    </row>
    <row r="15" spans="1:23">
      <c r="A15" s="1">
        <v>1033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10.46</v>
      </c>
      <c r="N15" s="3">
        <v>17.89</v>
      </c>
      <c r="O15" s="3">
        <v>1.47</v>
      </c>
      <c r="P15" s="3">
        <v>24.16</v>
      </c>
      <c r="Q15" s="3">
        <v>5.88</v>
      </c>
      <c r="R15" s="3"/>
      <c r="S15" s="3"/>
      <c r="T15" s="3"/>
      <c r="U15" s="3">
        <v>1.39</v>
      </c>
      <c r="V15" s="3"/>
      <c r="W15" s="3">
        <f t="shared" si="0"/>
        <v>61.25</v>
      </c>
    </row>
    <row r="16" spans="1:23">
      <c r="A16" s="1">
        <v>2482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21.44+12.05</f>
        <v>33.49</v>
      </c>
      <c r="N16" s="3">
        <f>15.52+14.82</f>
        <v>30.34</v>
      </c>
      <c r="O16" s="3">
        <v>13.74</v>
      </c>
      <c r="P16" s="3">
        <v>6.77</v>
      </c>
      <c r="Q16" s="3"/>
      <c r="R16" s="3"/>
      <c r="S16" s="3"/>
      <c r="T16" s="3">
        <v>5.43</v>
      </c>
      <c r="U16" s="3">
        <v>0.73</v>
      </c>
      <c r="V16" s="3"/>
      <c r="W16" s="3">
        <f t="shared" si="0"/>
        <v>90.5</v>
      </c>
    </row>
    <row r="17" spans="1:23">
      <c r="A17" s="1">
        <v>326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6.56</v>
      </c>
      <c r="N17" s="3">
        <v>9.12</v>
      </c>
      <c r="O17" s="3">
        <v>1.5</v>
      </c>
      <c r="P17" s="3">
        <v>2.38</v>
      </c>
      <c r="Q17" s="3"/>
      <c r="R17" s="3"/>
      <c r="S17" s="3"/>
      <c r="T17" s="3"/>
      <c r="U17" s="3"/>
      <c r="V17" s="3"/>
      <c r="W17" s="3">
        <f t="shared" si="0"/>
        <v>19.56</v>
      </c>
    </row>
    <row r="18" spans="1:23">
      <c r="A18" s="1">
        <v>1311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2.31</v>
      </c>
      <c r="N18" s="3">
        <v>5.32</v>
      </c>
      <c r="O18" s="3">
        <v>2.93</v>
      </c>
      <c r="P18" s="3">
        <v>5.22</v>
      </c>
      <c r="Q18" s="3">
        <v>0.94</v>
      </c>
      <c r="R18" s="3"/>
      <c r="S18" s="3"/>
      <c r="T18" s="3"/>
      <c r="U18" s="3">
        <v>0.98</v>
      </c>
      <c r="V18" s="3"/>
      <c r="W18" s="3">
        <f t="shared" si="0"/>
        <v>17.7</v>
      </c>
    </row>
    <row r="19" spans="1:23">
      <c r="A19" s="1">
        <v>4005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f>17.12+4.87</f>
        <v>21.99</v>
      </c>
      <c r="N19" s="3">
        <f>14.7+19.95+20.68+11.46</f>
        <v>66.79</v>
      </c>
      <c r="O19" s="3">
        <f>16.88+16.21</f>
        <v>33.09</v>
      </c>
      <c r="P19" s="3">
        <f>15.4+16.97</f>
        <v>32.37</v>
      </c>
      <c r="Q19" s="3">
        <v>22.14</v>
      </c>
      <c r="R19" s="3"/>
      <c r="S19" s="3">
        <v>3.25</v>
      </c>
      <c r="T19" s="3">
        <v>5.85</v>
      </c>
      <c r="U19" s="3">
        <v>7.88</v>
      </c>
      <c r="V19" s="3"/>
      <c r="W19" s="3">
        <f t="shared" si="0"/>
        <v>193.36</v>
      </c>
    </row>
    <row r="20" spans="1:23">
      <c r="A20" s="1">
        <v>345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4.9</v>
      </c>
      <c r="N20" s="3">
        <v>10.47</v>
      </c>
      <c r="O20" s="3">
        <v>5.9</v>
      </c>
      <c r="P20" s="3"/>
      <c r="Q20" s="3"/>
      <c r="R20" s="3"/>
      <c r="S20" s="3"/>
      <c r="T20" s="3"/>
      <c r="U20" s="3"/>
      <c r="V20" s="3"/>
      <c r="W20" s="3">
        <f t="shared" si="0"/>
        <v>21.27</v>
      </c>
    </row>
    <row r="21" spans="1:23">
      <c r="A21" s="1">
        <v>478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1">
        <f>20.75+20.21+21.77+14.86</f>
        <v>77.59</v>
      </c>
      <c r="N21" s="3">
        <f>20.49+16.51+21.16+13.89+17.11+22.82+14.78+14.26+11.43</f>
        <v>152.45</v>
      </c>
      <c r="O21" s="3">
        <f>15.17+15.27+16.31+20.39+17.61+22.57+23.55+7.98</f>
        <v>138.85</v>
      </c>
      <c r="P21" s="3">
        <f>16.95+15.17+14.62+16.1</f>
        <v>62.84</v>
      </c>
      <c r="Q21" s="3">
        <f>16.66+12.09</f>
        <v>28.75</v>
      </c>
      <c r="R21" s="3"/>
      <c r="S21" s="3">
        <v>2.22</v>
      </c>
      <c r="T21" s="3">
        <f>19.25+15.93+16.78+16.96</f>
        <v>68.92</v>
      </c>
      <c r="U21" s="3">
        <f>15.76+14.95</f>
        <v>30.71</v>
      </c>
      <c r="V21" s="3"/>
      <c r="W21" s="3">
        <f t="shared" si="0"/>
        <v>562.33</v>
      </c>
    </row>
    <row r="22" spans="1:23">
      <c r="A22" s="1">
        <v>1002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20.47</v>
      </c>
      <c r="N22" s="3">
        <v>16.94</v>
      </c>
      <c r="O22" s="3">
        <v>11.05</v>
      </c>
      <c r="P22" s="3">
        <v>3.7</v>
      </c>
      <c r="Q22" s="3"/>
      <c r="R22" s="3"/>
      <c r="S22" s="3"/>
      <c r="T22" s="3"/>
      <c r="U22" s="3"/>
      <c r="V22" s="3"/>
      <c r="W22" s="3">
        <f t="shared" si="0"/>
        <v>52.16</v>
      </c>
    </row>
    <row r="23" spans="1:23">
      <c r="A23" s="1">
        <v>2495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4.86</v>
      </c>
      <c r="N23" s="3">
        <v>20.77</v>
      </c>
      <c r="O23" s="3">
        <v>23.26</v>
      </c>
      <c r="P23" s="3">
        <v>9.75</v>
      </c>
      <c r="Q23" s="3">
        <v>1.89</v>
      </c>
      <c r="R23" s="3"/>
      <c r="S23" s="3"/>
      <c r="T23" s="3">
        <v>7.49</v>
      </c>
      <c r="U23" s="3">
        <v>2.21</v>
      </c>
      <c r="V23" s="3"/>
      <c r="W23" s="3">
        <f t="shared" si="0"/>
        <v>70.23</v>
      </c>
    </row>
    <row r="24" spans="1:23">
      <c r="A24" s="1">
        <v>1161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>
        <f>3.47+1.58</f>
        <v>5.05</v>
      </c>
      <c r="O24" s="3"/>
      <c r="P24" s="3">
        <v>3.67</v>
      </c>
      <c r="Q24" s="3"/>
      <c r="R24" s="3"/>
      <c r="S24" s="3"/>
      <c r="T24" s="3"/>
      <c r="U24" s="3"/>
      <c r="V24" s="3"/>
      <c r="W24" s="3">
        <f t="shared" si="0"/>
        <v>8.72</v>
      </c>
    </row>
    <row r="25" spans="1:23">
      <c r="A25" s="1">
        <v>1009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6.81</v>
      </c>
      <c r="N25" s="3">
        <v>7.06</v>
      </c>
      <c r="O25" s="3">
        <v>6.04</v>
      </c>
      <c r="P25" s="3"/>
      <c r="Q25" s="3">
        <v>0.64</v>
      </c>
      <c r="R25" s="3"/>
      <c r="S25" s="3"/>
      <c r="T25" s="3"/>
      <c r="U25" s="3">
        <v>0.56</v>
      </c>
      <c r="V25" s="3"/>
      <c r="W25" s="3">
        <f t="shared" si="0"/>
        <v>21.11</v>
      </c>
    </row>
    <row r="26" spans="1:23">
      <c r="A26" s="1">
        <v>444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27.27</v>
      </c>
      <c r="N26" s="3">
        <v>12.13</v>
      </c>
      <c r="O26" s="3">
        <v>9.21</v>
      </c>
      <c r="P26" s="3">
        <v>3.55</v>
      </c>
      <c r="Q26" s="3"/>
      <c r="R26" s="3"/>
      <c r="S26" s="3">
        <v>4.76</v>
      </c>
      <c r="T26" s="3">
        <v>2.82</v>
      </c>
      <c r="U26" s="3">
        <v>3.9</v>
      </c>
      <c r="V26" s="3"/>
      <c r="W26" s="3">
        <f t="shared" si="0"/>
        <v>63.64</v>
      </c>
    </row>
    <row r="27" spans="1:23">
      <c r="A27" s="1">
        <v>273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2.49</v>
      </c>
      <c r="N27" s="3">
        <v>18.87</v>
      </c>
      <c r="O27" s="3">
        <v>5.97</v>
      </c>
      <c r="P27" s="3">
        <v>7.1</v>
      </c>
      <c r="Q27" s="3"/>
      <c r="R27" s="3"/>
      <c r="S27" s="3"/>
      <c r="T27" s="3">
        <v>3.31</v>
      </c>
      <c r="U27" s="3"/>
      <c r="V27" s="3"/>
      <c r="W27" s="3">
        <f t="shared" si="0"/>
        <v>37.74</v>
      </c>
    </row>
    <row r="28" spans="1:23">
      <c r="A28" s="1">
        <v>260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16.9+22.7+7.36</f>
        <v>46.96</v>
      </c>
      <c r="N28" s="3">
        <f>23.16+19.58+25.67+15.5+20.19+16.05</f>
        <v>120.15</v>
      </c>
      <c r="O28" s="3">
        <f>19.38+14.96+16.8+16.67+15.22</f>
        <v>83.03</v>
      </c>
      <c r="P28" s="3">
        <f>16.27+15.92</f>
        <v>32.19</v>
      </c>
      <c r="Q28" s="3">
        <v>8.21</v>
      </c>
      <c r="R28" s="3"/>
      <c r="S28" s="3">
        <f>14.96+2.52</f>
        <v>17.48</v>
      </c>
      <c r="T28" s="3">
        <f>20.97+2.79</f>
        <v>23.76</v>
      </c>
      <c r="U28" s="3">
        <v>9.09</v>
      </c>
      <c r="V28" s="3"/>
      <c r="W28" s="3">
        <f t="shared" si="0"/>
        <v>340.87</v>
      </c>
    </row>
    <row r="29" spans="1:23">
      <c r="A29" s="1">
        <v>478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f>16.28+17.78+15.86+8.4</f>
        <v>58.32</v>
      </c>
      <c r="N29" s="3">
        <f>16.07+15.76+19.27</f>
        <v>51.1</v>
      </c>
      <c r="O29" s="3">
        <f>20.24+14.04</f>
        <v>34.28</v>
      </c>
      <c r="P29" s="3">
        <f>12.51+4.61</f>
        <v>17.12</v>
      </c>
      <c r="Q29" s="3">
        <v>9.23</v>
      </c>
      <c r="R29" s="3"/>
      <c r="S29" s="3">
        <v>13.14</v>
      </c>
      <c r="T29" s="3">
        <f>16.29+6.49</f>
        <v>22.78</v>
      </c>
      <c r="U29" s="3">
        <v>15.19</v>
      </c>
      <c r="V29" s="3"/>
      <c r="W29" s="3">
        <f t="shared" si="0"/>
        <v>221.16</v>
      </c>
    </row>
    <row r="30" spans="1:23">
      <c r="A30" s="1">
        <v>1016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7.26</v>
      </c>
      <c r="N30" s="3">
        <v>3.48</v>
      </c>
      <c r="O30" s="3">
        <v>1.42</v>
      </c>
      <c r="P30" s="3"/>
      <c r="Q30" s="3"/>
      <c r="R30" s="3"/>
      <c r="S30" s="3"/>
      <c r="T30" s="3"/>
      <c r="U30" s="3"/>
      <c r="V30" s="3"/>
      <c r="W30" s="3">
        <f t="shared" si="0"/>
        <v>12.16</v>
      </c>
    </row>
    <row r="31" spans="1:23">
      <c r="A31" s="1">
        <v>10.32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6.97</v>
      </c>
      <c r="N31" s="3">
        <v>7.57</v>
      </c>
      <c r="O31" s="3">
        <v>8.25</v>
      </c>
      <c r="P31" s="3">
        <v>1.96</v>
      </c>
      <c r="Q31" s="3"/>
      <c r="R31" s="3"/>
      <c r="S31" s="3"/>
      <c r="T31" s="3">
        <v>6.72</v>
      </c>
      <c r="U31" s="3"/>
      <c r="V31" s="3"/>
      <c r="W31" s="3">
        <f t="shared" si="0"/>
        <v>31.47</v>
      </c>
    </row>
    <row r="32" spans="1:23">
      <c r="A32" s="1">
        <v>1235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7.94</v>
      </c>
      <c r="O32" s="3">
        <v>4.45</v>
      </c>
      <c r="P32" s="3">
        <v>3.9</v>
      </c>
      <c r="Q32" s="3">
        <v>3.73</v>
      </c>
      <c r="R32" s="3"/>
      <c r="S32" s="3"/>
      <c r="T32" s="3">
        <v>6.92</v>
      </c>
      <c r="U32" s="3">
        <v>5.4</v>
      </c>
      <c r="V32" s="3"/>
      <c r="W32" s="3">
        <f t="shared" si="0"/>
        <v>32.34</v>
      </c>
    </row>
    <row r="33" spans="1:23">
      <c r="A33" s="1">
        <v>641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f>17.99+15.93+4.74</f>
        <v>38.66</v>
      </c>
      <c r="N33" s="3">
        <f>22.47+21.68+17.19+17.51+13.98</f>
        <v>92.83</v>
      </c>
      <c r="O33" s="3">
        <f>20.7+23.49+15.32+16.84</f>
        <v>76.35</v>
      </c>
      <c r="P33" s="3">
        <f>21.89+19.45+16.23</f>
        <v>57.57</v>
      </c>
      <c r="Q33" s="3">
        <v>14.9</v>
      </c>
      <c r="R33" s="3"/>
      <c r="S33" s="3">
        <v>11.31</v>
      </c>
      <c r="T33" s="3">
        <f>18.4+20.97+10.09</f>
        <v>49.46</v>
      </c>
      <c r="U33" s="3">
        <f>16.12+17.67</f>
        <v>33.79</v>
      </c>
      <c r="V33" s="3"/>
      <c r="W33" s="3">
        <f t="shared" si="0"/>
        <v>374.87</v>
      </c>
    </row>
    <row r="34" spans="1:23">
      <c r="A34" s="1">
        <v>266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1.92</v>
      </c>
      <c r="O34" s="3">
        <v>1.39</v>
      </c>
      <c r="P34" s="3"/>
      <c r="Q34" s="3">
        <v>0.77</v>
      </c>
      <c r="R34" s="3"/>
      <c r="S34" s="3"/>
      <c r="T34" s="3"/>
      <c r="U34" s="3"/>
      <c r="V34" s="3"/>
      <c r="W34" s="3">
        <f t="shared" si="0"/>
        <v>4.08</v>
      </c>
    </row>
    <row r="35" spans="1:23">
      <c r="A35" s="1">
        <v>999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4.82</v>
      </c>
      <c r="N35" s="3">
        <v>10.94</v>
      </c>
      <c r="O35" s="3">
        <v>1.44</v>
      </c>
      <c r="P35" s="3"/>
      <c r="Q35" s="3"/>
      <c r="R35" s="3"/>
      <c r="S35" s="3"/>
      <c r="T35" s="3">
        <v>4.55</v>
      </c>
      <c r="U35" s="3">
        <v>6.45</v>
      </c>
      <c r="V35" s="3"/>
      <c r="W35" s="3">
        <f t="shared" si="0"/>
        <v>28.2</v>
      </c>
    </row>
    <row r="36" spans="1:23">
      <c r="A36" s="1">
        <v>180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4.37</v>
      </c>
      <c r="N36" s="3">
        <v>3.42</v>
      </c>
      <c r="O36" s="3">
        <v>2.87</v>
      </c>
      <c r="P36" s="3"/>
      <c r="Q36" s="3"/>
      <c r="R36" s="3"/>
      <c r="S36" s="3"/>
      <c r="T36" s="3">
        <v>2.57</v>
      </c>
      <c r="U36" s="3">
        <v>0.75</v>
      </c>
      <c r="V36" s="3"/>
      <c r="W36" s="3">
        <f t="shared" si="0"/>
        <v>13.98</v>
      </c>
    </row>
    <row r="37" spans="1:23">
      <c r="A37" s="1">
        <v>560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9.95</v>
      </c>
      <c r="N37" s="3">
        <v>10.93</v>
      </c>
      <c r="O37" s="3">
        <v>2.9</v>
      </c>
      <c r="P37" s="3">
        <v>1.13</v>
      </c>
      <c r="Q37" s="3"/>
      <c r="R37" s="3"/>
      <c r="S37" s="3">
        <v>4.82</v>
      </c>
      <c r="T37" s="3"/>
      <c r="U37" s="3"/>
      <c r="V37" s="3"/>
      <c r="W37" s="3">
        <f t="shared" si="0"/>
        <v>29.73</v>
      </c>
    </row>
    <row r="38" spans="1:23">
      <c r="A38" s="1">
        <v>979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7.78</v>
      </c>
      <c r="N38" s="3">
        <v>1.63</v>
      </c>
      <c r="O38" s="3"/>
      <c r="P38" s="3"/>
      <c r="Q38" s="3"/>
      <c r="R38" s="3"/>
      <c r="S38" s="3">
        <v>2.52</v>
      </c>
      <c r="T38" s="3"/>
      <c r="U38" s="3"/>
      <c r="V38" s="3"/>
      <c r="W38" s="3">
        <f t="shared" si="0"/>
        <v>11.93</v>
      </c>
    </row>
    <row r="39" spans="1:23">
      <c r="A39" s="1">
        <v>2425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1.59</v>
      </c>
      <c r="O39" s="3"/>
      <c r="P39" s="3">
        <v>2.2</v>
      </c>
      <c r="Q39" s="3">
        <v>0.88</v>
      </c>
      <c r="R39" s="3"/>
      <c r="S39" s="3"/>
      <c r="T39" s="3">
        <v>11.93</v>
      </c>
      <c r="U39" s="3">
        <v>15.15</v>
      </c>
      <c r="V39" s="3"/>
      <c r="W39" s="3">
        <f t="shared" si="0"/>
        <v>31.75</v>
      </c>
    </row>
    <row r="40" spans="1:23">
      <c r="A40" s="1">
        <v>655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2.49</v>
      </c>
      <c r="N40" s="3">
        <v>7.48</v>
      </c>
      <c r="O40" s="3"/>
      <c r="P40" s="3">
        <v>10</v>
      </c>
      <c r="Q40" s="3"/>
      <c r="R40" s="3"/>
      <c r="S40" s="3"/>
      <c r="T40" s="3"/>
      <c r="U40" s="3"/>
      <c r="V40" s="3"/>
      <c r="W40" s="3">
        <f t="shared" si="0"/>
        <v>19.97</v>
      </c>
    </row>
    <row r="41" spans="1:23">
      <c r="A41" s="1">
        <v>1034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20.88</v>
      </c>
      <c r="N41" s="3">
        <v>5.76</v>
      </c>
      <c r="O41" s="3">
        <v>2.7</v>
      </c>
      <c r="P41" s="3">
        <v>1.02</v>
      </c>
      <c r="Q41" s="3"/>
      <c r="R41" s="3"/>
      <c r="S41" s="3"/>
      <c r="T41" s="3"/>
      <c r="U41" s="3"/>
      <c r="V41" s="3"/>
      <c r="W41" s="3">
        <f t="shared" si="0"/>
        <v>30.36</v>
      </c>
    </row>
    <row r="42" spans="1:23">
      <c r="A42" s="1">
        <v>309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f>17.39+18.42+20.4+18.3+23.71+14.27</f>
        <v>112.49</v>
      </c>
      <c r="N42" s="3">
        <f>17.68+16.45+19.15+19.28+17.92+18.35+17.32+20.67+21.28+13.71+19.92+5.56</f>
        <v>207.29</v>
      </c>
      <c r="O42" s="3">
        <f>16.31+15.27+17.96+13.97+14.11+19.66+11.91</f>
        <v>109.19</v>
      </c>
      <c r="P42" s="3">
        <f>14.9+17.15+13.54+20.39+12.95</f>
        <v>78.93</v>
      </c>
      <c r="Q42" s="3">
        <f>14.75+13.7+3.6</f>
        <v>32.05</v>
      </c>
      <c r="R42" s="3"/>
      <c r="S42" s="3">
        <f>15.29+15.82+17.58+6.87</f>
        <v>55.56</v>
      </c>
      <c r="T42" s="3">
        <f>13.22+14.86+17.14+13.16+7.6</f>
        <v>65.98</v>
      </c>
      <c r="U42" s="3">
        <f>14.76+19.25+1.81</f>
        <v>35.82</v>
      </c>
      <c r="V42" s="3"/>
      <c r="W42" s="3">
        <f t="shared" si="0"/>
        <v>697.31</v>
      </c>
    </row>
    <row r="43" spans="1:23">
      <c r="A43" s="1">
        <v>2161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10.72</v>
      </c>
      <c r="N43" s="3">
        <v>9.32</v>
      </c>
      <c r="O43" s="3">
        <v>12.65</v>
      </c>
      <c r="P43" s="3">
        <v>8.22</v>
      </c>
      <c r="Q43" s="3"/>
      <c r="R43" s="3"/>
      <c r="S43" s="3">
        <f>16.75+13.69</f>
        <v>30.44</v>
      </c>
      <c r="T43" s="3">
        <f>18.41+19.04</f>
        <v>37.45</v>
      </c>
      <c r="U43" s="3">
        <v>8.3</v>
      </c>
      <c r="V43" s="3"/>
      <c r="W43" s="3">
        <f t="shared" si="0"/>
        <v>117.1</v>
      </c>
    </row>
    <row r="44" spans="1:23">
      <c r="A44" s="1">
        <v>968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7.45</v>
      </c>
      <c r="N44" s="3">
        <f>3.39+3.16</f>
        <v>6.55</v>
      </c>
      <c r="O44" s="3"/>
      <c r="P44" s="3"/>
      <c r="Q44" s="3"/>
      <c r="R44" s="3"/>
      <c r="S44" s="3">
        <v>2.22</v>
      </c>
      <c r="T44" s="3">
        <v>1.26</v>
      </c>
      <c r="U44" s="3"/>
      <c r="V44" s="3"/>
      <c r="W44" s="3">
        <f t="shared" si="0"/>
        <v>17.48</v>
      </c>
    </row>
    <row r="45" spans="1:23">
      <c r="A45" s="1">
        <v>693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2.18</v>
      </c>
      <c r="N45" s="3">
        <v>1.85</v>
      </c>
      <c r="O45" s="3"/>
      <c r="P45" s="3"/>
      <c r="Q45" s="3"/>
      <c r="R45" s="3"/>
      <c r="S45" s="3"/>
      <c r="T45" s="3"/>
      <c r="U45" s="3"/>
      <c r="V45" s="3"/>
      <c r="W45" s="3">
        <f t="shared" si="0"/>
        <v>4.03</v>
      </c>
    </row>
    <row r="46" spans="1:23">
      <c r="A46" s="1">
        <v>2441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3.1</v>
      </c>
      <c r="N46" s="3">
        <v>10.97</v>
      </c>
      <c r="O46" s="3">
        <v>1.36</v>
      </c>
      <c r="P46" s="3"/>
      <c r="Q46" s="3"/>
      <c r="R46" s="3"/>
      <c r="S46" s="3"/>
      <c r="T46" s="3">
        <v>1.2</v>
      </c>
      <c r="U46" s="3">
        <v>0.77</v>
      </c>
      <c r="V46" s="3"/>
      <c r="W46" s="3">
        <f t="shared" si="0"/>
        <v>17.4</v>
      </c>
    </row>
    <row r="47" spans="1:23">
      <c r="A47" s="1">
        <v>1971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8.05</v>
      </c>
      <c r="N47" s="3">
        <v>14.43</v>
      </c>
      <c r="O47" s="3"/>
      <c r="P47" s="3">
        <v>5.21</v>
      </c>
      <c r="Q47" s="3">
        <v>0.91</v>
      </c>
      <c r="R47" s="3"/>
      <c r="S47" s="3"/>
      <c r="T47" s="3"/>
      <c r="U47" s="3"/>
      <c r="V47" s="3"/>
      <c r="W47" s="3">
        <f t="shared" si="0"/>
        <v>28.6</v>
      </c>
    </row>
    <row r="48" spans="1:23">
      <c r="A48" s="1">
        <v>252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7.72</v>
      </c>
      <c r="N48" s="3">
        <v>17.85</v>
      </c>
      <c r="O48" s="3"/>
      <c r="P48" s="3">
        <v>2.17</v>
      </c>
      <c r="Q48" s="3"/>
      <c r="R48" s="3"/>
      <c r="S48" s="3">
        <v>3.75</v>
      </c>
      <c r="T48" s="3">
        <v>1.63</v>
      </c>
      <c r="U48" s="3"/>
      <c r="V48" s="3"/>
      <c r="W48" s="3">
        <f t="shared" si="0"/>
        <v>33.12</v>
      </c>
    </row>
    <row r="49" spans="1:23">
      <c r="A49" s="1">
        <v>2447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2.68</v>
      </c>
      <c r="N49" s="3">
        <v>1.65</v>
      </c>
      <c r="O49" s="3"/>
      <c r="P49" s="3"/>
      <c r="Q49" s="3"/>
      <c r="R49" s="3"/>
      <c r="S49" s="3">
        <v>8.69</v>
      </c>
      <c r="T49" s="3"/>
      <c r="U49" s="3"/>
      <c r="V49" s="3"/>
      <c r="W49" s="3">
        <f t="shared" si="0"/>
        <v>13.02</v>
      </c>
    </row>
    <row r="50" spans="1:23">
      <c r="A50" s="1">
        <v>980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5.27</v>
      </c>
      <c r="N50" s="3">
        <v>3.74</v>
      </c>
      <c r="O50" s="3">
        <v>1.44</v>
      </c>
      <c r="P50" s="3">
        <v>6.7</v>
      </c>
      <c r="Q50" s="3"/>
      <c r="R50" s="3"/>
      <c r="S50" s="3"/>
      <c r="T50" s="3"/>
      <c r="U50" s="3"/>
      <c r="V50" s="3"/>
      <c r="W50" s="3">
        <f t="shared" si="0"/>
        <v>17.15</v>
      </c>
    </row>
    <row r="51" spans="1:23">
      <c r="A51" s="1">
        <v>1791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f>19.44+13.7+19.12+2.72</f>
        <v>54.98</v>
      </c>
      <c r="N51" s="3">
        <f>24.06+25.08+15.57+19.12+20.27+21.78+17.63+20.13+20.76</f>
        <v>184.4</v>
      </c>
      <c r="O51" s="3">
        <f>24.42+17.82+16.86+17.04+20.45+18.01+17.88+16.8</f>
        <v>149.28</v>
      </c>
      <c r="P51" s="3">
        <f>11.35+18.39+22.48+16.98+23.6+18.92+9.82</f>
        <v>121.54</v>
      </c>
      <c r="Q51" s="3">
        <f>8.34+14.46+6.03</f>
        <v>28.83</v>
      </c>
      <c r="R51" s="3"/>
      <c r="S51" s="3">
        <f>16.97+11.04+10.33</f>
        <v>38.34</v>
      </c>
      <c r="T51" s="3">
        <f>25.75+18.97+19.08+20.2+21.3+20.5+19.67</f>
        <v>145.47</v>
      </c>
      <c r="U51" s="3">
        <f>12.68+18.51+9.66</f>
        <v>40.85</v>
      </c>
      <c r="V51" s="3"/>
      <c r="W51" s="3">
        <f t="shared" si="0"/>
        <v>763.69</v>
      </c>
    </row>
    <row r="52" spans="1:23">
      <c r="A52" s="1">
        <v>2358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7.73</v>
      </c>
      <c r="O52" s="3">
        <v>4.57</v>
      </c>
      <c r="P52" s="3">
        <f>3.36+1</f>
        <v>4.36</v>
      </c>
      <c r="Q52" s="3"/>
      <c r="R52" s="3"/>
      <c r="S52" s="3"/>
      <c r="T52" s="3">
        <v>4.15</v>
      </c>
      <c r="U52" s="3">
        <v>0.67</v>
      </c>
      <c r="V52" s="3"/>
      <c r="W52" s="3">
        <f t="shared" si="0"/>
        <v>21.48</v>
      </c>
    </row>
    <row r="53" spans="1:23">
      <c r="A53" s="1">
        <v>1745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2.26</v>
      </c>
      <c r="N53" s="3">
        <v>7.62</v>
      </c>
      <c r="O53" s="3">
        <v>6.22</v>
      </c>
      <c r="P53" s="3">
        <v>6.91</v>
      </c>
      <c r="Q53" s="3"/>
      <c r="R53" s="3"/>
      <c r="S53" s="3">
        <v>2.57</v>
      </c>
      <c r="T53" s="3">
        <v>20.74</v>
      </c>
      <c r="U53" s="3">
        <v>3.95</v>
      </c>
      <c r="V53" s="3"/>
      <c r="W53" s="3">
        <f t="shared" si="0"/>
        <v>50.27</v>
      </c>
    </row>
    <row r="54" spans="1:23">
      <c r="A54" s="1">
        <v>1795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2.26</v>
      </c>
      <c r="N54" s="3">
        <v>7.36</v>
      </c>
      <c r="O54" s="3">
        <v>4.16</v>
      </c>
      <c r="P54" s="3">
        <v>3.73</v>
      </c>
      <c r="Q54" s="3">
        <v>4.13</v>
      </c>
      <c r="R54" s="3"/>
      <c r="S54" s="3">
        <v>3.43</v>
      </c>
      <c r="T54" s="3"/>
      <c r="U54" s="3">
        <v>1.66</v>
      </c>
      <c r="V54" s="3"/>
      <c r="W54" s="3">
        <f t="shared" si="0"/>
        <v>26.73</v>
      </c>
    </row>
    <row r="55" spans="1:23">
      <c r="A55" s="1">
        <v>444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3.82</v>
      </c>
      <c r="O55" s="3"/>
      <c r="P55" s="3">
        <v>1.17</v>
      </c>
      <c r="Q55" s="3"/>
      <c r="R55" s="3"/>
      <c r="S55" s="3">
        <v>5.88</v>
      </c>
      <c r="T55" s="3">
        <v>7.16</v>
      </c>
      <c r="U55" s="3">
        <v>2.56</v>
      </c>
      <c r="V55" s="3"/>
      <c r="W55" s="3">
        <f t="shared" si="0"/>
        <v>20.59</v>
      </c>
    </row>
    <row r="56" spans="1:23">
      <c r="A56" s="1">
        <v>765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7.63</v>
      </c>
      <c r="O56" s="3">
        <v>7.82</v>
      </c>
      <c r="P56" s="3">
        <v>16.74</v>
      </c>
      <c r="Q56" s="3">
        <v>7.05</v>
      </c>
      <c r="R56" s="3"/>
      <c r="S56" s="3">
        <v>3.51</v>
      </c>
      <c r="T56" s="3">
        <v>10.87</v>
      </c>
      <c r="U56" s="3">
        <v>9.67</v>
      </c>
      <c r="V56" s="3"/>
      <c r="W56" s="3">
        <f t="shared" si="0"/>
        <v>63.29</v>
      </c>
    </row>
    <row r="57" spans="1:23">
      <c r="A57" s="1">
        <v>309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17.77</v>
      </c>
      <c r="N57" s="3">
        <v>12.48</v>
      </c>
      <c r="O57" s="3">
        <v>1.39</v>
      </c>
      <c r="P57" s="3">
        <v>2.38</v>
      </c>
      <c r="Q57" s="3">
        <v>3.73</v>
      </c>
      <c r="R57" s="3"/>
      <c r="S57" s="3">
        <v>9.05</v>
      </c>
      <c r="T57" s="3">
        <v>2.82</v>
      </c>
      <c r="U57" s="3">
        <v>3.44</v>
      </c>
      <c r="V57" s="3"/>
      <c r="W57" s="3">
        <f t="shared" si="0"/>
        <v>53.06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734.67</v>
      </c>
      <c r="N349" s="4">
        <f t="shared" si="6"/>
        <v>1358.59</v>
      </c>
      <c r="O349" s="4">
        <f t="shared" si="6"/>
        <v>867.26</v>
      </c>
      <c r="P349" s="4">
        <f t="shared" si="6"/>
        <v>626.45</v>
      </c>
      <c r="Q349" s="4">
        <f t="shared" si="6"/>
        <v>206.45</v>
      </c>
      <c r="R349" s="4">
        <f t="shared" si="6"/>
        <v>0</v>
      </c>
      <c r="S349" s="4">
        <f t="shared" si="6"/>
        <v>252.21</v>
      </c>
      <c r="T349" s="4">
        <f t="shared" si="6"/>
        <v>574.91</v>
      </c>
      <c r="U349" s="4">
        <f t="shared" si="6"/>
        <v>254.06</v>
      </c>
      <c r="V349" s="4">
        <f t="shared" si="6"/>
        <v>0</v>
      </c>
      <c r="W349" s="4">
        <f>SUM(W2:W348)</f>
        <v>4874.6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4" activePane="bottomLeft" state="frozen"/>
      <selection/>
      <selection pane="bottomLeft" activeCell="A54" sqref="A54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285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2.84</v>
      </c>
      <c r="N2" s="3"/>
      <c r="O2" s="3">
        <v>1.46</v>
      </c>
      <c r="P2" s="3"/>
      <c r="Q2" s="3"/>
      <c r="R2" s="3"/>
      <c r="S2" s="3">
        <v>3.26</v>
      </c>
      <c r="T2" s="3"/>
      <c r="U2" s="3"/>
      <c r="V2" s="3"/>
      <c r="W2" s="3">
        <f t="shared" ref="W2:W67" si="0">SUM(C2:V2)</f>
        <v>7.56</v>
      </c>
    </row>
    <row r="3" spans="1:23">
      <c r="A3" s="1">
        <v>1161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2.68</v>
      </c>
      <c r="N3" s="3">
        <v>3.56</v>
      </c>
      <c r="O3" s="3"/>
      <c r="P3" s="3"/>
      <c r="Q3" s="3"/>
      <c r="R3" s="3"/>
      <c r="S3" s="3"/>
      <c r="T3" s="3"/>
      <c r="U3" s="3"/>
      <c r="V3" s="3"/>
      <c r="W3" s="3">
        <f t="shared" si="0"/>
        <v>6.24</v>
      </c>
    </row>
    <row r="4" spans="1:23">
      <c r="A4" s="1">
        <v>1722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>
        <v>1.68</v>
      </c>
      <c r="O4" s="3"/>
      <c r="P4" s="3">
        <v>3.53</v>
      </c>
      <c r="Q4" s="3"/>
      <c r="R4" s="3"/>
      <c r="S4" s="3"/>
      <c r="T4" s="3"/>
      <c r="U4" s="3">
        <v>1.21</v>
      </c>
      <c r="V4" s="3"/>
      <c r="W4" s="3">
        <f t="shared" si="0"/>
        <v>6.42</v>
      </c>
    </row>
    <row r="5" spans="1:23">
      <c r="A5" s="1">
        <v>987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2.27</v>
      </c>
      <c r="N5" s="3">
        <v>5.72</v>
      </c>
      <c r="O5" s="3"/>
      <c r="P5" s="3"/>
      <c r="Q5" s="3"/>
      <c r="R5" s="3"/>
      <c r="S5" s="3"/>
      <c r="T5" s="3"/>
      <c r="U5" s="3"/>
      <c r="V5" s="3"/>
      <c r="W5" s="3">
        <f t="shared" si="0"/>
        <v>7.99</v>
      </c>
    </row>
    <row r="6" spans="1:23">
      <c r="A6" s="1">
        <v>880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>
        <v>5.54</v>
      </c>
      <c r="O6" s="3"/>
      <c r="P6" s="3"/>
      <c r="Q6" s="3"/>
      <c r="R6" s="3"/>
      <c r="S6" s="3">
        <v>3.29</v>
      </c>
      <c r="T6" s="3"/>
      <c r="U6" s="3"/>
      <c r="V6" s="3"/>
      <c r="W6" s="3">
        <f t="shared" si="0"/>
        <v>8.83</v>
      </c>
    </row>
    <row r="7" spans="1:23">
      <c r="A7" s="1">
        <v>996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23.53</v>
      </c>
      <c r="N7" s="3"/>
      <c r="O7" s="3"/>
      <c r="P7" s="3"/>
      <c r="Q7" s="3"/>
      <c r="R7" s="3"/>
      <c r="S7" s="3">
        <v>7.17</v>
      </c>
      <c r="T7" s="3"/>
      <c r="U7" s="3"/>
      <c r="V7" s="3"/>
      <c r="W7" s="3">
        <f t="shared" si="0"/>
        <v>30.7</v>
      </c>
    </row>
    <row r="8" spans="1:23">
      <c r="A8" s="1">
        <v>225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6.26</v>
      </c>
      <c r="N8" s="3">
        <v>1.97</v>
      </c>
      <c r="O8" s="3">
        <v>4.02</v>
      </c>
      <c r="P8" s="3"/>
      <c r="Q8" s="3">
        <v>0.85</v>
      </c>
      <c r="R8" s="3"/>
      <c r="S8" s="3"/>
      <c r="T8" s="3"/>
      <c r="U8" s="3"/>
      <c r="V8" s="3"/>
      <c r="W8" s="3">
        <f t="shared" si="0"/>
        <v>13.1</v>
      </c>
    </row>
    <row r="9" spans="1:23">
      <c r="A9" s="1">
        <v>1002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21.31</v>
      </c>
      <c r="N9" s="3">
        <v>6.28</v>
      </c>
      <c r="O9" s="3"/>
      <c r="P9" s="3"/>
      <c r="Q9" s="3"/>
      <c r="R9" s="3"/>
      <c r="S9" s="3">
        <v>12.29</v>
      </c>
      <c r="T9" s="3"/>
      <c r="U9" s="3"/>
      <c r="V9" s="3"/>
      <c r="W9" s="3">
        <f t="shared" si="0"/>
        <v>39.88</v>
      </c>
    </row>
    <row r="10" spans="1:23">
      <c r="A10" s="1">
        <v>1033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6.95</v>
      </c>
      <c r="N10" s="3">
        <v>13.96</v>
      </c>
      <c r="O10" s="3">
        <v>12.53</v>
      </c>
      <c r="P10" s="3">
        <v>2.33</v>
      </c>
      <c r="Q10" s="3">
        <v>1.43</v>
      </c>
      <c r="R10" s="3"/>
      <c r="S10" s="3"/>
      <c r="T10" s="3"/>
      <c r="U10" s="3"/>
      <c r="V10" s="3"/>
      <c r="W10" s="3">
        <f t="shared" si="0"/>
        <v>37.2</v>
      </c>
    </row>
    <row r="11" spans="1:23">
      <c r="A11" s="1">
        <v>345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3.15</v>
      </c>
      <c r="N11" s="3">
        <v>8.14</v>
      </c>
      <c r="O11" s="3">
        <v>6.31</v>
      </c>
      <c r="P11" s="3">
        <v>3.51</v>
      </c>
      <c r="Q11" s="3"/>
      <c r="R11" s="3"/>
      <c r="S11" s="3"/>
      <c r="T11" s="3"/>
      <c r="U11" s="3"/>
      <c r="V11" s="3"/>
      <c r="W11" s="3">
        <f t="shared" si="0"/>
        <v>21.11</v>
      </c>
    </row>
    <row r="12" spans="1:23">
      <c r="A12" s="1">
        <v>1311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5.09</v>
      </c>
      <c r="N12" s="3">
        <v>3.47</v>
      </c>
      <c r="O12" s="3">
        <v>3.04</v>
      </c>
      <c r="P12" s="3">
        <v>3.5</v>
      </c>
      <c r="Q12" s="3">
        <v>0.89</v>
      </c>
      <c r="R12" s="3"/>
      <c r="S12" s="3"/>
      <c r="T12" s="3"/>
      <c r="U12" s="3">
        <v>0.76</v>
      </c>
      <c r="V12" s="3"/>
      <c r="W12" s="3">
        <f t="shared" si="0"/>
        <v>16.75</v>
      </c>
    </row>
    <row r="13" spans="1:23">
      <c r="A13" s="1">
        <v>1971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17.65</v>
      </c>
      <c r="N13" s="3">
        <v>7.75</v>
      </c>
      <c r="O13" s="3">
        <v>6.1</v>
      </c>
      <c r="P13" s="3"/>
      <c r="Q13" s="3"/>
      <c r="R13" s="3"/>
      <c r="S13" s="3"/>
      <c r="T13" s="3">
        <v>1.36</v>
      </c>
      <c r="U13" s="3"/>
      <c r="V13" s="3"/>
      <c r="W13" s="3">
        <f t="shared" si="0"/>
        <v>32.86</v>
      </c>
    </row>
    <row r="14" spans="1:23">
      <c r="A14" s="1">
        <v>1016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2.4</v>
      </c>
      <c r="N14" s="3">
        <v>7.87</v>
      </c>
      <c r="O14" s="3">
        <v>2.88</v>
      </c>
      <c r="P14" s="3"/>
      <c r="Q14" s="3"/>
      <c r="R14" s="3"/>
      <c r="S14" s="3"/>
      <c r="T14" s="3"/>
      <c r="U14" s="3"/>
      <c r="V14" s="3"/>
      <c r="W14" s="3">
        <f t="shared" si="0"/>
        <v>13.15</v>
      </c>
    </row>
    <row r="15" spans="1:23">
      <c r="A15" s="1">
        <v>1032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2.51</v>
      </c>
      <c r="N15" s="3">
        <v>10.07</v>
      </c>
      <c r="O15" s="3">
        <v>4.6</v>
      </c>
      <c r="P15" s="3">
        <v>4.99</v>
      </c>
      <c r="Q15" s="3"/>
      <c r="R15" s="3"/>
      <c r="S15" s="3">
        <v>3.13</v>
      </c>
      <c r="T15" s="3">
        <v>5.59</v>
      </c>
      <c r="U15" s="3">
        <v>6.04</v>
      </c>
      <c r="V15" s="3"/>
      <c r="W15" s="3">
        <f t="shared" si="0"/>
        <v>36.93</v>
      </c>
    </row>
    <row r="16" spans="1:23">
      <c r="A16" s="1">
        <v>478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15.65+16.9+19.45+18+18.58+17.84</f>
        <v>106.42</v>
      </c>
      <c r="N16" s="3">
        <f>17.7+19.49+15.92+21.48+22.82+23.72+25.46+20.55+3.64</f>
        <v>170.78</v>
      </c>
      <c r="O16" s="3">
        <f>14.1+14+10.32+18.7+25.66+17.7+24.87</f>
        <v>125.35</v>
      </c>
      <c r="P16" s="3">
        <f>17.35+13.8+16.37+20.43+18.7+12.55</f>
        <v>99.2</v>
      </c>
      <c r="Q16" s="3">
        <f>22.3+11.96</f>
        <v>34.26</v>
      </c>
      <c r="R16" s="3"/>
      <c r="S16" s="3">
        <v>8.69</v>
      </c>
      <c r="T16" s="3">
        <f>18.71+21.41+10.2</f>
        <v>50.32</v>
      </c>
      <c r="U16" s="3">
        <f>13.59+19.59+9.78</f>
        <v>42.96</v>
      </c>
      <c r="V16" s="3"/>
      <c r="W16" s="3">
        <f t="shared" si="0"/>
        <v>637.98</v>
      </c>
    </row>
    <row r="17" spans="1:23">
      <c r="A17" s="1">
        <v>273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>
        <v>1.85</v>
      </c>
      <c r="O17" s="3">
        <v>4.33</v>
      </c>
      <c r="P17" s="3">
        <v>7.7</v>
      </c>
      <c r="Q17" s="3">
        <v>1.69</v>
      </c>
      <c r="R17" s="3"/>
      <c r="S17" s="3"/>
      <c r="T17" s="3">
        <v>7.38</v>
      </c>
      <c r="U17" s="3">
        <v>2.67</v>
      </c>
      <c r="V17" s="3"/>
      <c r="W17" s="3">
        <f t="shared" si="0"/>
        <v>25.62</v>
      </c>
    </row>
    <row r="18" spans="1:23">
      <c r="A18" s="1">
        <v>655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11.51</v>
      </c>
      <c r="N18" s="3">
        <v>17.51</v>
      </c>
      <c r="O18" s="3">
        <v>22.55</v>
      </c>
      <c r="P18" s="3">
        <f>15.94+1.03</f>
        <v>16.97</v>
      </c>
      <c r="Q18" s="3"/>
      <c r="R18" s="3"/>
      <c r="S18" s="3">
        <v>2.19</v>
      </c>
      <c r="T18" s="3"/>
      <c r="U18" s="3"/>
      <c r="V18" s="3"/>
      <c r="W18" s="3">
        <f t="shared" si="0"/>
        <v>70.73</v>
      </c>
    </row>
    <row r="19" spans="1:23">
      <c r="A19" s="1">
        <v>326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9.75</v>
      </c>
      <c r="N19" s="3">
        <v>8.9</v>
      </c>
      <c r="O19" s="3">
        <v>7.74</v>
      </c>
      <c r="P19" s="3">
        <v>3.73</v>
      </c>
      <c r="Q19" s="3"/>
      <c r="R19" s="3"/>
      <c r="S19" s="3"/>
      <c r="T19" s="3">
        <v>4.14</v>
      </c>
      <c r="U19" s="3"/>
      <c r="V19" s="3"/>
      <c r="W19" s="3">
        <f t="shared" si="0"/>
        <v>34.26</v>
      </c>
    </row>
    <row r="20" spans="1:23">
      <c r="A20" s="1">
        <v>1745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4.97</v>
      </c>
      <c r="N20" s="3">
        <v>1.95</v>
      </c>
      <c r="O20" s="3">
        <v>4.6</v>
      </c>
      <c r="P20" s="3">
        <v>10.89</v>
      </c>
      <c r="Q20" s="3"/>
      <c r="R20" s="3"/>
      <c r="S20" s="3">
        <v>5.28</v>
      </c>
      <c r="T20" s="3">
        <v>8.5</v>
      </c>
      <c r="U20" s="3">
        <v>0.67</v>
      </c>
      <c r="V20" s="3"/>
      <c r="W20" s="3">
        <f t="shared" si="0"/>
        <v>36.86</v>
      </c>
    </row>
    <row r="21" spans="1:23">
      <c r="A21" s="1">
        <v>2482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17.53</v>
      </c>
      <c r="N21" s="3">
        <v>11.67</v>
      </c>
      <c r="O21" s="3">
        <v>4.88</v>
      </c>
      <c r="P21" s="3">
        <v>8.7</v>
      </c>
      <c r="Q21" s="3">
        <v>0.85</v>
      </c>
      <c r="R21" s="3"/>
      <c r="S21" s="3"/>
      <c r="T21" s="3"/>
      <c r="U21" s="3"/>
      <c r="V21" s="3"/>
      <c r="W21" s="3">
        <f t="shared" si="0"/>
        <v>43.63</v>
      </c>
    </row>
    <row r="22" spans="1:23">
      <c r="A22" s="1">
        <v>1795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5.52</v>
      </c>
      <c r="N22" s="3"/>
      <c r="O22" s="3">
        <v>1.44</v>
      </c>
      <c r="P22" s="3">
        <v>11.47</v>
      </c>
      <c r="Q22" s="3">
        <v>3.21</v>
      </c>
      <c r="R22" s="3"/>
      <c r="S22" s="3"/>
      <c r="T22" s="3"/>
      <c r="U22" s="3">
        <v>0.72</v>
      </c>
      <c r="V22" s="3"/>
      <c r="W22" s="3">
        <f t="shared" si="0"/>
        <v>22.36</v>
      </c>
    </row>
    <row r="23" spans="1:23">
      <c r="A23" s="1">
        <v>2495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2.36</v>
      </c>
      <c r="N23" s="3">
        <v>10.84</v>
      </c>
      <c r="O23" s="3">
        <v>11.5</v>
      </c>
      <c r="P23" s="3">
        <v>17.95</v>
      </c>
      <c r="Q23" s="3"/>
      <c r="R23" s="3"/>
      <c r="S23" s="3">
        <v>3</v>
      </c>
      <c r="T23" s="3">
        <v>4.59</v>
      </c>
      <c r="U23" s="3">
        <v>2.01</v>
      </c>
      <c r="V23" s="3"/>
      <c r="W23" s="3">
        <f t="shared" si="0"/>
        <v>52.25</v>
      </c>
    </row>
    <row r="24" spans="1:23">
      <c r="A24" s="1">
        <v>1034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f>19.3+7.98</f>
        <v>27.28</v>
      </c>
      <c r="N24" s="3">
        <f>17.25+7.82</f>
        <v>25.07</v>
      </c>
      <c r="O24" s="3">
        <v>16.01</v>
      </c>
      <c r="P24" s="3">
        <v>6.78</v>
      </c>
      <c r="Q24" s="3">
        <v>5.35</v>
      </c>
      <c r="R24" s="3"/>
      <c r="S24" s="3">
        <v>5.97</v>
      </c>
      <c r="T24" s="3">
        <v>1.84</v>
      </c>
      <c r="U24" s="3">
        <v>2.15</v>
      </c>
      <c r="V24" s="3"/>
      <c r="W24" s="3">
        <f t="shared" si="0"/>
        <v>90.45</v>
      </c>
    </row>
    <row r="25" spans="1:23">
      <c r="A25" s="1">
        <v>641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f>18.42+11.08</f>
        <v>29.5</v>
      </c>
      <c r="N25" s="3">
        <f>22.2+20.44+18.91+7.81</f>
        <v>69.36</v>
      </c>
      <c r="O25" s="3">
        <f>28.45+17.84</f>
        <v>46.29</v>
      </c>
      <c r="P25" s="3">
        <f>14.65+8.69</f>
        <v>23.34</v>
      </c>
      <c r="Q25" s="3">
        <v>6.87</v>
      </c>
      <c r="R25" s="3"/>
      <c r="S25" s="3">
        <v>2.8</v>
      </c>
      <c r="T25" s="3">
        <v>18.56</v>
      </c>
      <c r="U25" s="3">
        <v>12.15</v>
      </c>
      <c r="V25" s="3"/>
      <c r="W25" s="3">
        <f t="shared" si="0"/>
        <v>208.87</v>
      </c>
    </row>
    <row r="26" spans="1:23">
      <c r="A26" s="1">
        <v>2441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14.77</v>
      </c>
      <c r="N26" s="3">
        <v>10.57</v>
      </c>
      <c r="O26" s="3">
        <v>2.91</v>
      </c>
      <c r="P26" s="3">
        <v>1.16</v>
      </c>
      <c r="Q26" s="3"/>
      <c r="R26" s="3"/>
      <c r="S26" s="3">
        <v>4.85</v>
      </c>
      <c r="T26" s="3">
        <v>3.18</v>
      </c>
      <c r="U26" s="3"/>
      <c r="V26" s="3"/>
      <c r="W26" s="3">
        <f t="shared" si="0"/>
        <v>37.44</v>
      </c>
    </row>
    <row r="27" spans="1:23">
      <c r="A27" s="1">
        <v>693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11.63</v>
      </c>
      <c r="N27" s="3">
        <v>1.91</v>
      </c>
      <c r="O27" s="3"/>
      <c r="P27" s="3">
        <v>1.21</v>
      </c>
      <c r="Q27" s="3"/>
      <c r="R27" s="3"/>
      <c r="S27" s="3">
        <v>2.83</v>
      </c>
      <c r="T27" s="3">
        <v>4.09</v>
      </c>
      <c r="U27" s="3"/>
      <c r="V27" s="3"/>
      <c r="W27" s="3">
        <f t="shared" si="0"/>
        <v>21.67</v>
      </c>
    </row>
    <row r="28" spans="1:23">
      <c r="A28" s="1">
        <v>982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5.44</v>
      </c>
      <c r="N28" s="3">
        <v>1.65</v>
      </c>
      <c r="O28" s="3">
        <v>1.48</v>
      </c>
      <c r="P28" s="3">
        <v>3.77</v>
      </c>
      <c r="Q28" s="3"/>
      <c r="R28" s="3"/>
      <c r="S28" s="3"/>
      <c r="T28" s="3">
        <f>10.17+1.16</f>
        <v>11.33</v>
      </c>
      <c r="U28" s="3"/>
      <c r="V28" s="3"/>
      <c r="W28" s="3">
        <f t="shared" si="0"/>
        <v>23.67</v>
      </c>
    </row>
    <row r="29" spans="1:23">
      <c r="A29" s="1">
        <v>266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2.37</v>
      </c>
      <c r="N29" s="3">
        <v>1.91</v>
      </c>
      <c r="O29" s="3"/>
      <c r="P29" s="3"/>
      <c r="Q29" s="3"/>
      <c r="R29" s="3"/>
      <c r="S29" s="3">
        <v>8.8</v>
      </c>
      <c r="T29" s="3">
        <v>4.21</v>
      </c>
      <c r="U29" s="3"/>
      <c r="V29" s="3"/>
      <c r="W29" s="3">
        <f t="shared" si="0"/>
        <v>17.29</v>
      </c>
    </row>
    <row r="30" spans="1:23">
      <c r="A30" s="1">
        <v>968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8.12</v>
      </c>
      <c r="U30" s="3"/>
      <c r="V30" s="3"/>
      <c r="W30" s="3">
        <f t="shared" si="0"/>
        <v>8.12</v>
      </c>
    </row>
    <row r="31" spans="1:23">
      <c r="A31" s="1">
        <v>260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f>22.21+16.21+19.29+5.54</f>
        <v>63.25</v>
      </c>
      <c r="N31" s="3">
        <f>15.71+17.37+18.2+21.96+20.32+21.26+15.56+18.42+23.9</f>
        <v>172.7</v>
      </c>
      <c r="O31" s="3">
        <f>13.45+20.68+20.98+15.22+12.26</f>
        <v>82.59</v>
      </c>
      <c r="P31" s="3">
        <f>15.21+12.52+13.64+16.75+16.4</f>
        <v>74.52</v>
      </c>
      <c r="Q31" s="3">
        <f>14.94+6.76</f>
        <v>21.7</v>
      </c>
      <c r="R31" s="3"/>
      <c r="S31" s="3">
        <v>5.26</v>
      </c>
      <c r="T31" s="3">
        <f>22.86+10.78</f>
        <v>33.64</v>
      </c>
      <c r="U31" s="3">
        <f>17.14+8.64</f>
        <v>25.78</v>
      </c>
      <c r="V31" s="3"/>
      <c r="W31" s="3">
        <f t="shared" si="0"/>
        <v>479.44</v>
      </c>
    </row>
    <row r="32" spans="1:23">
      <c r="A32" s="1">
        <v>560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9.77</v>
      </c>
      <c r="N32" s="3">
        <v>22.31</v>
      </c>
      <c r="O32" s="3">
        <v>4.38</v>
      </c>
      <c r="P32" s="3"/>
      <c r="Q32" s="3"/>
      <c r="R32" s="3"/>
      <c r="S32" s="3"/>
      <c r="T32" s="3">
        <v>4.29</v>
      </c>
      <c r="U32" s="3"/>
      <c r="V32" s="3"/>
      <c r="W32" s="3">
        <f t="shared" si="0"/>
        <v>40.75</v>
      </c>
    </row>
    <row r="33" spans="1:23">
      <c r="A33" s="1">
        <v>180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2.47</v>
      </c>
      <c r="N33" s="3">
        <v>3.37</v>
      </c>
      <c r="O33" s="3">
        <v>1.43</v>
      </c>
      <c r="P33" s="3">
        <v>2.33</v>
      </c>
      <c r="Q33" s="3">
        <v>1.75</v>
      </c>
      <c r="R33" s="3"/>
      <c r="S33" s="3"/>
      <c r="T33" s="3"/>
      <c r="U33" s="3">
        <v>2.44</v>
      </c>
      <c r="V33" s="3"/>
      <c r="W33" s="3">
        <f t="shared" si="0"/>
        <v>13.79</v>
      </c>
    </row>
    <row r="34" spans="1:23">
      <c r="A34" s="1">
        <v>980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2.21</v>
      </c>
      <c r="N34" s="3">
        <v>12.45</v>
      </c>
      <c r="O34" s="3"/>
      <c r="P34" s="3"/>
      <c r="Q34" s="3">
        <v>0.86</v>
      </c>
      <c r="R34" s="3"/>
      <c r="S34" s="3"/>
      <c r="T34" s="3"/>
      <c r="U34" s="3">
        <v>0.74</v>
      </c>
      <c r="V34" s="3"/>
      <c r="W34" s="3">
        <f t="shared" si="0"/>
        <v>16.26</v>
      </c>
    </row>
    <row r="35" spans="1:23">
      <c r="A35" s="1">
        <v>2381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>2.74+2.31</f>
        <v>5.05</v>
      </c>
      <c r="N35" s="3"/>
      <c r="O35" s="3"/>
      <c r="P35" s="3">
        <v>7.24</v>
      </c>
      <c r="Q35" s="3"/>
      <c r="R35" s="3"/>
      <c r="S35" s="3"/>
      <c r="T35" s="3">
        <v>12.09</v>
      </c>
      <c r="U35" s="3">
        <v>2.57</v>
      </c>
      <c r="V35" s="3"/>
      <c r="W35" s="3">
        <f t="shared" si="0"/>
        <v>26.95</v>
      </c>
    </row>
    <row r="36" spans="1:23">
      <c r="A36" s="1">
        <v>2447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4.84</v>
      </c>
      <c r="N36" s="3">
        <v>9.83</v>
      </c>
      <c r="O36" s="3">
        <v>10.42</v>
      </c>
      <c r="P36" s="3"/>
      <c r="Q36" s="3"/>
      <c r="R36" s="3"/>
      <c r="S36" s="3"/>
      <c r="T36" s="3">
        <v>7.18</v>
      </c>
      <c r="U36" s="3"/>
      <c r="V36" s="3"/>
      <c r="W36" s="3">
        <f t="shared" si="0"/>
        <v>32.27</v>
      </c>
    </row>
    <row r="37" spans="1:23">
      <c r="A37" s="1">
        <v>641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21.7</v>
      </c>
      <c r="N37" s="3">
        <f>20.4+19.42</f>
        <v>39.82</v>
      </c>
      <c r="O37" s="3">
        <v>12.3</v>
      </c>
      <c r="P37" s="3">
        <v>3.87</v>
      </c>
      <c r="Q37" s="3">
        <v>0.85</v>
      </c>
      <c r="R37" s="3"/>
      <c r="S37" s="3">
        <v>2.67</v>
      </c>
      <c r="T37" s="3">
        <v>2.75</v>
      </c>
      <c r="U37" s="3"/>
      <c r="V37" s="3"/>
      <c r="W37" s="3">
        <f t="shared" si="0"/>
        <v>83.96</v>
      </c>
    </row>
    <row r="38" spans="1:23">
      <c r="A38" s="1">
        <v>309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>23.25+16.79+12.36</f>
        <v>52.4</v>
      </c>
      <c r="N38" s="3">
        <f>18.72+15.97+11.73+13.58+20.89</f>
        <v>80.89</v>
      </c>
      <c r="O38" s="3">
        <f>14.24+14.14+15.06+13.66+18.99+16.63</f>
        <v>92.72</v>
      </c>
      <c r="P38" s="3">
        <f>14.15+15.14+16.95</f>
        <v>46.24</v>
      </c>
      <c r="Q38" s="3">
        <v>7.46</v>
      </c>
      <c r="R38" s="3"/>
      <c r="S38" s="3">
        <f>23.17+12.03+11.25</f>
        <v>46.45</v>
      </c>
      <c r="T38" s="3">
        <f>15.81+27.49+9.2+7.38+23.81+20.77+1.91</f>
        <v>106.37</v>
      </c>
      <c r="U38" s="3">
        <f>8.16+14.12+14.69+13.39</f>
        <v>50.36</v>
      </c>
      <c r="V38" s="3"/>
      <c r="W38" s="3">
        <f t="shared" si="0"/>
        <v>482.89</v>
      </c>
    </row>
    <row r="39" spans="1:23">
      <c r="A39" s="13" t="s">
        <v>26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2.94</v>
      </c>
      <c r="N39" s="3">
        <v>7.85</v>
      </c>
      <c r="O39" s="3">
        <v>6.2</v>
      </c>
      <c r="P39" s="3">
        <v>4.67</v>
      </c>
      <c r="Q39" s="3">
        <v>3.71</v>
      </c>
      <c r="R39" s="3"/>
      <c r="S39" s="3"/>
      <c r="T39" s="3">
        <v>4.73</v>
      </c>
      <c r="U39" s="3">
        <v>0.59</v>
      </c>
      <c r="V39" s="3"/>
      <c r="W39" s="3">
        <f t="shared" si="0"/>
        <v>30.69</v>
      </c>
    </row>
    <row r="40" spans="1:23">
      <c r="A40" s="1">
        <v>999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9.51</v>
      </c>
      <c r="N40" s="3">
        <v>3.69</v>
      </c>
      <c r="O40" s="3">
        <v>1.36</v>
      </c>
      <c r="P40" s="3"/>
      <c r="Q40" s="3"/>
      <c r="R40" s="3"/>
      <c r="S40" s="3">
        <v>3.37</v>
      </c>
      <c r="T40" s="3"/>
      <c r="U40" s="3"/>
      <c r="V40" s="3"/>
      <c r="W40" s="3">
        <f t="shared" si="0"/>
        <v>17.93</v>
      </c>
    </row>
    <row r="41" spans="1:23">
      <c r="A41" s="1">
        <v>1014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1.78</v>
      </c>
      <c r="O41" s="3"/>
      <c r="P41" s="3">
        <v>1.21</v>
      </c>
      <c r="Q41" s="3">
        <v>1.99</v>
      </c>
      <c r="R41" s="3"/>
      <c r="S41" s="3"/>
      <c r="T41" s="3">
        <v>16.44</v>
      </c>
      <c r="U41" s="3">
        <v>5.93</v>
      </c>
      <c r="V41" s="3"/>
      <c r="W41" s="3">
        <f t="shared" si="0"/>
        <v>27.35</v>
      </c>
    </row>
    <row r="42" spans="1:23">
      <c r="A42" s="1">
        <v>1006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2.65</v>
      </c>
      <c r="N42" s="3">
        <v>9.4</v>
      </c>
      <c r="O42" s="3">
        <v>11.36</v>
      </c>
      <c r="P42" s="3">
        <v>5.26</v>
      </c>
      <c r="Q42" s="3">
        <v>2.77</v>
      </c>
      <c r="R42" s="3"/>
      <c r="S42" s="3"/>
      <c r="T42" s="3"/>
      <c r="U42" s="3">
        <v>2.9</v>
      </c>
      <c r="V42" s="3"/>
      <c r="W42" s="3">
        <f t="shared" si="0"/>
        <v>34.34</v>
      </c>
    </row>
    <row r="43" spans="1:23">
      <c r="A43" s="1">
        <v>1791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f>16.17+17.57</f>
        <v>33.74</v>
      </c>
      <c r="N43" s="3">
        <f>21.89+15.62+14.33+17.87+24.18+15.12+3.78</f>
        <v>112.79</v>
      </c>
      <c r="O43" s="3">
        <f>12.77+19.22+16.05+14.19+16.68+16.32</f>
        <v>95.23</v>
      </c>
      <c r="P43" s="3">
        <f>17.74+11.97+18.69+18.52+14.05+12.38</f>
        <v>93.35</v>
      </c>
      <c r="Q43" s="3">
        <f>15.31+4.79</f>
        <v>20.1</v>
      </c>
      <c r="R43" s="3"/>
      <c r="S43" s="3">
        <f>17.57+10.89</f>
        <v>28.46</v>
      </c>
      <c r="T43" s="3">
        <f>23.52+22.8+18.89+14.99+22.62+23.72+15.22+11.16</f>
        <v>152.92</v>
      </c>
      <c r="U43" s="3">
        <f>18.56+15.15+11.48+16.16+4.71</f>
        <v>66.06</v>
      </c>
      <c r="V43" s="3"/>
      <c r="W43" s="3">
        <f t="shared" si="0"/>
        <v>602.65</v>
      </c>
    </row>
    <row r="44" spans="1:23">
      <c r="A44" s="1">
        <v>1792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3.14</v>
      </c>
      <c r="N44" s="3">
        <v>15.41</v>
      </c>
      <c r="O44" s="3">
        <v>12</v>
      </c>
      <c r="P44" s="3">
        <v>4.88</v>
      </c>
      <c r="Q44" s="3">
        <v>3.11</v>
      </c>
      <c r="R44" s="3"/>
      <c r="S44" s="3">
        <v>3.12</v>
      </c>
      <c r="T44" s="3">
        <v>13.59</v>
      </c>
      <c r="U44" s="3">
        <v>3.17</v>
      </c>
      <c r="V44" s="3"/>
      <c r="W44" s="3">
        <f t="shared" si="0"/>
        <v>58.42</v>
      </c>
    </row>
    <row r="45" spans="1:23">
      <c r="A45" s="1">
        <v>444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18.19+19.36+2.87</f>
        <v>40.42</v>
      </c>
      <c r="N45" s="3">
        <f>15.02+7.65</f>
        <v>22.67</v>
      </c>
      <c r="O45" s="3">
        <f>10.56+1.41</f>
        <v>11.97</v>
      </c>
      <c r="P45" s="3">
        <f>9.71+5.19</f>
        <v>14.9</v>
      </c>
      <c r="Q45" s="3">
        <f>5.64+2.1</f>
        <v>7.74</v>
      </c>
      <c r="R45" s="3"/>
      <c r="S45" s="3">
        <v>17.65</v>
      </c>
      <c r="T45" s="3">
        <f>12.38+7.12</f>
        <v>19.5</v>
      </c>
      <c r="U45" s="3">
        <f>4.63+6.23</f>
        <v>10.86</v>
      </c>
      <c r="V45" s="3"/>
      <c r="W45" s="3">
        <f t="shared" si="0"/>
        <v>145.71</v>
      </c>
    </row>
    <row r="46" spans="1:23">
      <c r="A46" s="1">
        <v>765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8.01</v>
      </c>
      <c r="N46" s="3">
        <v>12.97</v>
      </c>
      <c r="O46" s="3">
        <v>7.63</v>
      </c>
      <c r="P46" s="18">
        <v>8.23</v>
      </c>
      <c r="Q46" s="3">
        <v>5.27</v>
      </c>
      <c r="R46" s="3"/>
      <c r="S46" s="3"/>
      <c r="T46" s="3">
        <v>5.31</v>
      </c>
      <c r="U46" s="3"/>
      <c r="V46" s="3"/>
      <c r="W46" s="3">
        <f t="shared" si="0"/>
        <v>47.42</v>
      </c>
    </row>
    <row r="47" spans="1:23">
      <c r="A47" s="1">
        <v>1971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8.54</v>
      </c>
      <c r="N47" s="3">
        <v>13.67</v>
      </c>
      <c r="O47" s="3">
        <v>5.87</v>
      </c>
      <c r="P47" s="3"/>
      <c r="Q47" s="3"/>
      <c r="R47" s="3"/>
      <c r="S47" s="3"/>
      <c r="T47" s="3"/>
      <c r="U47" s="3"/>
      <c r="V47" s="3"/>
      <c r="W47" s="3">
        <f t="shared" si="0"/>
        <v>28.08</v>
      </c>
    </row>
    <row r="48" spans="1:23">
      <c r="A48" s="1">
        <v>2358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5.15</v>
      </c>
      <c r="N48" s="3">
        <v>1.7</v>
      </c>
      <c r="O48" s="3">
        <v>5.88</v>
      </c>
      <c r="P48" s="3">
        <v>2.32</v>
      </c>
      <c r="Q48" s="3">
        <v>0.84</v>
      </c>
      <c r="R48" s="3"/>
      <c r="S48" s="3"/>
      <c r="T48" s="3">
        <f>3.36+1.05</f>
        <v>4.41</v>
      </c>
      <c r="U48" s="3"/>
      <c r="V48" s="3"/>
      <c r="W48" s="3">
        <f t="shared" si="0"/>
        <v>20.3</v>
      </c>
    </row>
    <row r="49" spans="1:23">
      <c r="A49" s="1">
        <v>2161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5.14</v>
      </c>
      <c r="N49" s="3">
        <v>10.39</v>
      </c>
      <c r="O49" s="3">
        <f>17.99+16.56</f>
        <v>34.55</v>
      </c>
      <c r="P49" s="3">
        <f>16.05+10.04</f>
        <v>26.09</v>
      </c>
      <c r="Q49" s="3">
        <v>2.83</v>
      </c>
      <c r="R49" s="3"/>
      <c r="S49" s="3">
        <f>19.7+14.64</f>
        <v>34.34</v>
      </c>
      <c r="T49" s="3">
        <f>20.2+17.12+18.07+21.53+15.94</f>
        <v>92.86</v>
      </c>
      <c r="U49" s="3">
        <f>11.94+15.84+15.7</f>
        <v>43.48</v>
      </c>
      <c r="V49" s="3"/>
      <c r="W49" s="3">
        <f t="shared" si="0"/>
        <v>249.68</v>
      </c>
    </row>
    <row r="50" spans="1:23">
      <c r="A50" s="1">
        <v>309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20.56+15.12+10.51</f>
        <v>46.19</v>
      </c>
      <c r="N50" s="3">
        <f>21.92+18.25+15.1+18.81+23.9</f>
        <v>97.98</v>
      </c>
      <c r="O50" s="3">
        <f>21.65+22.27</f>
        <v>43.92</v>
      </c>
      <c r="P50" s="3">
        <f>11.95+10.76</f>
        <v>22.71</v>
      </c>
      <c r="Q50" s="3">
        <v>3.98</v>
      </c>
      <c r="R50" s="3"/>
      <c r="S50" s="3">
        <f>17.04+11.61</f>
        <v>28.65</v>
      </c>
      <c r="T50" s="3">
        <f>17.53+14.01+5.26</f>
        <v>36.8</v>
      </c>
      <c r="U50" s="3">
        <v>7.03</v>
      </c>
      <c r="V50" s="3"/>
      <c r="W50" s="3">
        <f t="shared" si="0"/>
        <v>287.26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672.81</v>
      </c>
      <c r="N349" s="4">
        <f t="shared" si="6"/>
        <v>1061.65</v>
      </c>
      <c r="O349" s="4">
        <f t="shared" si="6"/>
        <v>729.83</v>
      </c>
      <c r="P349" s="4">
        <f t="shared" si="6"/>
        <v>548.55</v>
      </c>
      <c r="Q349" s="4">
        <f t="shared" si="6"/>
        <v>140.36</v>
      </c>
      <c r="R349" s="4">
        <f t="shared" si="6"/>
        <v>0</v>
      </c>
      <c r="S349" s="4">
        <f t="shared" si="6"/>
        <v>243.52</v>
      </c>
      <c r="T349" s="4">
        <f t="shared" si="6"/>
        <v>646.09</v>
      </c>
      <c r="U349" s="4">
        <f t="shared" si="6"/>
        <v>293.25</v>
      </c>
      <c r="V349" s="4">
        <f t="shared" si="6"/>
        <v>0</v>
      </c>
      <c r="W349" s="4">
        <f>SUM(W2:W348)</f>
        <v>4336.06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9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  <col min="25" max="25" width="13.8564102564103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1670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4.91</v>
      </c>
      <c r="N2" s="3">
        <v>8.45</v>
      </c>
      <c r="O2" s="3">
        <v>2.54</v>
      </c>
      <c r="P2" s="3"/>
      <c r="Q2" s="3"/>
      <c r="R2" s="3"/>
      <c r="S2" s="3">
        <v>2.43</v>
      </c>
      <c r="T2" s="3"/>
      <c r="U2" s="3"/>
      <c r="V2" s="3"/>
      <c r="W2" s="3">
        <f t="shared" ref="W2:W67" si="0">SUM(C2:V2)</f>
        <v>18.33</v>
      </c>
    </row>
    <row r="3" spans="1:23">
      <c r="A3" s="1">
        <v>285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>
        <v>3.34</v>
      </c>
      <c r="O3" s="3"/>
      <c r="P3" s="3"/>
      <c r="Q3" s="3"/>
      <c r="R3" s="3"/>
      <c r="S3" s="3"/>
      <c r="T3" s="3"/>
      <c r="U3" s="3">
        <v>2.02</v>
      </c>
      <c r="V3" s="3"/>
      <c r="W3" s="3">
        <f t="shared" si="0"/>
        <v>5.36</v>
      </c>
    </row>
    <row r="4" spans="1:23">
      <c r="A4" s="1">
        <v>2192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14.68</v>
      </c>
      <c r="N4" s="3">
        <v>12.85</v>
      </c>
      <c r="O4" s="3">
        <v>4.24</v>
      </c>
      <c r="P4" s="3">
        <v>3.6</v>
      </c>
      <c r="Q4" s="3"/>
      <c r="R4" s="3"/>
      <c r="S4" s="3"/>
      <c r="T4" s="3">
        <v>3.6</v>
      </c>
      <c r="U4" s="3"/>
      <c r="V4" s="3"/>
      <c r="W4" s="3">
        <f t="shared" si="0"/>
        <v>38.97</v>
      </c>
    </row>
    <row r="5" spans="1:23">
      <c r="A5" s="1">
        <v>987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4.66</v>
      </c>
      <c r="N5" s="3">
        <v>1.85</v>
      </c>
      <c r="O5" s="3"/>
      <c r="P5" s="3"/>
      <c r="Q5" s="3"/>
      <c r="R5" s="3"/>
      <c r="S5" s="3"/>
      <c r="T5" s="3"/>
      <c r="U5" s="3"/>
      <c r="V5" s="3"/>
      <c r="W5" s="3">
        <f t="shared" si="0"/>
        <v>6.51</v>
      </c>
    </row>
    <row r="6" spans="1:23">
      <c r="A6" s="1">
        <v>880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7.56</v>
      </c>
      <c r="N6" s="3">
        <v>1.79</v>
      </c>
      <c r="O6" s="3"/>
      <c r="P6" s="3"/>
      <c r="Q6" s="3"/>
      <c r="R6" s="3"/>
      <c r="S6" s="3"/>
      <c r="T6" s="3"/>
      <c r="U6" s="3"/>
      <c r="V6" s="3"/>
      <c r="W6" s="3">
        <f t="shared" si="0"/>
        <v>9.35</v>
      </c>
    </row>
    <row r="7" spans="1:23">
      <c r="A7" s="1">
        <v>1971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19.78</v>
      </c>
      <c r="N7" s="3">
        <v>10.98</v>
      </c>
      <c r="O7" s="3">
        <v>2.87</v>
      </c>
      <c r="P7" s="3">
        <v>4.84</v>
      </c>
      <c r="Q7" s="3"/>
      <c r="R7" s="3"/>
      <c r="S7" s="3"/>
      <c r="T7" s="3"/>
      <c r="U7" s="3"/>
      <c r="V7" s="3"/>
      <c r="W7" s="3">
        <f t="shared" si="0"/>
        <v>38.47</v>
      </c>
    </row>
    <row r="8" spans="1:23">
      <c r="A8" s="1">
        <v>1016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4.21</v>
      </c>
      <c r="N8" s="3">
        <v>6.89</v>
      </c>
      <c r="O8" s="3"/>
      <c r="P8" s="3">
        <v>1.21</v>
      </c>
      <c r="Q8" s="3"/>
      <c r="R8" s="3"/>
      <c r="S8" s="3"/>
      <c r="T8" s="3"/>
      <c r="U8" s="3"/>
      <c r="V8" s="3"/>
      <c r="W8" s="3">
        <f t="shared" si="0"/>
        <v>12.31</v>
      </c>
    </row>
    <row r="9" spans="1:23">
      <c r="A9" s="1">
        <v>361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>
        <v>8.71</v>
      </c>
      <c r="O9" s="3">
        <v>6.08</v>
      </c>
      <c r="P9" s="3">
        <v>1.14</v>
      </c>
      <c r="Q9" s="3"/>
      <c r="R9" s="3"/>
      <c r="S9" s="3"/>
      <c r="T9" s="3"/>
      <c r="U9" s="3"/>
      <c r="V9" s="3"/>
      <c r="W9" s="3">
        <f t="shared" si="0"/>
        <v>15.93</v>
      </c>
    </row>
    <row r="10" spans="1:23">
      <c r="A10" s="1">
        <v>345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f>4.36+2.17</f>
        <v>6.53</v>
      </c>
      <c r="N10" s="3">
        <v>1.94</v>
      </c>
      <c r="O10" s="3">
        <v>2.99</v>
      </c>
      <c r="P10" s="3">
        <v>3.6</v>
      </c>
      <c r="Q10" s="3"/>
      <c r="R10" s="3"/>
      <c r="S10" s="3"/>
      <c r="T10" s="3"/>
      <c r="U10" s="3"/>
      <c r="V10" s="3"/>
      <c r="W10" s="3">
        <f t="shared" si="0"/>
        <v>15.06</v>
      </c>
    </row>
    <row r="11" spans="1:23">
      <c r="A11" s="1">
        <v>444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2.24</v>
      </c>
      <c r="N11" s="3">
        <v>5.32</v>
      </c>
      <c r="O11" s="3">
        <v>1.5</v>
      </c>
      <c r="P11" s="3">
        <v>4.74</v>
      </c>
      <c r="Q11" s="3"/>
      <c r="R11" s="3"/>
      <c r="S11" s="3">
        <v>2.34</v>
      </c>
      <c r="T11" s="3">
        <v>4.43</v>
      </c>
      <c r="U11" s="3">
        <v>1.6</v>
      </c>
      <c r="V11" s="3"/>
      <c r="W11" s="3">
        <f t="shared" si="0"/>
        <v>22.17</v>
      </c>
    </row>
    <row r="12" spans="1:23">
      <c r="A12" s="1">
        <v>478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22.05+21.06+24.88</f>
        <v>67.99</v>
      </c>
      <c r="N12" s="3">
        <f>16.54+20.2+16.63+22.09+23.32+22.29+12.21</f>
        <v>133.28</v>
      </c>
      <c r="O12" s="3">
        <f>17.02+19.7+16.8+21.24+19.63+11.94</f>
        <v>106.33</v>
      </c>
      <c r="P12" s="3">
        <f>20.91+17.73+19.68+17.65+16.38+17.18+4.42</f>
        <v>113.95</v>
      </c>
      <c r="Q12" s="3">
        <f>19.33+15.97+16.49</f>
        <v>51.79</v>
      </c>
      <c r="R12" s="3"/>
      <c r="S12" s="3">
        <v>2.59</v>
      </c>
      <c r="T12" s="3">
        <f>17.81+14.15</f>
        <v>31.96</v>
      </c>
      <c r="U12" s="3">
        <f>20.19+8.41</f>
        <v>28.6</v>
      </c>
      <c r="V12" s="3"/>
      <c r="W12" s="3">
        <f t="shared" si="0"/>
        <v>536.49</v>
      </c>
    </row>
    <row r="13" spans="1:23">
      <c r="A13" s="1">
        <v>2482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23</v>
      </c>
      <c r="N13" s="3">
        <v>25.5</v>
      </c>
      <c r="O13" s="3">
        <v>10.4</v>
      </c>
      <c r="P13" s="3">
        <v>6.01</v>
      </c>
      <c r="Q13" s="3">
        <v>1.98</v>
      </c>
      <c r="R13" s="3"/>
      <c r="S13" s="3"/>
      <c r="T13" s="3">
        <v>2.8</v>
      </c>
      <c r="U13" s="3"/>
      <c r="V13" s="3"/>
      <c r="W13" s="3">
        <f t="shared" si="0"/>
        <v>69.69</v>
      </c>
    </row>
    <row r="14" spans="1:23">
      <c r="A14" s="1">
        <v>2441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2.23</v>
      </c>
      <c r="N14" s="3">
        <v>5.21</v>
      </c>
      <c r="O14" s="3"/>
      <c r="P14" s="3"/>
      <c r="Q14" s="3">
        <v>1.77</v>
      </c>
      <c r="R14" s="3"/>
      <c r="S14" s="3"/>
      <c r="T14" s="3"/>
      <c r="U14" s="3"/>
      <c r="V14" s="3"/>
      <c r="W14" s="3">
        <f t="shared" si="0"/>
        <v>9.21</v>
      </c>
    </row>
    <row r="15" spans="1:23">
      <c r="A15" s="1">
        <v>968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7.16</v>
      </c>
      <c r="N15" s="3">
        <v>5.48</v>
      </c>
      <c r="O15" s="3">
        <v>6.1</v>
      </c>
      <c r="P15" s="3">
        <v>3.87</v>
      </c>
      <c r="Q15" s="3"/>
      <c r="R15" s="3"/>
      <c r="S15" s="3">
        <v>2.79</v>
      </c>
      <c r="T15" s="3">
        <v>4.6</v>
      </c>
      <c r="U15" s="3">
        <v>3.69</v>
      </c>
      <c r="V15" s="3"/>
      <c r="W15" s="3">
        <f t="shared" si="0"/>
        <v>33.69</v>
      </c>
    </row>
    <row r="16" spans="1:23">
      <c r="A16" s="1">
        <v>982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9.71</v>
      </c>
      <c r="N16" s="3">
        <v>3.81</v>
      </c>
      <c r="O16" s="3">
        <v>7.78</v>
      </c>
      <c r="P16" s="3">
        <v>3.77</v>
      </c>
      <c r="Q16" s="3">
        <v>1.91</v>
      </c>
      <c r="R16" s="3"/>
      <c r="S16" s="3"/>
      <c r="T16" s="3">
        <v>2.44</v>
      </c>
      <c r="U16" s="3">
        <v>3.42</v>
      </c>
      <c r="V16" s="3"/>
      <c r="W16" s="3">
        <f t="shared" si="0"/>
        <v>32.84</v>
      </c>
    </row>
    <row r="17" spans="1:23">
      <c r="A17" s="1">
        <v>273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7.1</v>
      </c>
      <c r="N17" s="3">
        <v>12.85</v>
      </c>
      <c r="O17" s="3">
        <v>6.13</v>
      </c>
      <c r="P17" s="3">
        <v>9.17</v>
      </c>
      <c r="Q17" s="3">
        <v>3.29</v>
      </c>
      <c r="R17" s="3"/>
      <c r="S17" s="3">
        <v>2.42</v>
      </c>
      <c r="T17" s="3">
        <f>1.22+3.75</f>
        <v>4.97</v>
      </c>
      <c r="U17" s="3">
        <f>1.78+4.55</f>
        <v>6.33</v>
      </c>
      <c r="V17" s="3"/>
      <c r="W17" s="3">
        <f t="shared" si="0"/>
        <v>52.26</v>
      </c>
    </row>
    <row r="18" spans="1:23">
      <c r="A18" s="1">
        <v>326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5.01</v>
      </c>
      <c r="N18" s="3">
        <v>6.44</v>
      </c>
      <c r="O18" s="3">
        <v>10.78</v>
      </c>
      <c r="P18" s="3">
        <v>5.26</v>
      </c>
      <c r="Q18" s="3"/>
      <c r="R18" s="3"/>
      <c r="S18" s="3"/>
      <c r="T18" s="3">
        <v>2.63</v>
      </c>
      <c r="U18" s="3">
        <v>1.53</v>
      </c>
      <c r="V18" s="3"/>
      <c r="W18" s="3">
        <f t="shared" si="0"/>
        <v>31.65</v>
      </c>
    </row>
    <row r="19" spans="1:25">
      <c r="A19" s="1">
        <v>641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f>17.58+15.14</f>
        <v>32.72</v>
      </c>
      <c r="N19" s="3">
        <f>20.94+20.82+13.03+1.57</f>
        <v>56.36</v>
      </c>
      <c r="O19" s="3">
        <v>12.07</v>
      </c>
      <c r="P19" s="3">
        <v>4.13</v>
      </c>
      <c r="Q19" s="3"/>
      <c r="R19" s="3"/>
      <c r="S19" s="3"/>
      <c r="T19" s="3"/>
      <c r="U19" s="3"/>
      <c r="V19" s="3"/>
      <c r="W19" s="3">
        <f t="shared" si="0"/>
        <v>105.28</v>
      </c>
      <c r="Y19" s="16"/>
    </row>
    <row r="20" spans="1:23">
      <c r="A20" s="1">
        <v>260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f>20.59+23.67+21.87</f>
        <v>66.13</v>
      </c>
      <c r="N20" s="3">
        <f>20.45+19.78+19.76+17.34+20.24+18.81+11.28</f>
        <v>127.66</v>
      </c>
      <c r="O20" s="3">
        <f>18.74+16.14+18.61+16.11</f>
        <v>69.6</v>
      </c>
      <c r="P20" s="3">
        <f>22.61+6.29</f>
        <v>28.9</v>
      </c>
      <c r="Q20" s="3">
        <v>10.21</v>
      </c>
      <c r="R20" s="3"/>
      <c r="S20" s="3">
        <v>5.53</v>
      </c>
      <c r="T20" s="3">
        <v>16.73</v>
      </c>
      <c r="U20" s="3">
        <v>15.85</v>
      </c>
      <c r="V20" s="3"/>
      <c r="W20" s="3">
        <f t="shared" si="0"/>
        <v>340.61</v>
      </c>
    </row>
    <row r="21" spans="1:23">
      <c r="A21" s="1">
        <v>1235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5.01</v>
      </c>
      <c r="N21" s="3">
        <v>1.94</v>
      </c>
      <c r="O21" s="3">
        <v>6.63</v>
      </c>
      <c r="P21" s="3">
        <v>8.71</v>
      </c>
      <c r="Q21" s="3">
        <v>9.23</v>
      </c>
      <c r="R21" s="3"/>
      <c r="S21" s="3"/>
      <c r="T21" s="3">
        <v>6.55</v>
      </c>
      <c r="U21" s="3">
        <v>12.31</v>
      </c>
      <c r="V21" s="3"/>
      <c r="W21" s="3">
        <f t="shared" si="0"/>
        <v>50.38</v>
      </c>
    </row>
    <row r="22" spans="1:25">
      <c r="A22" s="1">
        <v>655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4.82</v>
      </c>
      <c r="N22" s="3">
        <v>14.31</v>
      </c>
      <c r="O22" s="3">
        <v>4.35</v>
      </c>
      <c r="P22" s="3">
        <v>10.3</v>
      </c>
      <c r="Q22" s="3">
        <v>2.93</v>
      </c>
      <c r="R22" s="3"/>
      <c r="S22" s="3"/>
      <c r="T22" s="3">
        <v>1.18</v>
      </c>
      <c r="U22" s="3">
        <v>1.47</v>
      </c>
      <c r="V22" s="3"/>
      <c r="W22" s="3">
        <f t="shared" si="0"/>
        <v>39.36</v>
      </c>
      <c r="Y22" s="17"/>
    </row>
    <row r="23" spans="1:23">
      <c r="A23" s="1">
        <v>1795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4.78</v>
      </c>
      <c r="N23" s="3">
        <v>11.31</v>
      </c>
      <c r="O23" s="3">
        <v>4.56</v>
      </c>
      <c r="P23" s="3">
        <v>8.13</v>
      </c>
      <c r="Q23" s="3">
        <v>3.64</v>
      </c>
      <c r="R23" s="3"/>
      <c r="S23" s="3"/>
      <c r="T23" s="3">
        <v>6.79</v>
      </c>
      <c r="U23" s="3"/>
      <c r="V23" s="3"/>
      <c r="W23" s="3">
        <f t="shared" si="0"/>
        <v>39.21</v>
      </c>
    </row>
    <row r="24" spans="1:23">
      <c r="A24" s="1">
        <v>1745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5.53</v>
      </c>
      <c r="N24" s="3">
        <v>9.41</v>
      </c>
      <c r="O24" s="3">
        <v>2.85</v>
      </c>
      <c r="P24" s="3">
        <v>4.75</v>
      </c>
      <c r="Q24" s="3"/>
      <c r="R24" s="3"/>
      <c r="S24" s="3"/>
      <c r="T24" s="3">
        <v>1.33</v>
      </c>
      <c r="U24" s="3">
        <v>0.77</v>
      </c>
      <c r="V24" s="3"/>
      <c r="W24" s="3">
        <f t="shared" si="0"/>
        <v>24.64</v>
      </c>
    </row>
    <row r="25" spans="1:23">
      <c r="A25" s="1">
        <v>2495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8.2</v>
      </c>
      <c r="N25" s="3">
        <v>12.39</v>
      </c>
      <c r="O25" s="3">
        <v>12.31</v>
      </c>
      <c r="P25" s="3">
        <v>6.45</v>
      </c>
      <c r="Q25" s="3">
        <v>1.6</v>
      </c>
      <c r="R25" s="3"/>
      <c r="S25" s="3"/>
      <c r="T25" s="3">
        <v>6.54</v>
      </c>
      <c r="U25" s="3"/>
      <c r="V25" s="3"/>
      <c r="W25" s="3">
        <f t="shared" si="0"/>
        <v>47.49</v>
      </c>
    </row>
    <row r="26" spans="1:23">
      <c r="A26" s="1">
        <v>1032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15.63</v>
      </c>
      <c r="N26" s="3">
        <v>8.92</v>
      </c>
      <c r="O26" s="3">
        <v>3.94</v>
      </c>
      <c r="P26" s="3"/>
      <c r="Q26" s="3"/>
      <c r="R26" s="3"/>
      <c r="S26" s="3">
        <v>4.59</v>
      </c>
      <c r="T26" s="3">
        <v>6.61</v>
      </c>
      <c r="U26" s="3"/>
      <c r="V26" s="3"/>
      <c r="W26" s="3">
        <f t="shared" si="0"/>
        <v>39.69</v>
      </c>
    </row>
    <row r="27" spans="1:23">
      <c r="A27" s="1">
        <v>444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21.15</v>
      </c>
      <c r="N27" s="3">
        <v>19.86</v>
      </c>
      <c r="O27" s="3">
        <v>7.95</v>
      </c>
      <c r="P27" s="3">
        <v>6.13</v>
      </c>
      <c r="Q27" s="3"/>
      <c r="R27" s="3"/>
      <c r="S27" s="3">
        <v>5.66</v>
      </c>
      <c r="T27" s="3">
        <v>1.04</v>
      </c>
      <c r="U27" s="3"/>
      <c r="V27" s="3"/>
      <c r="W27" s="3">
        <f t="shared" si="0"/>
        <v>61.79</v>
      </c>
    </row>
    <row r="28" spans="1:23">
      <c r="A28" s="1">
        <v>1311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6.46</v>
      </c>
      <c r="N28" s="3">
        <v>3.5</v>
      </c>
      <c r="O28" s="3">
        <v>5.77</v>
      </c>
      <c r="P28" s="3">
        <v>3.23</v>
      </c>
      <c r="Q28" s="3"/>
      <c r="R28" s="3"/>
      <c r="S28" s="3">
        <v>3.93</v>
      </c>
      <c r="T28" s="3"/>
      <c r="U28" s="3"/>
      <c r="V28" s="3"/>
      <c r="W28" s="3">
        <f t="shared" si="0"/>
        <v>22.89</v>
      </c>
    </row>
    <row r="29" spans="1:23">
      <c r="A29" s="1">
        <v>980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3.04</v>
      </c>
      <c r="N29" s="3">
        <v>6.12</v>
      </c>
      <c r="O29" s="3">
        <v>8.59</v>
      </c>
      <c r="P29" s="3">
        <v>4.53</v>
      </c>
      <c r="Q29" s="3">
        <v>0.99</v>
      </c>
      <c r="R29" s="3"/>
      <c r="S29" s="3">
        <v>2.54</v>
      </c>
      <c r="T29" s="3">
        <v>2.1</v>
      </c>
      <c r="U29" s="3">
        <v>0.84</v>
      </c>
      <c r="V29" s="3"/>
      <c r="W29" s="3">
        <f t="shared" si="0"/>
        <v>28.75</v>
      </c>
    </row>
    <row r="30" spans="1:23">
      <c r="A30" s="1">
        <v>446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12.53</v>
      </c>
      <c r="N30" s="3">
        <v>14.9</v>
      </c>
      <c r="O30" s="3">
        <v>2.9</v>
      </c>
      <c r="P30" s="3">
        <v>0.96</v>
      </c>
      <c r="Q30" s="3"/>
      <c r="R30" s="3"/>
      <c r="S30" s="3"/>
      <c r="T30" s="3"/>
      <c r="U30" s="3"/>
      <c r="V30" s="3"/>
      <c r="W30" s="3">
        <f t="shared" si="0"/>
        <v>31.29</v>
      </c>
    </row>
    <row r="31" spans="1:23">
      <c r="A31" s="1">
        <v>2447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7.82</v>
      </c>
      <c r="N31" s="3">
        <v>7.3</v>
      </c>
      <c r="O31" s="3">
        <v>4.57</v>
      </c>
      <c r="P31" s="3"/>
      <c r="Q31" s="3"/>
      <c r="R31" s="3"/>
      <c r="S31" s="3"/>
      <c r="T31" s="3"/>
      <c r="U31" s="3"/>
      <c r="V31" s="3"/>
      <c r="W31" s="3">
        <f t="shared" si="0"/>
        <v>19.69</v>
      </c>
    </row>
    <row r="32" spans="1:23">
      <c r="A32" s="1">
        <v>309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f>19.02+16.59+16.68+13.11</f>
        <v>65.4</v>
      </c>
      <c r="N32" s="3">
        <f>17.9+26.59+15.32+17.91+7.37</f>
        <v>85.09</v>
      </c>
      <c r="O32" s="3">
        <f>16.84+16.92+13.71</f>
        <v>47.47</v>
      </c>
      <c r="P32" s="3">
        <f>15.19+9.78</f>
        <v>24.97</v>
      </c>
      <c r="Q32" s="3">
        <v>11.16</v>
      </c>
      <c r="R32" s="3"/>
      <c r="S32" s="3">
        <f>19.62+18.29</f>
        <v>37.91</v>
      </c>
      <c r="T32" s="3">
        <f>18.68+15.93+17.37+14.3+8.05</f>
        <v>74.33</v>
      </c>
      <c r="U32" s="3">
        <f>14.47+6.22</f>
        <v>20.69</v>
      </c>
      <c r="V32" s="3"/>
      <c r="W32" s="3">
        <f t="shared" si="0"/>
        <v>367.02</v>
      </c>
    </row>
    <row r="33" spans="1:23">
      <c r="A33" s="1">
        <v>2161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2.96</v>
      </c>
      <c r="N33" s="3">
        <v>7.27</v>
      </c>
      <c r="O33" s="3">
        <v>3.97</v>
      </c>
      <c r="P33" s="3"/>
      <c r="Q33" s="3">
        <v>0.75</v>
      </c>
      <c r="R33" s="3"/>
      <c r="S33" s="3">
        <v>6.02</v>
      </c>
      <c r="T33" s="3"/>
      <c r="U33" s="3">
        <v>2.39</v>
      </c>
      <c r="V33" s="3"/>
      <c r="W33" s="3">
        <f t="shared" si="0"/>
        <v>23.36</v>
      </c>
    </row>
    <row r="34" spans="1:23">
      <c r="A34" s="1">
        <v>1020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2.05</v>
      </c>
      <c r="N34" s="3"/>
      <c r="O34" s="3">
        <v>4.33</v>
      </c>
      <c r="P34" s="3">
        <v>3.71</v>
      </c>
      <c r="Q34" s="3">
        <v>2.95</v>
      </c>
      <c r="R34" s="3"/>
      <c r="S34" s="3"/>
      <c r="T34" s="3">
        <v>1.4</v>
      </c>
      <c r="U34" s="3">
        <v>5.08</v>
      </c>
      <c r="V34" s="3"/>
      <c r="W34" s="3">
        <f t="shared" si="0"/>
        <v>19.52</v>
      </c>
    </row>
    <row r="35" spans="1:23">
      <c r="A35" s="1">
        <v>266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9.53</v>
      </c>
      <c r="N35" s="3">
        <v>6.21</v>
      </c>
      <c r="O35" s="3">
        <v>3.05</v>
      </c>
      <c r="P35" s="3"/>
      <c r="Q35" s="3"/>
      <c r="R35" s="3"/>
      <c r="S35" s="3">
        <v>5.85</v>
      </c>
      <c r="T35" s="3">
        <v>5.31</v>
      </c>
      <c r="U35" s="3"/>
      <c r="V35" s="3"/>
      <c r="W35" s="3">
        <f t="shared" si="0"/>
        <v>29.95</v>
      </c>
    </row>
    <row r="36" spans="1:23">
      <c r="A36" s="1">
        <v>1014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10.62</v>
      </c>
      <c r="O36" s="3">
        <v>7.05</v>
      </c>
      <c r="P36" s="3">
        <v>3.9</v>
      </c>
      <c r="Q36" s="3">
        <v>0.88</v>
      </c>
      <c r="R36" s="3"/>
      <c r="S36" s="3"/>
      <c r="T36" s="3">
        <v>4.69</v>
      </c>
      <c r="U36" s="3">
        <v>4.32</v>
      </c>
      <c r="V36" s="3"/>
      <c r="W36" s="3">
        <f t="shared" si="0"/>
        <v>31.46</v>
      </c>
    </row>
    <row r="37" spans="1:23">
      <c r="A37" s="1">
        <v>999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23.39+9.68</f>
        <v>33.07</v>
      </c>
      <c r="N37" s="3">
        <v>15.46</v>
      </c>
      <c r="O37" s="3">
        <v>2.74</v>
      </c>
      <c r="P37" s="3">
        <v>1.07</v>
      </c>
      <c r="Q37" s="3">
        <v>1.77</v>
      </c>
      <c r="R37" s="3"/>
      <c r="S37" s="3"/>
      <c r="T37" s="3">
        <v>1.64</v>
      </c>
      <c r="U37" s="3"/>
      <c r="V37" s="3"/>
      <c r="W37" s="3">
        <f t="shared" si="0"/>
        <v>55.75</v>
      </c>
    </row>
    <row r="38" spans="1:23">
      <c r="A38" s="1">
        <v>1791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21.38</v>
      </c>
      <c r="N38" s="3">
        <f>17.8+14.22+15.45+23.54+24.54+7.89</f>
        <v>103.44</v>
      </c>
      <c r="O38" s="3">
        <f>13.73+15.43+19.7+21.97+18.37</f>
        <v>89.2</v>
      </c>
      <c r="P38" s="3">
        <f>13.79+20.86+22.09+17.7+1.22</f>
        <v>75.66</v>
      </c>
      <c r="Q38" s="3">
        <f>16.61+10.54</f>
        <v>27.15</v>
      </c>
      <c r="R38" s="3"/>
      <c r="S38" s="3">
        <v>25.82</v>
      </c>
      <c r="T38" s="3">
        <f>19.18+17.55+15.82+17.06+20.66+18.08+3.79</f>
        <v>112.14</v>
      </c>
      <c r="U38" s="3">
        <f>22.88+6.06</f>
        <v>28.94</v>
      </c>
      <c r="V38" s="3"/>
      <c r="W38" s="3">
        <f t="shared" si="0"/>
        <v>483.73</v>
      </c>
    </row>
    <row r="39" spans="1:23">
      <c r="A39" s="1">
        <v>1034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26.02</v>
      </c>
      <c r="N39" s="3">
        <f>14.1+18.76+1.97+1.67</f>
        <v>36.5</v>
      </c>
      <c r="O39" s="3"/>
      <c r="P39" s="3">
        <v>1.23</v>
      </c>
      <c r="Q39" s="3">
        <v>3.96</v>
      </c>
      <c r="R39" s="3"/>
      <c r="S39" s="3">
        <v>3.8</v>
      </c>
      <c r="T39" s="3">
        <v>6.34</v>
      </c>
      <c r="U39" s="3">
        <v>2.49</v>
      </c>
      <c r="V39" s="3"/>
      <c r="W39" s="3">
        <f t="shared" si="0"/>
        <v>80.34</v>
      </c>
    </row>
    <row r="40" spans="1:23">
      <c r="A40" s="1">
        <v>478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16.31+2.67</f>
        <v>18.98</v>
      </c>
      <c r="N40" s="3">
        <f>15.8+15.48+7.93+3.37</f>
        <v>42.58</v>
      </c>
      <c r="O40" s="3">
        <v>15.75</v>
      </c>
      <c r="P40" s="3">
        <f>14.21+10.26</f>
        <v>24.47</v>
      </c>
      <c r="Q40" s="3">
        <v>9.15</v>
      </c>
      <c r="R40" s="3"/>
      <c r="S40" s="3">
        <v>10.96</v>
      </c>
      <c r="T40" s="3">
        <f>13.86+10.91</f>
        <v>24.77</v>
      </c>
      <c r="U40" s="3">
        <v>10.74</v>
      </c>
      <c r="V40" s="3"/>
      <c r="W40" s="3">
        <f t="shared" si="0"/>
        <v>157.4</v>
      </c>
    </row>
    <row r="41" spans="1:23">
      <c r="A41" s="1">
        <v>1005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4.77</v>
      </c>
      <c r="N41" s="3">
        <f>15.12+7.9</f>
        <v>23.02</v>
      </c>
      <c r="O41" s="3">
        <v>9.92</v>
      </c>
      <c r="P41" s="3">
        <v>7.19</v>
      </c>
      <c r="Q41" s="3"/>
      <c r="R41" s="3"/>
      <c r="S41" s="3"/>
      <c r="T41" s="3">
        <v>11.73</v>
      </c>
      <c r="U41" s="3">
        <v>8.74</v>
      </c>
      <c r="V41" s="3"/>
      <c r="W41" s="3">
        <f t="shared" si="0"/>
        <v>65.37</v>
      </c>
    </row>
    <row r="42" spans="1:23">
      <c r="A42" s="1">
        <v>180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1.79</v>
      </c>
      <c r="O42" s="3"/>
      <c r="P42" s="3">
        <v>2.14</v>
      </c>
      <c r="Q42" s="3"/>
      <c r="R42" s="3"/>
      <c r="S42" s="3"/>
      <c r="T42" s="3">
        <v>3.2</v>
      </c>
      <c r="U42" s="3"/>
      <c r="V42" s="3"/>
      <c r="W42" s="3">
        <f t="shared" si="0"/>
        <v>7.13</v>
      </c>
    </row>
    <row r="43" spans="1:23">
      <c r="A43" s="1">
        <v>628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5.07</v>
      </c>
      <c r="N43" s="3">
        <v>9.22</v>
      </c>
      <c r="O43" s="3">
        <v>4.69</v>
      </c>
      <c r="P43" s="3">
        <v>4.95</v>
      </c>
      <c r="Q43" s="3"/>
      <c r="R43" s="3"/>
      <c r="S43" s="3">
        <v>2.25</v>
      </c>
      <c r="T43" s="3"/>
      <c r="U43" s="3"/>
      <c r="V43" s="3"/>
      <c r="W43" s="3">
        <f t="shared" si="0"/>
        <v>26.18</v>
      </c>
    </row>
    <row r="44" spans="1:23">
      <c r="A44" s="1">
        <v>560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19.02</v>
      </c>
      <c r="N44" s="3"/>
      <c r="O44" s="3"/>
      <c r="P44" s="3"/>
      <c r="Q44" s="3"/>
      <c r="R44" s="3"/>
      <c r="S44" s="3">
        <v>6.06</v>
      </c>
      <c r="T44" s="3">
        <v>1.69</v>
      </c>
      <c r="U44" s="3"/>
      <c r="V44" s="3"/>
      <c r="W44" s="3">
        <f t="shared" si="0"/>
        <v>26.77</v>
      </c>
    </row>
    <row r="45" spans="1:23">
      <c r="A45" s="1">
        <v>1997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4.75</v>
      </c>
      <c r="N45" s="3">
        <v>5.21</v>
      </c>
      <c r="O45" s="3">
        <v>4.36</v>
      </c>
      <c r="P45" s="3"/>
      <c r="Q45" s="3">
        <v>0.93</v>
      </c>
      <c r="R45" s="3"/>
      <c r="S45" s="3"/>
      <c r="T45" s="3">
        <v>1.93</v>
      </c>
      <c r="U45" s="3">
        <v>2.27</v>
      </c>
      <c r="V45" s="3"/>
      <c r="W45" s="3">
        <f t="shared" si="0"/>
        <v>19.45</v>
      </c>
    </row>
    <row r="46" spans="1:23">
      <c r="A46" s="1">
        <v>444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2.38</v>
      </c>
      <c r="N46" s="3">
        <v>8.81</v>
      </c>
      <c r="O46" s="3">
        <v>4.41</v>
      </c>
      <c r="P46" s="3"/>
      <c r="Q46" s="3"/>
      <c r="R46" s="3"/>
      <c r="S46" s="3">
        <v>2.26</v>
      </c>
      <c r="T46" s="3">
        <v>1.3</v>
      </c>
      <c r="U46" s="3"/>
      <c r="V46" s="3"/>
      <c r="W46" s="3">
        <f t="shared" si="0"/>
        <v>19.16</v>
      </c>
    </row>
    <row r="47" spans="1:23">
      <c r="A47" s="1">
        <v>1791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f>17.86+9.54</f>
        <v>27.4</v>
      </c>
      <c r="N47" s="3">
        <f>22.7+18.91+17.5+5.18</f>
        <v>64.29</v>
      </c>
      <c r="O47" s="3">
        <f>20.84+18.62+14.49</f>
        <v>53.95</v>
      </c>
      <c r="P47" s="3">
        <f>12.94+15.91+12.88+14.69</f>
        <v>56.42</v>
      </c>
      <c r="Q47" s="3">
        <v>18.35</v>
      </c>
      <c r="R47" s="3"/>
      <c r="S47" s="3">
        <v>7.62</v>
      </c>
      <c r="T47" s="3">
        <f>19.33+21.47+14.62+13.38</f>
        <v>68.8</v>
      </c>
      <c r="U47" s="3">
        <f>18.58+20.9</f>
        <v>39.48</v>
      </c>
      <c r="V47" s="3"/>
      <c r="W47" s="3">
        <f t="shared" si="0"/>
        <v>336.31</v>
      </c>
    </row>
    <row r="48" spans="1:23">
      <c r="A48" s="1">
        <v>1792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5.8</v>
      </c>
      <c r="N48" s="3">
        <v>17.78</v>
      </c>
      <c r="O48" s="3">
        <v>9.5</v>
      </c>
      <c r="P48" s="3">
        <v>7.47</v>
      </c>
      <c r="Q48" s="3">
        <v>1.95</v>
      </c>
      <c r="R48" s="3"/>
      <c r="S48" s="3">
        <v>6.39</v>
      </c>
      <c r="T48" s="3">
        <v>7.02</v>
      </c>
      <c r="U48" s="3">
        <v>4.74</v>
      </c>
      <c r="V48" s="3"/>
      <c r="W48" s="3">
        <f t="shared" si="0"/>
        <v>60.65</v>
      </c>
    </row>
    <row r="49" spans="1:23">
      <c r="A49" s="1">
        <v>309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21.75+18.23+19.63+9.44</f>
        <v>69.05</v>
      </c>
      <c r="N49" s="3">
        <f>13.8+21.17+16.53+21.75+18.01+17.81+20.05+20.15</f>
        <v>149.27</v>
      </c>
      <c r="O49" s="3">
        <f>13.82+15.38+22.15+20.31+11.66</f>
        <v>83.32</v>
      </c>
      <c r="P49" s="3">
        <f>16.48+18.89+5.82</f>
        <v>41.19</v>
      </c>
      <c r="Q49" s="3">
        <v>9.98</v>
      </c>
      <c r="R49" s="3"/>
      <c r="S49" s="3">
        <f>22.92+12.39</f>
        <v>35.31</v>
      </c>
      <c r="T49" s="3">
        <f>21.36+10.06</f>
        <v>31.42</v>
      </c>
      <c r="U49" s="3">
        <v>16.94</v>
      </c>
      <c r="V49" s="3"/>
      <c r="W49" s="3">
        <f t="shared" si="0"/>
        <v>436.48</v>
      </c>
    </row>
    <row r="50" spans="1:23">
      <c r="A50" s="1">
        <v>1311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3.64</v>
      </c>
      <c r="O50" s="3">
        <v>5.01</v>
      </c>
      <c r="P50" s="3">
        <v>3.79</v>
      </c>
      <c r="Q50" s="3"/>
      <c r="R50" s="3"/>
      <c r="S50" s="3"/>
      <c r="T50" s="3"/>
      <c r="U50" s="3"/>
      <c r="V50" s="3"/>
      <c r="W50" s="3">
        <f t="shared" si="0"/>
        <v>12.44</v>
      </c>
    </row>
    <row r="51" spans="1:23">
      <c r="A51" s="1">
        <v>1006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2.32</v>
      </c>
      <c r="N51" s="3">
        <f>9.72+3.46</f>
        <v>13.18</v>
      </c>
      <c r="O51" s="3"/>
      <c r="P51" s="3">
        <v>11.01</v>
      </c>
      <c r="Q51" s="3">
        <v>3.05</v>
      </c>
      <c r="R51" s="3"/>
      <c r="S51" s="3">
        <v>2.34</v>
      </c>
      <c r="T51" s="3">
        <v>15.17</v>
      </c>
      <c r="U51" s="3">
        <v>6.83</v>
      </c>
      <c r="V51" s="3"/>
      <c r="W51" s="3">
        <f t="shared" si="0"/>
        <v>53.9</v>
      </c>
    </row>
    <row r="52" spans="1:23">
      <c r="A52" s="1">
        <v>765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2.16</v>
      </c>
      <c r="N52" s="3">
        <v>1.67</v>
      </c>
      <c r="O52" s="3">
        <v>6.16</v>
      </c>
      <c r="P52" s="3">
        <v>12.22</v>
      </c>
      <c r="Q52" s="3">
        <v>7.11</v>
      </c>
      <c r="R52" s="3"/>
      <c r="S52" s="3">
        <v>3.86</v>
      </c>
      <c r="T52" s="3"/>
      <c r="U52" s="3">
        <v>3.47</v>
      </c>
      <c r="V52" s="3"/>
      <c r="W52" s="3">
        <f t="shared" si="0"/>
        <v>36.65</v>
      </c>
    </row>
    <row r="53" spans="1:23">
      <c r="A53" s="1">
        <v>2358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3.29</v>
      </c>
      <c r="O53" s="3"/>
      <c r="P53" s="3"/>
      <c r="Q53" s="3"/>
      <c r="R53" s="3"/>
      <c r="S53" s="3">
        <v>2.11</v>
      </c>
      <c r="T53" s="3"/>
      <c r="U53" s="3"/>
      <c r="V53" s="3"/>
      <c r="W53" s="3">
        <f t="shared" si="0"/>
        <v>5.4</v>
      </c>
    </row>
    <row r="54" spans="1:23">
      <c r="A54" s="1">
        <v>2161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9.9</v>
      </c>
      <c r="N54" s="3">
        <v>9.31</v>
      </c>
      <c r="O54" s="3">
        <v>9.53</v>
      </c>
      <c r="P54" s="3">
        <v>18.68</v>
      </c>
      <c r="Q54" s="3"/>
      <c r="R54" s="3"/>
      <c r="S54" s="3">
        <f>19.96+24.3</f>
        <v>44.26</v>
      </c>
      <c r="T54" s="3">
        <f>20.95+19.73+23.23+17.9+26.24+15.4</f>
        <v>123.45</v>
      </c>
      <c r="U54" s="3">
        <f>23.15+6.65</f>
        <v>29.8</v>
      </c>
      <c r="V54" s="3"/>
      <c r="W54" s="3">
        <f t="shared" si="0"/>
        <v>244.93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712.6</v>
      </c>
      <c r="N349" s="4">
        <f t="shared" si="6"/>
        <v>1166.32</v>
      </c>
      <c r="O349" s="4">
        <f t="shared" si="6"/>
        <v>678.24</v>
      </c>
      <c r="P349" s="4">
        <f t="shared" si="6"/>
        <v>547.45</v>
      </c>
      <c r="Q349" s="4">
        <f t="shared" si="6"/>
        <v>188.48</v>
      </c>
      <c r="R349" s="4">
        <f t="shared" si="6"/>
        <v>0</v>
      </c>
      <c r="S349" s="4">
        <f t="shared" si="6"/>
        <v>237.64</v>
      </c>
      <c r="T349" s="4">
        <f t="shared" si="6"/>
        <v>602.63</v>
      </c>
      <c r="U349" s="4">
        <f t="shared" si="6"/>
        <v>265.35</v>
      </c>
      <c r="V349" s="4">
        <f t="shared" si="6"/>
        <v>0</v>
      </c>
      <c r="W349" s="4">
        <f>SUM(W2:W348)</f>
        <v>4398.71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8"/>
  <sheetViews>
    <sheetView workbookViewId="0">
      <pane ySplit="1" topLeftCell="A28" activePane="bottomLeft" state="frozen"/>
      <selection/>
      <selection pane="bottomLeft" activeCell="A58" sqref="A58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880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5.15</v>
      </c>
      <c r="N2" s="3"/>
      <c r="O2" s="3"/>
      <c r="P2" s="3"/>
      <c r="Q2" s="3"/>
      <c r="R2" s="3"/>
      <c r="S2" s="3"/>
      <c r="T2" s="3"/>
      <c r="U2" s="3"/>
      <c r="V2" s="3"/>
      <c r="W2" s="3">
        <f t="shared" ref="W2:W67" si="0">SUM(C2:V2)</f>
        <v>5.15</v>
      </c>
    </row>
    <row r="3" spans="1:23">
      <c r="A3" s="1">
        <v>987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4.51</v>
      </c>
      <c r="N3" s="3"/>
      <c r="O3" s="3"/>
      <c r="P3" s="3"/>
      <c r="Q3" s="3"/>
      <c r="R3" s="3"/>
      <c r="S3" s="3"/>
      <c r="T3" s="3"/>
      <c r="U3" s="3"/>
      <c r="V3" s="3"/>
      <c r="W3" s="3">
        <f t="shared" si="0"/>
        <v>4.51</v>
      </c>
    </row>
    <row r="4" spans="1:23">
      <c r="A4" s="1">
        <v>1161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>
        <v>5.27</v>
      </c>
      <c r="O4" s="3"/>
      <c r="P4" s="3"/>
      <c r="Q4" s="3"/>
      <c r="R4" s="3"/>
      <c r="S4" s="3"/>
      <c r="T4" s="3"/>
      <c r="U4" s="3"/>
      <c r="V4" s="3"/>
      <c r="W4" s="3">
        <f t="shared" si="0"/>
        <v>5.27</v>
      </c>
    </row>
    <row r="5" spans="1:23">
      <c r="A5" s="1">
        <v>1722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2.58</v>
      </c>
      <c r="N5" s="3"/>
      <c r="O5" s="3"/>
      <c r="P5" s="3">
        <v>2.27</v>
      </c>
      <c r="Q5" s="3"/>
      <c r="R5" s="3"/>
      <c r="S5" s="3"/>
      <c r="T5" s="3"/>
      <c r="U5" s="3"/>
      <c r="V5" s="3"/>
      <c r="W5" s="3">
        <f t="shared" si="0"/>
        <v>4.85</v>
      </c>
    </row>
    <row r="6" spans="1:23">
      <c r="A6" s="1">
        <v>1670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4.93</v>
      </c>
      <c r="N6" s="3">
        <v>1.78</v>
      </c>
      <c r="O6" s="3">
        <v>6.36</v>
      </c>
      <c r="P6" s="3">
        <v>1.15</v>
      </c>
      <c r="Q6" s="3"/>
      <c r="R6" s="3"/>
      <c r="S6" s="3"/>
      <c r="T6" s="3"/>
      <c r="U6" s="3"/>
      <c r="V6" s="3"/>
      <c r="W6" s="3">
        <f t="shared" si="0"/>
        <v>14.22</v>
      </c>
    </row>
    <row r="7" spans="1:23">
      <c r="A7" s="1">
        <v>2192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12.29</v>
      </c>
      <c r="N7" s="3">
        <v>15.75</v>
      </c>
      <c r="O7" s="3"/>
      <c r="P7" s="3">
        <v>1.22</v>
      </c>
      <c r="Q7" s="3">
        <v>0.78</v>
      </c>
      <c r="R7" s="3"/>
      <c r="S7" s="3"/>
      <c r="T7" s="3"/>
      <c r="U7" s="3"/>
      <c r="V7" s="3"/>
      <c r="W7" s="3">
        <f t="shared" si="0"/>
        <v>30.04</v>
      </c>
    </row>
    <row r="8" spans="1:23">
      <c r="A8" s="1">
        <v>361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4.55</v>
      </c>
      <c r="N8" s="3">
        <v>8.39</v>
      </c>
      <c r="O8" s="3"/>
      <c r="P8" s="3"/>
      <c r="Q8" s="3"/>
      <c r="R8" s="3"/>
      <c r="S8" s="3"/>
      <c r="T8" s="3"/>
      <c r="U8" s="3"/>
      <c r="V8" s="3"/>
      <c r="W8" s="3">
        <f t="shared" si="0"/>
        <v>12.94</v>
      </c>
    </row>
    <row r="9" spans="1:23">
      <c r="A9" s="1">
        <v>1016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5.16</v>
      </c>
      <c r="N9" s="3">
        <v>3.4</v>
      </c>
      <c r="O9" s="3">
        <v>1.45</v>
      </c>
      <c r="P9" s="3">
        <v>1.12</v>
      </c>
      <c r="Q9" s="3"/>
      <c r="R9" s="3"/>
      <c r="S9" s="3"/>
      <c r="T9" s="3"/>
      <c r="U9" s="3"/>
      <c r="V9" s="3"/>
      <c r="W9" s="3">
        <f t="shared" si="0"/>
        <v>11.13</v>
      </c>
    </row>
    <row r="10" spans="1:23">
      <c r="A10" s="1">
        <v>996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16.38</v>
      </c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16.38</v>
      </c>
    </row>
    <row r="11" spans="1:23">
      <c r="A11" s="1">
        <v>406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10.65</v>
      </c>
      <c r="N11" s="3">
        <v>10.74</v>
      </c>
      <c r="O11" s="3">
        <v>5.81</v>
      </c>
      <c r="P11" s="3">
        <v>5.56</v>
      </c>
      <c r="Q11" s="3">
        <v>3.36</v>
      </c>
      <c r="R11" s="3"/>
      <c r="S11" s="3"/>
      <c r="T11" s="3"/>
      <c r="U11" s="3">
        <v>1.7</v>
      </c>
      <c r="V11" s="3"/>
      <c r="W11" s="3">
        <f t="shared" si="0"/>
        <v>37.82</v>
      </c>
    </row>
    <row r="12" spans="1:23">
      <c r="A12" s="1">
        <v>1033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21.51+17.59</f>
        <v>39.1</v>
      </c>
      <c r="N12" s="3">
        <v>16.19</v>
      </c>
      <c r="O12" s="3">
        <v>4.52</v>
      </c>
      <c r="P12" s="3">
        <v>10.11</v>
      </c>
      <c r="Q12" s="3">
        <v>3.52</v>
      </c>
      <c r="R12" s="3"/>
      <c r="S12" s="3">
        <v>2.47</v>
      </c>
      <c r="T12" s="3">
        <v>2.79</v>
      </c>
      <c r="U12" s="3">
        <v>1.3</v>
      </c>
      <c r="V12" s="3"/>
      <c r="W12" s="3">
        <f t="shared" si="0"/>
        <v>80</v>
      </c>
    </row>
    <row r="13" spans="1:23">
      <c r="A13" s="1">
        <v>1002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f>20.58+8.31</f>
        <v>28.89</v>
      </c>
      <c r="N13" s="3">
        <f>24.06+17.02</f>
        <v>41.08</v>
      </c>
      <c r="O13" s="3">
        <v>4.82</v>
      </c>
      <c r="P13" s="3"/>
      <c r="Q13" s="3"/>
      <c r="R13" s="3"/>
      <c r="S13" s="3"/>
      <c r="T13" s="3"/>
      <c r="U13" s="3"/>
      <c r="V13" s="3"/>
      <c r="W13" s="3">
        <f t="shared" si="0"/>
        <v>74.79</v>
      </c>
    </row>
    <row r="14" spans="1:23">
      <c r="A14" s="1">
        <v>444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5</v>
      </c>
      <c r="N14" s="3">
        <v>14.79</v>
      </c>
      <c r="O14" s="3"/>
      <c r="P14" s="3">
        <v>4.74</v>
      </c>
      <c r="Q14" s="3"/>
      <c r="R14" s="3"/>
      <c r="S14" s="3"/>
      <c r="T14" s="3">
        <f>18.42+1.95</f>
        <v>20.37</v>
      </c>
      <c r="U14" s="3">
        <v>5.1</v>
      </c>
      <c r="V14" s="3"/>
      <c r="W14" s="3">
        <f t="shared" si="0"/>
        <v>50</v>
      </c>
    </row>
    <row r="15" spans="1:23">
      <c r="A15" s="1">
        <v>273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2.92</v>
      </c>
      <c r="N15" s="3">
        <v>6.98</v>
      </c>
      <c r="O15" s="3">
        <v>5.73</v>
      </c>
      <c r="P15" s="3">
        <v>3.92</v>
      </c>
      <c r="Q15" s="3"/>
      <c r="R15" s="3"/>
      <c r="S15" s="3">
        <v>4.34</v>
      </c>
      <c r="T15" s="3">
        <v>2.73</v>
      </c>
      <c r="U15" s="3">
        <v>1.07</v>
      </c>
      <c r="V15" s="3"/>
      <c r="W15" s="3">
        <f t="shared" si="0"/>
        <v>27.69</v>
      </c>
    </row>
    <row r="16" spans="1:23">
      <c r="A16" s="1">
        <v>1457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2.35</v>
      </c>
      <c r="N16" s="3">
        <v>5.25</v>
      </c>
      <c r="O16" s="3"/>
      <c r="P16" s="3"/>
      <c r="Q16" s="3"/>
      <c r="R16" s="3"/>
      <c r="S16" s="3"/>
      <c r="T16" s="3">
        <v>6.88</v>
      </c>
      <c r="U16" s="3"/>
      <c r="V16" s="3"/>
      <c r="W16" s="3">
        <f t="shared" si="0"/>
        <v>14.48</v>
      </c>
    </row>
    <row r="17" spans="1:23">
      <c r="A17" s="1">
        <v>266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4.34</v>
      </c>
      <c r="N17" s="3">
        <v>10.99</v>
      </c>
      <c r="O17" s="3"/>
      <c r="P17" s="3"/>
      <c r="Q17" s="3"/>
      <c r="R17" s="3"/>
      <c r="S17" s="3"/>
      <c r="T17" s="3">
        <v>1.95</v>
      </c>
      <c r="U17" s="3"/>
      <c r="V17" s="3"/>
      <c r="W17" s="3">
        <f t="shared" si="0"/>
        <v>17.28</v>
      </c>
    </row>
    <row r="18" spans="1:23">
      <c r="A18" s="1">
        <v>1017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>
        <v>7.11</v>
      </c>
      <c r="O18" s="3">
        <v>7.66</v>
      </c>
      <c r="P18" s="3">
        <v>6.19</v>
      </c>
      <c r="Q18" s="3">
        <v>1.93</v>
      </c>
      <c r="R18" s="3"/>
      <c r="S18" s="3"/>
      <c r="T18" s="3">
        <v>7.3</v>
      </c>
      <c r="U18" s="3">
        <v>3.94</v>
      </c>
      <c r="V18" s="3"/>
      <c r="W18" s="3">
        <f t="shared" si="0"/>
        <v>34.13</v>
      </c>
    </row>
    <row r="19" spans="1:23">
      <c r="A19" s="1">
        <v>478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f>14.82+18.53+15.27+4.47+2.29</f>
        <v>55.38</v>
      </c>
      <c r="N19" s="3">
        <f>11.28+13.33+18.36+13.62+18.89+15.28+17.83+1.72</f>
        <v>110.31</v>
      </c>
      <c r="O19" s="3">
        <f>14.53+12.17+14.37+14.21+13.67+16.89+12.84+9.19</f>
        <v>107.87</v>
      </c>
      <c r="P19" s="3">
        <f>12.09+15.66+12.63+15.99+12.54+18.7+4.9</f>
        <v>92.51</v>
      </c>
      <c r="Q19" s="3">
        <f>13.68+13.97+14.19+10.37</f>
        <v>52.21</v>
      </c>
      <c r="R19" s="3"/>
      <c r="S19" s="3"/>
      <c r="T19" s="3">
        <f>13.54+12.83+16.19+20.66+14.71</f>
        <v>77.93</v>
      </c>
      <c r="U19" s="3">
        <f>16.39+16.53+15.61+12.93+17.52+5.38</f>
        <v>84.36</v>
      </c>
      <c r="V19" s="3"/>
      <c r="W19" s="3">
        <f t="shared" si="0"/>
        <v>580.57</v>
      </c>
    </row>
    <row r="20" spans="1:23">
      <c r="A20" s="1">
        <v>1745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2.49</v>
      </c>
      <c r="N20" s="3">
        <v>3.31</v>
      </c>
      <c r="O20" s="3">
        <v>7.28</v>
      </c>
      <c r="P20" s="3">
        <v>3.54</v>
      </c>
      <c r="Q20" s="3"/>
      <c r="R20" s="3"/>
      <c r="S20" s="3"/>
      <c r="T20" s="3"/>
      <c r="U20" s="3"/>
      <c r="V20" s="3"/>
      <c r="W20" s="3">
        <f t="shared" si="0"/>
        <v>16.62</v>
      </c>
    </row>
    <row r="21" spans="1:23">
      <c r="A21" s="1">
        <v>1795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5.15</v>
      </c>
      <c r="N21" s="3">
        <v>21.26</v>
      </c>
      <c r="O21" s="3">
        <v>18.96</v>
      </c>
      <c r="P21" s="3">
        <v>17.93</v>
      </c>
      <c r="Q21" s="3">
        <v>2.81</v>
      </c>
      <c r="R21" s="3"/>
      <c r="S21" s="3"/>
      <c r="T21" s="3"/>
      <c r="U21" s="3">
        <v>1.28</v>
      </c>
      <c r="V21" s="3"/>
      <c r="W21" s="3">
        <f t="shared" si="0"/>
        <v>67.39</v>
      </c>
    </row>
    <row r="22" spans="1:23">
      <c r="A22" s="1">
        <v>655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4.19</v>
      </c>
      <c r="N22" s="3">
        <v>15.4</v>
      </c>
      <c r="O22" s="3">
        <v>5.78</v>
      </c>
      <c r="P22" s="3">
        <f>5.17+1.13</f>
        <v>6.3</v>
      </c>
      <c r="Q22" s="3"/>
      <c r="R22" s="3"/>
      <c r="S22" s="3">
        <v>2.57</v>
      </c>
      <c r="T22" s="3">
        <v>3.04</v>
      </c>
      <c r="U22" s="3">
        <v>1.33</v>
      </c>
      <c r="V22" s="3"/>
      <c r="W22" s="3">
        <f t="shared" si="0"/>
        <v>38.61</v>
      </c>
    </row>
    <row r="23" spans="1:23">
      <c r="A23" s="1">
        <v>2482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15.89</v>
      </c>
      <c r="N23" s="3">
        <v>20.85</v>
      </c>
      <c r="O23" s="3">
        <v>3.01</v>
      </c>
      <c r="P23" s="3">
        <f>6.88+1.02</f>
        <v>7.9</v>
      </c>
      <c r="Q23" s="3"/>
      <c r="R23" s="3"/>
      <c r="S23" s="3"/>
      <c r="T23" s="3"/>
      <c r="U23" s="3"/>
      <c r="V23" s="3"/>
      <c r="W23" s="3">
        <f t="shared" si="0"/>
        <v>47.65</v>
      </c>
    </row>
    <row r="24" spans="1:23">
      <c r="A24" s="1">
        <v>231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4.72</v>
      </c>
      <c r="N24" s="3">
        <v>7.17</v>
      </c>
      <c r="O24" s="3">
        <v>1.46</v>
      </c>
      <c r="P24" s="3">
        <v>1</v>
      </c>
      <c r="Q24" s="3"/>
      <c r="R24" s="3"/>
      <c r="S24" s="3"/>
      <c r="T24" s="3">
        <v>1.2</v>
      </c>
      <c r="U24" s="3"/>
      <c r="V24" s="3"/>
      <c r="W24" s="3">
        <f t="shared" si="0"/>
        <v>15.55</v>
      </c>
    </row>
    <row r="25" spans="1:23">
      <c r="A25" s="1">
        <v>1005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4.55</v>
      </c>
      <c r="N25" s="3">
        <v>6.01</v>
      </c>
      <c r="O25" s="3">
        <v>7.44</v>
      </c>
      <c r="P25" s="3">
        <v>6.13</v>
      </c>
      <c r="Q25" s="3">
        <v>5.67</v>
      </c>
      <c r="R25" s="3"/>
      <c r="S25" s="3"/>
      <c r="T25" s="3">
        <v>1.99</v>
      </c>
      <c r="U25" s="3">
        <v>6.06</v>
      </c>
      <c r="V25" s="3"/>
      <c r="W25" s="3">
        <f t="shared" si="0"/>
        <v>37.85</v>
      </c>
    </row>
    <row r="26" spans="1:23">
      <c r="A26" s="1">
        <v>1311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2.71</v>
      </c>
      <c r="N26" s="3">
        <v>7.34</v>
      </c>
      <c r="O26" s="3">
        <v>4.4</v>
      </c>
      <c r="P26" s="3">
        <v>3.77</v>
      </c>
      <c r="Q26" s="3">
        <v>2.67</v>
      </c>
      <c r="R26" s="3"/>
      <c r="S26" s="3"/>
      <c r="T26" s="3">
        <v>1.74</v>
      </c>
      <c r="U26" s="3"/>
      <c r="V26" s="3"/>
      <c r="W26" s="3">
        <f t="shared" si="0"/>
        <v>22.63</v>
      </c>
    </row>
    <row r="27" spans="1:23">
      <c r="A27" s="1">
        <v>260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f>22.2+22.22+14.88</f>
        <v>59.3</v>
      </c>
      <c r="N27" s="3">
        <f>20.36+22.43+17.47+19.24+14.15</f>
        <v>93.65</v>
      </c>
      <c r="O27" s="3">
        <f>19.74+18.11+15.32</f>
        <v>53.17</v>
      </c>
      <c r="P27" s="3">
        <f>20.88+18.03+5.12</f>
        <v>44.03</v>
      </c>
      <c r="Q27" s="3">
        <v>13.95</v>
      </c>
      <c r="R27" s="3"/>
      <c r="S27" s="3">
        <v>5.84</v>
      </c>
      <c r="T27" s="3">
        <f>18.45+7.5</f>
        <v>25.95</v>
      </c>
      <c r="U27" s="3">
        <f>14.42+7.1</f>
        <v>21.52</v>
      </c>
      <c r="V27" s="3"/>
      <c r="W27" s="3">
        <f t="shared" si="0"/>
        <v>317.41</v>
      </c>
    </row>
    <row r="28" spans="1:23">
      <c r="A28" s="1">
        <v>1032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4.67</v>
      </c>
      <c r="N28" s="3">
        <v>24.36</v>
      </c>
      <c r="O28" s="3">
        <v>11.47</v>
      </c>
      <c r="P28" s="3">
        <v>2.29</v>
      </c>
      <c r="Q28" s="3"/>
      <c r="R28" s="3"/>
      <c r="S28" s="3">
        <v>4.16</v>
      </c>
      <c r="T28" s="3">
        <v>4.27</v>
      </c>
      <c r="U28" s="3"/>
      <c r="V28" s="3"/>
      <c r="W28" s="3">
        <f t="shared" si="0"/>
        <v>51.22</v>
      </c>
    </row>
    <row r="29" spans="1:23">
      <c r="A29" s="1">
        <v>2495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12.3</v>
      </c>
      <c r="N29" s="3">
        <v>7.02</v>
      </c>
      <c r="O29" s="3">
        <v>4.29</v>
      </c>
      <c r="P29" s="3"/>
      <c r="Q29" s="3">
        <v>3.53</v>
      </c>
      <c r="R29" s="3"/>
      <c r="S29" s="3">
        <v>2.4</v>
      </c>
      <c r="T29" s="3">
        <v>5.46</v>
      </c>
      <c r="U29" s="3">
        <v>1.47</v>
      </c>
      <c r="V29" s="3"/>
      <c r="W29" s="3">
        <f t="shared" si="0"/>
        <v>36.47</v>
      </c>
    </row>
    <row r="30" spans="1:23">
      <c r="A30" s="1">
        <v>285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2.54</v>
      </c>
      <c r="N30" s="3"/>
      <c r="O30" s="3"/>
      <c r="P30" s="3"/>
      <c r="Q30" s="3"/>
      <c r="R30" s="3"/>
      <c r="S30" s="3">
        <v>3.87</v>
      </c>
      <c r="T30" s="3"/>
      <c r="U30" s="3">
        <v>0.94</v>
      </c>
      <c r="V30" s="3"/>
      <c r="W30" s="3">
        <f t="shared" si="0"/>
        <v>7.35</v>
      </c>
    </row>
    <row r="31" spans="1:23">
      <c r="A31" s="1">
        <v>326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4.63</v>
      </c>
      <c r="N31" s="3">
        <v>3.68</v>
      </c>
      <c r="O31" s="3">
        <v>5.92</v>
      </c>
      <c r="P31" s="3">
        <v>3.54</v>
      </c>
      <c r="Q31" s="3"/>
      <c r="R31" s="3"/>
      <c r="S31" s="3">
        <v>3.72</v>
      </c>
      <c r="T31" s="3">
        <v>1.22</v>
      </c>
      <c r="U31" s="3">
        <v>1.97</v>
      </c>
      <c r="V31" s="3"/>
      <c r="W31" s="3">
        <f t="shared" si="0"/>
        <v>24.68</v>
      </c>
    </row>
    <row r="32" spans="1:23">
      <c r="A32" s="1">
        <v>309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f>16.55+25.46+20.38+7.99</f>
        <v>70.38</v>
      </c>
      <c r="N32" s="3">
        <f>21.46+19.8+25.08+24.03+23.41+11.39</f>
        <v>125.17</v>
      </c>
      <c r="O32" s="3">
        <f>22.37+19+0.96</f>
        <v>42.33</v>
      </c>
      <c r="P32" s="3">
        <f>20.07+18.68</f>
        <v>38.75</v>
      </c>
      <c r="Q32" s="3">
        <v>10.99</v>
      </c>
      <c r="R32" s="3"/>
      <c r="S32" s="3">
        <f>22.64+17.59</f>
        <v>40.23</v>
      </c>
      <c r="T32" s="3">
        <f>20.44+19.36+12.04</f>
        <v>51.84</v>
      </c>
      <c r="U32" s="3">
        <v>18.19</v>
      </c>
      <c r="V32" s="3"/>
      <c r="W32" s="3">
        <f t="shared" si="0"/>
        <v>397.88</v>
      </c>
    </row>
    <row r="33" spans="1:23">
      <c r="A33" s="1" t="s">
        <v>26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2.4</v>
      </c>
      <c r="Q33" s="3">
        <v>1.65</v>
      </c>
      <c r="R33" s="3"/>
      <c r="S33" s="3"/>
      <c r="T33" s="3">
        <v>8.22</v>
      </c>
      <c r="U33" s="3">
        <v>0.91</v>
      </c>
      <c r="V33" s="3"/>
      <c r="W33" s="3">
        <f t="shared" si="0"/>
        <v>13.18</v>
      </c>
    </row>
    <row r="34" spans="1:23">
      <c r="A34" s="1">
        <v>560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5.2</v>
      </c>
      <c r="N34" s="3">
        <v>10.82</v>
      </c>
      <c r="O34" s="3">
        <v>2.93</v>
      </c>
      <c r="P34" s="3">
        <v>3.73</v>
      </c>
      <c r="Q34" s="3"/>
      <c r="R34" s="3"/>
      <c r="S34" s="3"/>
      <c r="T34" s="3"/>
      <c r="U34" s="3"/>
      <c r="V34" s="3"/>
      <c r="W34" s="3">
        <f t="shared" si="0"/>
        <v>22.68</v>
      </c>
    </row>
    <row r="35" spans="1:23">
      <c r="A35" s="1">
        <v>1997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4.77</v>
      </c>
      <c r="N35" s="3">
        <v>5.26</v>
      </c>
      <c r="O35" s="3"/>
      <c r="P35" s="3"/>
      <c r="Q35" s="3"/>
      <c r="R35" s="3"/>
      <c r="S35" s="3"/>
      <c r="T35" s="3"/>
      <c r="U35" s="3"/>
      <c r="V35" s="3"/>
      <c r="W35" s="3">
        <f t="shared" si="0"/>
        <v>10.03</v>
      </c>
    </row>
    <row r="36" spans="1:23">
      <c r="A36" s="1">
        <v>689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2.06</v>
      </c>
      <c r="N36" s="3">
        <v>1.9</v>
      </c>
      <c r="O36" s="3">
        <v>10.52</v>
      </c>
      <c r="P36" s="3">
        <v>5.22</v>
      </c>
      <c r="Q36" s="3">
        <v>0.81</v>
      </c>
      <c r="R36" s="3"/>
      <c r="S36" s="3"/>
      <c r="T36" s="3">
        <v>2.62</v>
      </c>
      <c r="U36" s="3"/>
      <c r="V36" s="3"/>
      <c r="W36" s="3">
        <f t="shared" si="0"/>
        <v>23.13</v>
      </c>
    </row>
    <row r="37" spans="1:23">
      <c r="A37" s="1">
        <v>1791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14.41+13.26+5</f>
        <v>32.67</v>
      </c>
      <c r="N37" s="3">
        <f>13.72+13.7+13.25+17.6+17.22+13.79</f>
        <v>89.28</v>
      </c>
      <c r="O37" s="3">
        <f>13.24+14.06+14.77+15.1+16.38</f>
        <v>73.55</v>
      </c>
      <c r="P37" s="3">
        <f>13.25+17.39+13.49+16.61+14.06+13.43</f>
        <v>88.23</v>
      </c>
      <c r="Q37" s="3">
        <v>16.61</v>
      </c>
      <c r="R37" s="3"/>
      <c r="S37" s="3">
        <v>20.9</v>
      </c>
      <c r="T37" s="3">
        <f>18.09+17.83+17.02+8.67</f>
        <v>61.61</v>
      </c>
      <c r="U37" s="3">
        <f>13.62+19.19+13.82</f>
        <v>46.63</v>
      </c>
      <c r="V37" s="3"/>
      <c r="W37" s="3">
        <f t="shared" si="0"/>
        <v>429.48</v>
      </c>
    </row>
    <row r="38" spans="1:23">
      <c r="A38" s="1">
        <v>1311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10.69</v>
      </c>
      <c r="O38" s="3">
        <v>4.4</v>
      </c>
      <c r="P38" s="3">
        <v>7.54</v>
      </c>
      <c r="Q38" s="3"/>
      <c r="R38" s="3"/>
      <c r="S38" s="3"/>
      <c r="T38" s="3"/>
      <c r="U38" s="3"/>
      <c r="V38" s="3"/>
      <c r="W38" s="3">
        <f t="shared" si="0"/>
        <v>22.63</v>
      </c>
    </row>
    <row r="39" spans="1:23">
      <c r="A39" s="1">
        <v>693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5.15</v>
      </c>
      <c r="O39" s="3"/>
      <c r="P39" s="3"/>
      <c r="Q39" s="3"/>
      <c r="R39" s="3"/>
      <c r="S39" s="3">
        <v>7.01</v>
      </c>
      <c r="T39" s="3"/>
      <c r="U39" s="3"/>
      <c r="V39" s="3"/>
      <c r="W39" s="3">
        <f t="shared" si="0"/>
        <v>12.16</v>
      </c>
    </row>
    <row r="40" spans="1:23">
      <c r="A40" s="1">
        <v>968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2.17</v>
      </c>
      <c r="N40" s="3">
        <v>5.41</v>
      </c>
      <c r="O40" s="3">
        <v>1.39</v>
      </c>
      <c r="P40" s="3">
        <v>6.88</v>
      </c>
      <c r="Q40" s="3"/>
      <c r="R40" s="3"/>
      <c r="S40" s="3"/>
      <c r="T40" s="3"/>
      <c r="U40" s="3"/>
      <c r="V40" s="3"/>
      <c r="W40" s="3">
        <f t="shared" si="0"/>
        <v>15.85</v>
      </c>
    </row>
    <row r="41" spans="1:23">
      <c r="A41" s="1">
        <v>2441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7.3</v>
      </c>
      <c r="N41" s="3">
        <v>11.17</v>
      </c>
      <c r="O41" s="3">
        <v>2.9</v>
      </c>
      <c r="P41" s="3">
        <v>1.17</v>
      </c>
      <c r="Q41" s="3"/>
      <c r="R41" s="3"/>
      <c r="S41" s="3"/>
      <c r="T41" s="3">
        <v>6.47</v>
      </c>
      <c r="U41" s="3">
        <v>0.86</v>
      </c>
      <c r="V41" s="3"/>
      <c r="W41" s="3">
        <f t="shared" si="0"/>
        <v>29.87</v>
      </c>
    </row>
    <row r="42" spans="1:23">
      <c r="A42" s="1">
        <v>982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12.8</v>
      </c>
      <c r="N42" s="3">
        <v>14.91</v>
      </c>
      <c r="O42" s="3">
        <v>5.68</v>
      </c>
      <c r="P42" s="3">
        <v>1.12</v>
      </c>
      <c r="Q42" s="3"/>
      <c r="R42" s="3"/>
      <c r="S42" s="3"/>
      <c r="T42" s="3">
        <v>6.25</v>
      </c>
      <c r="U42" s="3">
        <v>3.45</v>
      </c>
      <c r="V42" s="3"/>
      <c r="W42" s="3">
        <f t="shared" si="0"/>
        <v>44.21</v>
      </c>
    </row>
    <row r="43" spans="1:23">
      <c r="A43" s="1">
        <v>444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f>14.29+14.9</f>
        <v>29.19</v>
      </c>
      <c r="N43" s="3">
        <v>13.15</v>
      </c>
      <c r="O43" s="3">
        <f>9.61+1.36</f>
        <v>10.97</v>
      </c>
      <c r="P43" s="3">
        <f>9.36+1.11</f>
        <v>10.47</v>
      </c>
      <c r="Q43" s="3">
        <v>4.49</v>
      </c>
      <c r="R43" s="3"/>
      <c r="S43" s="3">
        <v>18.58</v>
      </c>
      <c r="T43" s="3">
        <v>7.04</v>
      </c>
      <c r="U43" s="3">
        <v>3.34</v>
      </c>
      <c r="V43" s="3"/>
      <c r="W43" s="3">
        <f t="shared" si="0"/>
        <v>97.23</v>
      </c>
    </row>
    <row r="44" spans="1:23">
      <c r="A44" s="1">
        <v>1034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f>15.21+15.5+13.3</f>
        <v>44.01</v>
      </c>
      <c r="N44" s="3">
        <v>15.33</v>
      </c>
      <c r="O44" s="3">
        <v>6.18</v>
      </c>
      <c r="P44" s="3">
        <v>3.74</v>
      </c>
      <c r="Q44" s="3">
        <v>1.97</v>
      </c>
      <c r="R44" s="3"/>
      <c r="S44" s="3">
        <v>4.2</v>
      </c>
      <c r="T44" s="3">
        <v>1.64</v>
      </c>
      <c r="U44" s="3"/>
      <c r="V44" s="3"/>
      <c r="W44" s="3">
        <f t="shared" si="0"/>
        <v>77.07</v>
      </c>
    </row>
    <row r="45" spans="1:23">
      <c r="A45" s="1">
        <v>641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f>16+9.73</f>
        <v>25.73</v>
      </c>
      <c r="N45" s="3">
        <f>17.95+20.09+11.48</f>
        <v>49.52</v>
      </c>
      <c r="O45" s="3">
        <v>18.11</v>
      </c>
      <c r="P45" s="3">
        <v>13.74</v>
      </c>
      <c r="Q45" s="3">
        <v>1.69</v>
      </c>
      <c r="R45" s="3"/>
      <c r="S45" s="3"/>
      <c r="T45" s="3">
        <v>5.53</v>
      </c>
      <c r="U45" s="3"/>
      <c r="V45" s="3"/>
      <c r="W45" s="3">
        <f t="shared" si="0"/>
        <v>114.32</v>
      </c>
    </row>
    <row r="46" spans="1:23">
      <c r="A46" s="1">
        <v>2358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9.03</v>
      </c>
      <c r="N46" s="3"/>
      <c r="O46" s="3">
        <v>1.25</v>
      </c>
      <c r="P46" s="3"/>
      <c r="Q46" s="3"/>
      <c r="R46" s="3"/>
      <c r="S46" s="3"/>
      <c r="T46" s="3"/>
      <c r="U46" s="3"/>
      <c r="V46" s="3"/>
      <c r="W46" s="3">
        <f>SUM(C46:V46)</f>
        <v>10.28</v>
      </c>
    </row>
    <row r="47" spans="1:23">
      <c r="A47" s="1">
        <v>999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4.76</v>
      </c>
      <c r="N47" s="3">
        <v>5.84</v>
      </c>
      <c r="O47" s="3">
        <v>3.04</v>
      </c>
      <c r="P47" s="3">
        <v>2.31</v>
      </c>
      <c r="Q47" s="3">
        <v>2.92</v>
      </c>
      <c r="R47" s="3"/>
      <c r="S47" s="3">
        <v>17.28</v>
      </c>
      <c r="T47" s="3">
        <v>13.58</v>
      </c>
      <c r="U47" s="3">
        <v>6.65</v>
      </c>
      <c r="V47" s="3"/>
      <c r="W47" s="3">
        <f>SUM(C47:V47)</f>
        <v>56.38</v>
      </c>
    </row>
    <row r="48" spans="1:23">
      <c r="A48" s="1">
        <v>478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6.7</v>
      </c>
      <c r="N48" s="3"/>
      <c r="O48" s="3">
        <v>6.16</v>
      </c>
      <c r="P48" s="3">
        <v>11.27</v>
      </c>
      <c r="Q48" s="3">
        <v>8.25</v>
      </c>
      <c r="R48" s="3"/>
      <c r="S48" s="3">
        <v>6.2</v>
      </c>
      <c r="T48" s="3">
        <v>11.72</v>
      </c>
      <c r="U48" s="3">
        <v>9.13</v>
      </c>
      <c r="V48" s="3"/>
      <c r="W48" s="3">
        <f>SUM(C48:V48)</f>
        <v>59.43</v>
      </c>
    </row>
    <row r="49" spans="1:23">
      <c r="A49" s="1">
        <v>1791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15.71</v>
      </c>
      <c r="N49" s="3">
        <f>8.84+10.13</f>
        <v>18.97</v>
      </c>
      <c r="O49" s="3">
        <f>15.38+17.15</f>
        <v>32.53</v>
      </c>
      <c r="P49" s="3">
        <f>13.9+12.11</f>
        <v>26.01</v>
      </c>
      <c r="Q49" s="3">
        <v>5.97</v>
      </c>
      <c r="R49" s="3"/>
      <c r="S49" s="3"/>
      <c r="T49" s="3">
        <v>11.92</v>
      </c>
      <c r="U49" s="3">
        <v>11.09</v>
      </c>
      <c r="V49" s="3"/>
      <c r="W49" s="3">
        <f>SUM(C49:V49)</f>
        <v>122.2</v>
      </c>
    </row>
    <row r="50" spans="1:23">
      <c r="A50" s="1">
        <v>309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f>20.19+16.9+20.5+8.51</f>
        <v>66.1</v>
      </c>
      <c r="N50" s="3">
        <f>27.01+18.95+18.3+16.16+25.75</f>
        <v>106.17</v>
      </c>
      <c r="O50" s="3">
        <f>25.44+14.44+10.32</f>
        <v>50.2</v>
      </c>
      <c r="P50" s="3">
        <f>25.5+12.22+2.32</f>
        <v>40.04</v>
      </c>
      <c r="Q50" s="3">
        <f>8.55+1.86</f>
        <v>10.41</v>
      </c>
      <c r="R50" s="3"/>
      <c r="S50" s="3">
        <f>11.5+17.29</f>
        <v>28.79</v>
      </c>
      <c r="T50" s="3">
        <f>20.51+14.05</f>
        <v>34.56</v>
      </c>
      <c r="U50" s="3">
        <f>12.15+6.33</f>
        <v>18.48</v>
      </c>
      <c r="V50" s="3"/>
      <c r="W50" s="3">
        <f>SUM(C50:V50)</f>
        <v>354.75</v>
      </c>
    </row>
    <row r="51" spans="1:23">
      <c r="A51" s="1">
        <v>478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7.47</v>
      </c>
      <c r="O51" s="3">
        <v>13.11</v>
      </c>
      <c r="P51" s="3">
        <v>13.63</v>
      </c>
      <c r="Q51" s="3">
        <v>10.77</v>
      </c>
      <c r="R51" s="3"/>
      <c r="S51" s="3">
        <v>8.31</v>
      </c>
      <c r="T51" s="3">
        <v>17.7</v>
      </c>
      <c r="U51" s="3">
        <v>11.09</v>
      </c>
      <c r="V51" s="3"/>
      <c r="W51" s="3">
        <f>SUM(C51:V51)</f>
        <v>82.08</v>
      </c>
    </row>
    <row r="52" spans="1:23">
      <c r="A52" s="1">
        <v>1791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2.18</v>
      </c>
      <c r="N52" s="3"/>
      <c r="O52" s="3">
        <v>8.34</v>
      </c>
      <c r="P52" s="3">
        <v>11.64</v>
      </c>
      <c r="Q52" s="3">
        <v>7.52</v>
      </c>
      <c r="R52" s="3"/>
      <c r="S52" s="3">
        <v>2.99</v>
      </c>
      <c r="T52" s="3">
        <v>21.38</v>
      </c>
      <c r="U52" s="3">
        <v>12.66</v>
      </c>
      <c r="V52" s="3"/>
      <c r="W52" s="3">
        <f>SUM(C52:V52)</f>
        <v>66.71</v>
      </c>
    </row>
    <row r="53" spans="1:23">
      <c r="A53" s="1">
        <v>1792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12.71</v>
      </c>
      <c r="N53" s="3">
        <v>14.36</v>
      </c>
      <c r="O53" s="3">
        <v>5.85</v>
      </c>
      <c r="P53" s="3">
        <v>5.05</v>
      </c>
      <c r="Q53" s="3"/>
      <c r="R53" s="3"/>
      <c r="S53" s="3">
        <v>2.15</v>
      </c>
      <c r="T53" s="3">
        <v>16.51</v>
      </c>
      <c r="U53" s="3">
        <v>0.95</v>
      </c>
      <c r="V53" s="3"/>
      <c r="W53" s="3">
        <f>SUM(C53:V53)</f>
        <v>57.58</v>
      </c>
    </row>
    <row r="54" spans="1:23">
      <c r="A54" s="1">
        <v>1005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4.94</v>
      </c>
      <c r="N54" s="3">
        <v>11.37</v>
      </c>
      <c r="O54" s="3">
        <v>9.39</v>
      </c>
      <c r="P54" s="3">
        <v>10</v>
      </c>
      <c r="Q54" s="3">
        <v>1.97</v>
      </c>
      <c r="R54" s="3"/>
      <c r="S54" s="3">
        <v>3.09</v>
      </c>
      <c r="T54" s="3">
        <f>17.82+3.23</f>
        <v>21.05</v>
      </c>
      <c r="U54" s="3">
        <v>13.45</v>
      </c>
      <c r="V54" s="3"/>
      <c r="W54" s="3">
        <f>SUM(C54:V54)</f>
        <v>75.26</v>
      </c>
    </row>
    <row r="55" spans="1:23">
      <c r="A55" s="1">
        <v>444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14.24</v>
      </c>
      <c r="N55" s="3">
        <v>1.84</v>
      </c>
      <c r="O55" s="3">
        <v>7.77</v>
      </c>
      <c r="P55" s="3">
        <v>9.95</v>
      </c>
      <c r="Q55" s="3"/>
      <c r="R55" s="3"/>
      <c r="S55" s="3">
        <v>14.75</v>
      </c>
      <c r="T55" s="3">
        <f>12.69+1.13</f>
        <v>13.82</v>
      </c>
      <c r="U55" s="3"/>
      <c r="V55" s="3"/>
      <c r="W55" s="3">
        <f>SUM(C55:V55)</f>
        <v>62.37</v>
      </c>
    </row>
    <row r="56" spans="1:23">
      <c r="A56" s="1">
        <v>765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7.17</v>
      </c>
      <c r="O56" s="3">
        <v>3.02</v>
      </c>
      <c r="P56" s="3">
        <v>10.02</v>
      </c>
      <c r="Q56" s="3">
        <v>6.06</v>
      </c>
      <c r="R56" s="3"/>
      <c r="S56" s="3"/>
      <c r="T56" s="3">
        <f>3.12+1.76+2.25</f>
        <v>7.13</v>
      </c>
      <c r="U56" s="3"/>
      <c r="V56" s="3"/>
      <c r="W56" s="3">
        <f>SUM(C56:V56)</f>
        <v>33.4</v>
      </c>
    </row>
    <row r="57" spans="1:23">
      <c r="A57" s="1">
        <v>1006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4.54</v>
      </c>
      <c r="N57" s="3">
        <v>17.1</v>
      </c>
      <c r="O57" s="3">
        <v>6.13</v>
      </c>
      <c r="P57" s="3">
        <v>6.18</v>
      </c>
      <c r="Q57" s="3">
        <v>3.12</v>
      </c>
      <c r="R57" s="3"/>
      <c r="S57" s="3">
        <v>10.01</v>
      </c>
      <c r="T57" s="3">
        <f>22.66+2.79</f>
        <v>25.45</v>
      </c>
      <c r="U57" s="3">
        <v>13.88</v>
      </c>
      <c r="V57" s="3"/>
      <c r="W57" s="3">
        <f>SUM(C57:V57)</f>
        <v>86.41</v>
      </c>
    </row>
    <row r="58" spans="1:23">
      <c r="A58" s="1">
        <v>2161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4.93</v>
      </c>
      <c r="N58" s="3">
        <v>17.62</v>
      </c>
      <c r="O58" s="3">
        <v>8.1</v>
      </c>
      <c r="P58" s="3">
        <v>3.6</v>
      </c>
      <c r="Q58" s="3"/>
      <c r="R58" s="3"/>
      <c r="S58" s="3">
        <f>21.95+13.16+16.77+15.57</f>
        <v>67.45</v>
      </c>
      <c r="T58" s="3">
        <f>18.46+7.79+18.13+19.23+17.92+16.82+25.77+14.52+15.14</f>
        <v>153.78</v>
      </c>
      <c r="U58" s="3">
        <v>13.97</v>
      </c>
      <c r="V58" s="3"/>
      <c r="W58" s="3">
        <f>SUM(C58:V58)</f>
        <v>269.45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>SUM(C59:V59)</f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>SUM(C60:V60)</f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>SUM(C61:V61)</f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>SUM(C62:V62)</f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>SUM(C63:V63)</f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>SUM(C64:V64)</f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>SUM(C65:V65)</f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>SUM(C66:V66)</f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ref="W67:W130" si="1">SUM(C67:V67)</f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si="1"/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ref="W131:W194" si="2">SUM(C131:V131)</f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si="2"/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ref="W195:W258" si="3">SUM(C195:V195)</f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si="3"/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ref="W259:W322" si="4">SUM(C259:V259)</f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si="4"/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ref="W323:W347" si="5">SUM(C323:V323)</f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si="5"/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3:23">
      <c r="C348" s="4">
        <f t="shared" ref="C348:V348" si="6">SUM(C1:C347)</f>
        <v>0</v>
      </c>
      <c r="D348" s="4">
        <f t="shared" si="6"/>
        <v>0</v>
      </c>
      <c r="E348" s="4">
        <f t="shared" si="6"/>
        <v>0</v>
      </c>
      <c r="F348" s="4">
        <f t="shared" si="6"/>
        <v>0</v>
      </c>
      <c r="G348" s="4">
        <f t="shared" si="6"/>
        <v>0</v>
      </c>
      <c r="H348" s="4">
        <f t="shared" si="6"/>
        <v>0</v>
      </c>
      <c r="I348" s="4">
        <f t="shared" si="6"/>
        <v>0</v>
      </c>
      <c r="J348" s="4">
        <f t="shared" si="6"/>
        <v>0</v>
      </c>
      <c r="K348" s="4">
        <f t="shared" si="6"/>
        <v>0</v>
      </c>
      <c r="L348" s="4">
        <f t="shared" si="6"/>
        <v>0</v>
      </c>
      <c r="M348" s="4">
        <f t="shared" si="6"/>
        <v>709.44</v>
      </c>
      <c r="N348" s="4">
        <f t="shared" si="6"/>
        <v>1033.75</v>
      </c>
      <c r="O348" s="4">
        <f t="shared" si="6"/>
        <v>601.25</v>
      </c>
      <c r="P348" s="4">
        <f t="shared" si="6"/>
        <v>557.91</v>
      </c>
      <c r="Q348" s="4">
        <f t="shared" si="6"/>
        <v>185.63</v>
      </c>
      <c r="R348" s="4">
        <f t="shared" si="6"/>
        <v>0</v>
      </c>
      <c r="S348" s="4">
        <f t="shared" si="6"/>
        <v>281.31</v>
      </c>
      <c r="T348" s="4">
        <f t="shared" si="6"/>
        <v>664.64</v>
      </c>
      <c r="U348" s="4">
        <f t="shared" si="6"/>
        <v>316.77</v>
      </c>
      <c r="V348" s="4">
        <f t="shared" si="6"/>
        <v>0</v>
      </c>
      <c r="W348" s="4">
        <f>SUM(W2:W347)</f>
        <v>4350.7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880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5.06</v>
      </c>
      <c r="N2" s="3"/>
      <c r="O2" s="3"/>
      <c r="P2" s="3"/>
      <c r="Q2" s="3"/>
      <c r="R2" s="3"/>
      <c r="S2" s="3"/>
      <c r="T2" s="3"/>
      <c r="U2" s="3"/>
      <c r="V2" s="3"/>
      <c r="W2" s="3">
        <f t="shared" ref="W2:W67" si="0">SUM(C2:V2)</f>
        <v>5.06</v>
      </c>
    </row>
    <row r="3" spans="1:23">
      <c r="A3" s="1">
        <v>987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6.8</v>
      </c>
      <c r="N3" s="3"/>
      <c r="O3" s="3"/>
      <c r="P3" s="3"/>
      <c r="Q3" s="3"/>
      <c r="R3" s="3"/>
      <c r="S3" s="3"/>
      <c r="T3" s="3"/>
      <c r="U3" s="3"/>
      <c r="V3" s="3"/>
      <c r="W3" s="3">
        <f t="shared" si="0"/>
        <v>6.8</v>
      </c>
    </row>
    <row r="4" spans="1:23">
      <c r="A4" s="1">
        <v>260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21.42+18.18+8.28</f>
        <v>47.88</v>
      </c>
      <c r="N4" s="3">
        <f>18.79+22.12+20.28+20.44+13.78</f>
        <v>95.41</v>
      </c>
      <c r="O4" s="3">
        <f>16.82+17.27+17.9</f>
        <v>51.99</v>
      </c>
      <c r="P4" s="3">
        <f>19.1+15.21+21.3+2.47</f>
        <v>58.08</v>
      </c>
      <c r="Q4" s="3">
        <f>15.24+7.04</f>
        <v>22.28</v>
      </c>
      <c r="R4" s="3"/>
      <c r="S4" s="3">
        <v>2.53</v>
      </c>
      <c r="T4" s="3">
        <f>15.89+5.43</f>
        <v>21.32</v>
      </c>
      <c r="U4" s="3">
        <f>13.55+1.79</f>
        <v>15.34</v>
      </c>
      <c r="V4" s="3"/>
      <c r="W4" s="3">
        <f t="shared" si="0"/>
        <v>314.83</v>
      </c>
    </row>
    <row r="5" spans="1:23">
      <c r="A5" s="1">
        <v>326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1">
        <v>9.92</v>
      </c>
      <c r="N5" s="3">
        <v>13.29</v>
      </c>
      <c r="O5" s="3">
        <v>5.44</v>
      </c>
      <c r="P5" s="3">
        <v>1.06</v>
      </c>
      <c r="Q5" s="3"/>
      <c r="R5" s="3"/>
      <c r="S5" s="3"/>
      <c r="T5" s="3">
        <v>7.36</v>
      </c>
      <c r="U5" s="3">
        <v>0.84</v>
      </c>
      <c r="V5" s="3"/>
      <c r="W5" s="3">
        <f t="shared" si="0"/>
        <v>37.91</v>
      </c>
    </row>
    <row r="6" spans="1:23">
      <c r="A6" s="1">
        <v>2192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11.33</v>
      </c>
      <c r="N6" s="3">
        <v>1.74</v>
      </c>
      <c r="O6" s="3">
        <v>2.75</v>
      </c>
      <c r="P6" s="3"/>
      <c r="Q6" s="3"/>
      <c r="R6" s="3"/>
      <c r="S6" s="3"/>
      <c r="T6" s="3"/>
      <c r="U6" s="3">
        <v>0.56</v>
      </c>
      <c r="V6" s="3"/>
      <c r="W6" s="3">
        <f t="shared" si="0"/>
        <v>16.38</v>
      </c>
    </row>
    <row r="7" spans="1:23">
      <c r="A7" s="1">
        <v>996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15.4+2.01</f>
        <v>17.41</v>
      </c>
      <c r="N7" s="3"/>
      <c r="O7" s="3"/>
      <c r="P7" s="3"/>
      <c r="Q7" s="3"/>
      <c r="R7" s="3"/>
      <c r="S7" s="3"/>
      <c r="T7" s="3"/>
      <c r="U7" s="3"/>
      <c r="V7" s="3"/>
      <c r="W7" s="3">
        <f t="shared" si="0"/>
        <v>17.41</v>
      </c>
    </row>
    <row r="8" spans="1:23">
      <c r="A8" s="1">
        <v>225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>
        <v>5.49</v>
      </c>
      <c r="O8" s="3">
        <v>1.28</v>
      </c>
      <c r="P8" s="3"/>
      <c r="Q8" s="3"/>
      <c r="R8" s="3"/>
      <c r="S8" s="3"/>
      <c r="T8" s="3"/>
      <c r="U8" s="3"/>
      <c r="V8" s="3"/>
      <c r="W8" s="3">
        <f t="shared" si="0"/>
        <v>6.77</v>
      </c>
    </row>
    <row r="9" spans="1:23">
      <c r="A9" s="1">
        <v>444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>
        <v>6.07</v>
      </c>
      <c r="O9" s="3">
        <v>2.92</v>
      </c>
      <c r="P9" s="3">
        <v>5.73</v>
      </c>
      <c r="Q9" s="3"/>
      <c r="R9" s="3"/>
      <c r="S9" s="3"/>
      <c r="T9" s="3">
        <v>3.75</v>
      </c>
      <c r="U9" s="3">
        <v>2.88</v>
      </c>
      <c r="V9" s="3"/>
      <c r="W9" s="3">
        <f t="shared" si="0"/>
        <v>21.35</v>
      </c>
    </row>
    <row r="10" spans="1:23">
      <c r="A10" s="1">
        <v>1745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2.23</v>
      </c>
      <c r="N10" s="3">
        <v>11.21</v>
      </c>
      <c r="O10" s="3">
        <v>2.84</v>
      </c>
      <c r="P10" s="3">
        <v>13.42</v>
      </c>
      <c r="Q10" s="3">
        <v>0.8</v>
      </c>
      <c r="R10" s="3"/>
      <c r="S10" s="3"/>
      <c r="T10" s="3">
        <v>1.5</v>
      </c>
      <c r="U10" s="3">
        <v>0.69</v>
      </c>
      <c r="V10" s="3"/>
      <c r="W10" s="3">
        <f t="shared" si="0"/>
        <v>32.69</v>
      </c>
    </row>
    <row r="11" spans="1:23">
      <c r="A11" s="1">
        <v>1795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2.43</v>
      </c>
      <c r="N11" s="3">
        <v>9.01</v>
      </c>
      <c r="O11" s="3">
        <v>7.9</v>
      </c>
      <c r="P11" s="3">
        <v>6.64</v>
      </c>
      <c r="Q11" s="3">
        <v>4.49</v>
      </c>
      <c r="R11" s="3"/>
      <c r="S11" s="3"/>
      <c r="T11" s="3"/>
      <c r="U11" s="3">
        <v>0.52</v>
      </c>
      <c r="V11" s="3"/>
      <c r="W11" s="3">
        <f t="shared" si="0"/>
        <v>30.99</v>
      </c>
    </row>
    <row r="12" spans="1:23">
      <c r="A12" s="1">
        <v>655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2.56</v>
      </c>
      <c r="N12" s="3">
        <v>8.08</v>
      </c>
      <c r="O12" s="3">
        <v>12.49</v>
      </c>
      <c r="P12" s="3">
        <v>3.47</v>
      </c>
      <c r="Q12" s="3">
        <v>0.83</v>
      </c>
      <c r="R12" s="3"/>
      <c r="S12" s="3"/>
      <c r="T12" s="3"/>
      <c r="U12" s="3"/>
      <c r="V12" s="3"/>
      <c r="W12" s="3">
        <f t="shared" si="0"/>
        <v>27.43</v>
      </c>
    </row>
    <row r="13" spans="1:23">
      <c r="A13" s="1">
        <v>273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v>7.39</v>
      </c>
      <c r="O13" s="3">
        <v>3.06</v>
      </c>
      <c r="P13" s="3">
        <v>1.18</v>
      </c>
      <c r="Q13" s="3"/>
      <c r="R13" s="3"/>
      <c r="S13" s="3"/>
      <c r="T13" s="3"/>
      <c r="U13" s="3">
        <v>0.74</v>
      </c>
      <c r="V13" s="3"/>
      <c r="W13" s="3">
        <f t="shared" si="0"/>
        <v>12.37</v>
      </c>
    </row>
    <row r="14" spans="1:23">
      <c r="A14" s="1">
        <v>1017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>
        <v>9.17</v>
      </c>
      <c r="O14" s="3"/>
      <c r="P14" s="3">
        <v>5.25</v>
      </c>
      <c r="Q14" s="3"/>
      <c r="R14" s="3"/>
      <c r="S14" s="3"/>
      <c r="T14" s="3">
        <v>5.66</v>
      </c>
      <c r="U14" s="3">
        <v>8.93</v>
      </c>
      <c r="V14" s="3"/>
      <c r="W14" s="3">
        <f t="shared" si="0"/>
        <v>29.01</v>
      </c>
    </row>
    <row r="15" spans="1:23">
      <c r="A15" s="1">
        <v>641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f>24.48+8</f>
        <v>32.48</v>
      </c>
      <c r="N15" s="3">
        <f>24.59+28.63</f>
        <v>53.22</v>
      </c>
      <c r="O15" s="3">
        <v>8.73</v>
      </c>
      <c r="P15" s="3">
        <v>5.87</v>
      </c>
      <c r="Q15" s="3"/>
      <c r="R15" s="3"/>
      <c r="S15" s="3"/>
      <c r="T15" s="3">
        <v>7.35</v>
      </c>
      <c r="U15" s="3"/>
      <c r="V15" s="3"/>
      <c r="W15" s="3">
        <f t="shared" si="0"/>
        <v>107.65</v>
      </c>
    </row>
    <row r="16" spans="1:23">
      <c r="A16" s="1">
        <v>689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>
        <v>7.12</v>
      </c>
      <c r="P16" s="3">
        <v>2.31</v>
      </c>
      <c r="Q16" s="3"/>
      <c r="R16" s="3"/>
      <c r="S16" s="3"/>
      <c r="T16" s="3">
        <v>1.1</v>
      </c>
      <c r="U16" s="3"/>
      <c r="V16" s="3"/>
      <c r="W16" s="3">
        <f t="shared" si="0"/>
        <v>10.53</v>
      </c>
    </row>
    <row r="17" spans="1:23">
      <c r="A17" s="1">
        <v>2495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2.53</v>
      </c>
      <c r="N17" s="3">
        <v>9.33</v>
      </c>
      <c r="O17" s="3">
        <v>9.05</v>
      </c>
      <c r="P17" s="3">
        <v>13.73</v>
      </c>
      <c r="Q17" s="3">
        <v>2.47</v>
      </c>
      <c r="R17" s="3"/>
      <c r="S17" s="3"/>
      <c r="T17" s="3">
        <v>2.51</v>
      </c>
      <c r="U17" s="3">
        <v>5.73</v>
      </c>
      <c r="V17" s="3"/>
      <c r="W17" s="3">
        <f t="shared" si="0"/>
        <v>45.35</v>
      </c>
    </row>
    <row r="18" spans="1:23">
      <c r="A18" s="1">
        <v>1032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2.65</v>
      </c>
      <c r="N18" s="3">
        <v>11.69</v>
      </c>
      <c r="O18" s="3">
        <v>1.3</v>
      </c>
      <c r="P18" s="3"/>
      <c r="Q18" s="3"/>
      <c r="R18" s="3"/>
      <c r="S18" s="3">
        <v>2.99</v>
      </c>
      <c r="T18" s="3"/>
      <c r="U18" s="3"/>
      <c r="V18" s="3"/>
      <c r="W18" s="3">
        <f t="shared" si="0"/>
        <v>18.63</v>
      </c>
    </row>
    <row r="19" spans="1:23">
      <c r="A19" s="1">
        <v>345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2.32</v>
      </c>
      <c r="N19" s="3">
        <v>1.95</v>
      </c>
      <c r="O19" s="3">
        <v>4.07</v>
      </c>
      <c r="P19" s="3">
        <v>0.96</v>
      </c>
      <c r="Q19" s="3"/>
      <c r="R19" s="3"/>
      <c r="S19" s="3"/>
      <c r="T19" s="3"/>
      <c r="U19" s="3"/>
      <c r="V19" s="3"/>
      <c r="W19" s="3">
        <f t="shared" si="0"/>
        <v>9.3</v>
      </c>
    </row>
    <row r="20" spans="1:23">
      <c r="A20" s="1">
        <v>478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f>20.27+17.95+15.34</f>
        <v>53.56</v>
      </c>
      <c r="N20" s="3">
        <f>16.03+22.27+17.81+20.53+20.14+11.79</f>
        <v>108.57</v>
      </c>
      <c r="O20" s="3">
        <f>16.62+19.46+19.36+22.85+13.95</f>
        <v>92.24</v>
      </c>
      <c r="P20" s="3">
        <f>18.04+16.43+16.44+12.25+18.4+16.86</f>
        <v>98.42</v>
      </c>
      <c r="Q20" s="3">
        <f>16.12+16.27+17.08+6.92</f>
        <v>56.39</v>
      </c>
      <c r="R20" s="3"/>
      <c r="S20" s="3">
        <v>4.66</v>
      </c>
      <c r="T20" s="3">
        <f>14.15+14.27+16.35+3.42</f>
        <v>48.19</v>
      </c>
      <c r="U20" s="3">
        <f>23+16.34+17.83+7.4</f>
        <v>64.57</v>
      </c>
      <c r="V20" s="3"/>
      <c r="W20" s="3">
        <f t="shared" si="0"/>
        <v>526.6</v>
      </c>
    </row>
    <row r="21" spans="1:23">
      <c r="A21" s="1">
        <v>968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4.42</v>
      </c>
      <c r="N21" s="3">
        <v>10.29</v>
      </c>
      <c r="O21" s="3">
        <v>8.73</v>
      </c>
      <c r="P21" s="3">
        <v>1.08</v>
      </c>
      <c r="Q21" s="3"/>
      <c r="R21" s="3"/>
      <c r="S21" s="3">
        <v>2.37</v>
      </c>
      <c r="T21" s="3">
        <v>3.79</v>
      </c>
      <c r="U21" s="3">
        <v>1.75</v>
      </c>
      <c r="V21" s="3"/>
      <c r="W21" s="3">
        <f t="shared" si="0"/>
        <v>32.43</v>
      </c>
    </row>
    <row r="22" spans="1:23">
      <c r="A22" s="1">
        <v>693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8.41</v>
      </c>
      <c r="N22" s="3">
        <v>3.79</v>
      </c>
      <c r="O22" s="3"/>
      <c r="P22" s="3"/>
      <c r="Q22" s="3"/>
      <c r="R22" s="3"/>
      <c r="S22" s="3"/>
      <c r="T22" s="3"/>
      <c r="U22" s="3"/>
      <c r="V22" s="3"/>
      <c r="W22" s="3">
        <f t="shared" si="0"/>
        <v>12.2</v>
      </c>
    </row>
    <row r="23" spans="1:23">
      <c r="A23" s="1">
        <v>2441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f>9.32+2.32</f>
        <v>11.64</v>
      </c>
      <c r="N23" s="3">
        <v>5.33</v>
      </c>
      <c r="O23" s="3">
        <v>4.23</v>
      </c>
      <c r="P23" s="3">
        <v>3.44</v>
      </c>
      <c r="Q23" s="3"/>
      <c r="R23" s="3"/>
      <c r="S23" s="3">
        <v>2.15</v>
      </c>
      <c r="T23" s="3">
        <v>1.16</v>
      </c>
      <c r="U23" s="3"/>
      <c r="V23" s="3"/>
      <c r="W23" s="3">
        <f t="shared" si="0"/>
        <v>27.95</v>
      </c>
    </row>
    <row r="24" spans="1:23">
      <c r="A24" s="1">
        <v>982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10.35</v>
      </c>
      <c r="N24" s="3">
        <v>13.01</v>
      </c>
      <c r="O24" s="3">
        <v>6.98</v>
      </c>
      <c r="P24" s="3">
        <v>4.72</v>
      </c>
      <c r="Q24" s="3"/>
      <c r="R24" s="3"/>
      <c r="S24" s="3"/>
      <c r="T24" s="3"/>
      <c r="U24" s="3"/>
      <c r="V24" s="3"/>
      <c r="W24" s="3">
        <f t="shared" si="0"/>
        <v>35.06</v>
      </c>
    </row>
    <row r="25" spans="1:23">
      <c r="A25" s="1">
        <v>1311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14.73</v>
      </c>
      <c r="N25" s="3">
        <v>2.82</v>
      </c>
      <c r="O25" s="3">
        <v>5.36</v>
      </c>
      <c r="P25" s="3"/>
      <c r="Q25" s="3"/>
      <c r="R25" s="3"/>
      <c r="S25" s="3"/>
      <c r="T25" s="3"/>
      <c r="U25" s="3"/>
      <c r="V25" s="3"/>
      <c r="W25" s="3">
        <f t="shared" si="0"/>
        <v>22.91</v>
      </c>
    </row>
    <row r="26" spans="1:23">
      <c r="A26" s="1">
        <v>2482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11.73</v>
      </c>
      <c r="N26" s="3">
        <v>14.52</v>
      </c>
      <c r="O26" s="3">
        <v>8.67</v>
      </c>
      <c r="P26" s="3">
        <v>3.11</v>
      </c>
      <c r="Q26" s="3"/>
      <c r="R26" s="3"/>
      <c r="S26" s="3"/>
      <c r="T26" s="3"/>
      <c r="U26" s="3"/>
      <c r="V26" s="3"/>
      <c r="W26" s="3">
        <f t="shared" si="0"/>
        <v>38.03</v>
      </c>
    </row>
    <row r="27" spans="1:23">
      <c r="A27" s="1">
        <v>444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23.35</v>
      </c>
      <c r="N27" s="3">
        <v>5.47</v>
      </c>
      <c r="O27" s="3">
        <v>1.48</v>
      </c>
      <c r="P27" s="3">
        <v>2.25</v>
      </c>
      <c r="Q27" s="3"/>
      <c r="R27" s="3"/>
      <c r="S27" s="3">
        <v>7.48</v>
      </c>
      <c r="T27" s="3">
        <f>0.95+1.76</f>
        <v>2.71</v>
      </c>
      <c r="U27" s="3"/>
      <c r="V27" s="3"/>
      <c r="W27" s="3">
        <f t="shared" si="0"/>
        <v>42.74</v>
      </c>
    </row>
    <row r="28" spans="1:23">
      <c r="A28" s="1">
        <v>478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7.42</v>
      </c>
      <c r="N28" s="3">
        <f>16.79+1.57</f>
        <v>18.36</v>
      </c>
      <c r="O28" s="3">
        <f>18.04+3.06</f>
        <v>21.1</v>
      </c>
      <c r="P28" s="3">
        <f>14.62+14.9</f>
        <v>29.52</v>
      </c>
      <c r="Q28" s="3">
        <v>10.87</v>
      </c>
      <c r="R28" s="3"/>
      <c r="S28" s="3">
        <v>2.27</v>
      </c>
      <c r="T28" s="3">
        <f>21.78+16.94+12.24</f>
        <v>50.96</v>
      </c>
      <c r="U28" s="3">
        <f>21.75+3.42</f>
        <v>25.17</v>
      </c>
      <c r="V28" s="3"/>
      <c r="W28" s="3">
        <f t="shared" si="0"/>
        <v>165.67</v>
      </c>
    </row>
    <row r="29" spans="1:23">
      <c r="A29" s="1">
        <v>1020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5.38</v>
      </c>
      <c r="O29" s="3">
        <v>3.82</v>
      </c>
      <c r="P29" s="3"/>
      <c r="Q29" s="3"/>
      <c r="R29" s="3"/>
      <c r="S29" s="3"/>
      <c r="T29" s="3"/>
      <c r="U29" s="3"/>
      <c r="V29" s="3"/>
      <c r="W29" s="3">
        <f t="shared" si="0"/>
        <v>9.2</v>
      </c>
    </row>
    <row r="30" spans="1:23">
      <c r="A30" s="1">
        <v>1997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8.57</v>
      </c>
      <c r="N30" s="3">
        <v>5.47</v>
      </c>
      <c r="O30" s="3">
        <v>2.83</v>
      </c>
      <c r="P30" s="3"/>
      <c r="Q30" s="3">
        <v>0.77</v>
      </c>
      <c r="R30" s="3"/>
      <c r="S30" s="3"/>
      <c r="T30" s="3"/>
      <c r="U30" s="3"/>
      <c r="V30" s="3"/>
      <c r="W30" s="3">
        <f t="shared" si="0"/>
        <v>17.64</v>
      </c>
    </row>
    <row r="31" spans="1:23">
      <c r="A31" s="1">
        <v>560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4.93</v>
      </c>
      <c r="N31" s="3">
        <v>10.32</v>
      </c>
      <c r="O31" s="3">
        <v>15.56</v>
      </c>
      <c r="P31" s="3">
        <v>7.47</v>
      </c>
      <c r="Q31" s="3"/>
      <c r="R31" s="3"/>
      <c r="S31" s="3"/>
      <c r="T31" s="3"/>
      <c r="U31" s="3"/>
      <c r="V31" s="3"/>
      <c r="W31" s="3">
        <f t="shared" si="0"/>
        <v>38.28</v>
      </c>
    </row>
    <row r="32" spans="1:23">
      <c r="A32" s="1">
        <v>342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1.61</v>
      </c>
      <c r="O32" s="3"/>
      <c r="P32" s="3"/>
      <c r="Q32" s="3">
        <v>0.91</v>
      </c>
      <c r="R32" s="3"/>
      <c r="S32" s="3"/>
      <c r="T32" s="3"/>
      <c r="U32" s="3"/>
      <c r="V32" s="3"/>
      <c r="W32" s="3">
        <f t="shared" si="0"/>
        <v>2.52</v>
      </c>
    </row>
    <row r="33" spans="1:23">
      <c r="A33" s="1">
        <v>1791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f>20.14+16.68+14.86</f>
        <v>51.68</v>
      </c>
      <c r="N33" s="3">
        <f>17.98+17.47+21.23+25.5</f>
        <v>82.18</v>
      </c>
      <c r="O33" s="3">
        <f>16.6+16.88+18.48+12.17+20.23</f>
        <v>84.36</v>
      </c>
      <c r="P33" s="3">
        <f>20.76+18.15+14.44+25.1</f>
        <v>78.45</v>
      </c>
      <c r="Q33" s="3">
        <f>15.22+7.81</f>
        <v>23.03</v>
      </c>
      <c r="R33" s="3"/>
      <c r="S33" s="3">
        <f>16.4+20.13+2.31</f>
        <v>38.84</v>
      </c>
      <c r="T33" s="3">
        <f>16.54+17.44+17.36</f>
        <v>51.34</v>
      </c>
      <c r="U33" s="3">
        <f>18.2+8.03</f>
        <v>26.23</v>
      </c>
      <c r="V33" s="3"/>
      <c r="W33" s="3">
        <f t="shared" si="0"/>
        <v>436.11</v>
      </c>
    </row>
    <row r="34" spans="1:23">
      <c r="A34" s="1">
        <v>1006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5.1</v>
      </c>
      <c r="N34" s="3">
        <v>6.73</v>
      </c>
      <c r="O34" s="3">
        <v>9.87</v>
      </c>
      <c r="P34" s="3">
        <v>15.44</v>
      </c>
      <c r="Q34" s="3">
        <v>4.54</v>
      </c>
      <c r="R34" s="3"/>
      <c r="S34" s="3">
        <v>2.61</v>
      </c>
      <c r="T34" s="3">
        <v>5.82</v>
      </c>
      <c r="U34" s="3">
        <v>4.07</v>
      </c>
      <c r="V34" s="3"/>
      <c r="W34" s="3">
        <f t="shared" si="0"/>
        <v>54.18</v>
      </c>
    </row>
    <row r="35" spans="1:23">
      <c r="A35" s="1">
        <v>999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12.13</v>
      </c>
      <c r="N35" s="3">
        <v>16.11</v>
      </c>
      <c r="O35" s="3"/>
      <c r="P35" s="3">
        <v>6.92</v>
      </c>
      <c r="Q35" s="3"/>
      <c r="R35" s="3"/>
      <c r="S35" s="3">
        <v>2.75</v>
      </c>
      <c r="T35" s="3">
        <v>6.15</v>
      </c>
      <c r="U35" s="3">
        <v>0.72</v>
      </c>
      <c r="V35" s="3"/>
      <c r="W35" s="3">
        <f t="shared" si="0"/>
        <v>44.78</v>
      </c>
    </row>
    <row r="36" spans="1:23">
      <c r="A36" s="1">
        <v>1795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7.49</v>
      </c>
      <c r="N36" s="3">
        <v>15.6</v>
      </c>
      <c r="O36" s="3">
        <v>4.69</v>
      </c>
      <c r="P36" s="3">
        <v>7.34</v>
      </c>
      <c r="Q36" s="3"/>
      <c r="R36" s="3"/>
      <c r="S36" s="3">
        <v>2.31</v>
      </c>
      <c r="T36" s="3">
        <v>17.34</v>
      </c>
      <c r="U36" s="3">
        <v>1.89</v>
      </c>
      <c r="V36" s="3"/>
      <c r="W36" s="3">
        <f t="shared" si="0"/>
        <v>56.66</v>
      </c>
    </row>
    <row r="37" spans="1:23">
      <c r="A37" s="1">
        <v>2358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2.09</v>
      </c>
      <c r="N37" s="3"/>
      <c r="O37" s="3">
        <v>1.47</v>
      </c>
      <c r="P37" s="3">
        <v>2.26</v>
      </c>
      <c r="Q37" s="3"/>
      <c r="R37" s="3"/>
      <c r="S37" s="3"/>
      <c r="T37" s="3">
        <v>4.84</v>
      </c>
      <c r="U37" s="3"/>
      <c r="V37" s="3"/>
      <c r="W37" s="3">
        <f t="shared" si="0"/>
        <v>10.66</v>
      </c>
    </row>
    <row r="38" spans="1:23">
      <c r="A38" s="1">
        <v>1791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7.63</v>
      </c>
      <c r="N38" s="3">
        <f>22.83+22.65</f>
        <v>45.48</v>
      </c>
      <c r="O38" s="3">
        <f>14.21+23.89+21.3</f>
        <v>59.4</v>
      </c>
      <c r="P38" s="3">
        <f>10.77+23.34</f>
        <v>34.11</v>
      </c>
      <c r="Q38" s="3">
        <v>11.36</v>
      </c>
      <c r="R38" s="3"/>
      <c r="S38" s="3">
        <v>16.54</v>
      </c>
      <c r="T38" s="3">
        <f>20.83+24.65</f>
        <v>45.48</v>
      </c>
      <c r="U38" s="3">
        <f>15.1+16.06</f>
        <v>31.16</v>
      </c>
      <c r="V38" s="3"/>
      <c r="W38" s="3">
        <f t="shared" si="0"/>
        <v>251.16</v>
      </c>
    </row>
    <row r="39" spans="1:23">
      <c r="A39" s="1">
        <v>342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>
        <v>2.9</v>
      </c>
      <c r="T39" s="3"/>
      <c r="U39" s="3"/>
      <c r="V39" s="3"/>
      <c r="W39" s="3">
        <f t="shared" si="0"/>
        <v>2.9</v>
      </c>
    </row>
    <row r="40" spans="1:23">
      <c r="A40" s="1">
        <v>1792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10.6</v>
      </c>
      <c r="N40" s="3">
        <v>13.43</v>
      </c>
      <c r="O40" s="3"/>
      <c r="P40" s="3">
        <v>6.93</v>
      </c>
      <c r="Q40" s="3"/>
      <c r="R40" s="3"/>
      <c r="S40" s="3">
        <v>3.23</v>
      </c>
      <c r="T40" s="3">
        <v>4.72</v>
      </c>
      <c r="U40" s="3">
        <v>0.74</v>
      </c>
      <c r="V40" s="3"/>
      <c r="W40" s="3">
        <f t="shared" si="0"/>
        <v>39.65</v>
      </c>
    </row>
    <row r="41" spans="1:23">
      <c r="A41" s="1">
        <v>444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7.59</v>
      </c>
      <c r="N41" s="3">
        <v>7.52</v>
      </c>
      <c r="O41" s="3">
        <v>9.47</v>
      </c>
      <c r="P41" s="3">
        <v>2.44</v>
      </c>
      <c r="Q41" s="3"/>
      <c r="R41" s="3"/>
      <c r="S41" s="3">
        <v>2.33</v>
      </c>
      <c r="T41" s="3">
        <v>9.12</v>
      </c>
      <c r="U41" s="3">
        <v>6.33</v>
      </c>
      <c r="V41" s="3"/>
      <c r="W41" s="3">
        <f t="shared" si="0"/>
        <v>44.8</v>
      </c>
    </row>
    <row r="42" spans="1:23">
      <c r="A42" s="1">
        <v>266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3.53</v>
      </c>
      <c r="O42" s="3">
        <v>1.25</v>
      </c>
      <c r="P42" s="3">
        <v>1.12</v>
      </c>
      <c r="Q42" s="3">
        <v>0.76</v>
      </c>
      <c r="R42" s="3"/>
      <c r="S42" s="3"/>
      <c r="T42" s="3">
        <v>2.2</v>
      </c>
      <c r="U42" s="3">
        <v>0.9</v>
      </c>
      <c r="V42" s="3"/>
      <c r="W42" s="3">
        <f t="shared" si="0"/>
        <v>9.76</v>
      </c>
    </row>
    <row r="43" spans="1:23">
      <c r="A43" s="1">
        <v>309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f>21.54+22.2+20.45+23.82+13.65</f>
        <v>101.66</v>
      </c>
      <c r="N43" s="3">
        <f>16.83+21.13+20.06+20.51+18.91+19.06+15.25+1.71</f>
        <v>133.46</v>
      </c>
      <c r="O43" s="3">
        <f>17.87+14.09+7.79</f>
        <v>39.75</v>
      </c>
      <c r="P43" s="3">
        <f>15.53+10.88</f>
        <v>26.41</v>
      </c>
      <c r="Q43" s="3">
        <v>7.75</v>
      </c>
      <c r="R43" s="3"/>
      <c r="S43" s="3">
        <f>23.4+16.62+2.19</f>
        <v>42.21</v>
      </c>
      <c r="T43" s="3">
        <f>16.64+15.57+16.35+23.59+12.11</f>
        <v>84.26</v>
      </c>
      <c r="U43" s="3">
        <f>13.28+3.46</f>
        <v>16.74</v>
      </c>
      <c r="V43" s="3"/>
      <c r="W43" s="3">
        <f t="shared" si="0"/>
        <v>452.24</v>
      </c>
    </row>
    <row r="44" spans="1:23">
      <c r="A44" s="1" t="s">
        <v>26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7.96</v>
      </c>
      <c r="N44" s="3">
        <v>14.61</v>
      </c>
      <c r="O44" s="3"/>
      <c r="P44" s="3">
        <v>16.88</v>
      </c>
      <c r="Q44" s="3">
        <v>5.47</v>
      </c>
      <c r="R44" s="3"/>
      <c r="S44" s="3">
        <v>3.17</v>
      </c>
      <c r="T44" s="3">
        <v>7.92</v>
      </c>
      <c r="U44" s="3">
        <v>1.78</v>
      </c>
      <c r="V44" s="3"/>
      <c r="W44" s="3">
        <f t="shared" si="0"/>
        <v>57.79</v>
      </c>
    </row>
    <row r="45" spans="1:23">
      <c r="A45" s="1">
        <v>765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2.1</v>
      </c>
      <c r="N45" s="3">
        <v>19.25</v>
      </c>
      <c r="O45" s="3">
        <v>7.25</v>
      </c>
      <c r="P45" s="3">
        <v>12.13</v>
      </c>
      <c r="Q45" s="3">
        <v>5.48</v>
      </c>
      <c r="R45" s="3"/>
      <c r="S45" s="3"/>
      <c r="T45" s="3">
        <v>5.47</v>
      </c>
      <c r="U45" s="3"/>
      <c r="V45" s="3"/>
      <c r="W45" s="3">
        <f t="shared" si="0"/>
        <v>51.68</v>
      </c>
    </row>
    <row r="46" spans="1:23">
      <c r="A46" s="1">
        <v>1005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2.66</v>
      </c>
      <c r="N46" s="3">
        <v>13.82</v>
      </c>
      <c r="O46" s="3">
        <v>7.22</v>
      </c>
      <c r="P46" s="3">
        <v>1.16</v>
      </c>
      <c r="Q46" s="3"/>
      <c r="R46" s="3"/>
      <c r="S46" s="3">
        <v>2.77</v>
      </c>
      <c r="T46" s="3">
        <v>6.51</v>
      </c>
      <c r="U46" s="3">
        <v>3.18</v>
      </c>
      <c r="V46" s="3"/>
      <c r="W46" s="3">
        <f t="shared" si="0"/>
        <v>37.32</v>
      </c>
    </row>
    <row r="47" spans="1:23">
      <c r="A47" s="1">
        <v>977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3.33</v>
      </c>
      <c r="O47" s="3"/>
      <c r="P47" s="3">
        <v>3.74</v>
      </c>
      <c r="Q47" s="3"/>
      <c r="R47" s="3"/>
      <c r="S47" s="3"/>
      <c r="T47" s="3">
        <v>8.56</v>
      </c>
      <c r="U47" s="3">
        <v>1.99</v>
      </c>
      <c r="V47" s="3"/>
      <c r="W47" s="3">
        <f t="shared" si="0"/>
        <v>17.62</v>
      </c>
    </row>
    <row r="48" spans="1:23">
      <c r="A48" s="1">
        <v>342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15.68</v>
      </c>
      <c r="N48" s="3">
        <v>3.5</v>
      </c>
      <c r="O48" s="3"/>
      <c r="P48" s="3">
        <v>3.32</v>
      </c>
      <c r="Q48" s="3"/>
      <c r="R48" s="3"/>
      <c r="S48" s="3">
        <v>6.9</v>
      </c>
      <c r="T48" s="3">
        <v>1.46</v>
      </c>
      <c r="U48" s="3"/>
      <c r="V48" s="3"/>
      <c r="W48" s="3">
        <f t="shared" si="0"/>
        <v>30.86</v>
      </c>
    </row>
    <row r="49" spans="1:23">
      <c r="A49" s="1">
        <v>2161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v>5.04</v>
      </c>
      <c r="T49" s="3">
        <v>24.55</v>
      </c>
      <c r="U49" s="3">
        <v>5.55</v>
      </c>
      <c r="V49" s="3"/>
      <c r="W49" s="3">
        <f t="shared" si="0"/>
        <v>35.14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539.08</v>
      </c>
      <c r="N349" s="4">
        <f t="shared" si="6"/>
        <v>826.54</v>
      </c>
      <c r="O349" s="4">
        <f t="shared" si="6"/>
        <v>516.67</v>
      </c>
      <c r="P349" s="4">
        <f t="shared" si="6"/>
        <v>486.36</v>
      </c>
      <c r="Q349" s="4">
        <f t="shared" si="6"/>
        <v>158.2</v>
      </c>
      <c r="R349" s="4">
        <f t="shared" si="6"/>
        <v>0</v>
      </c>
      <c r="S349" s="4">
        <f t="shared" si="6"/>
        <v>156.05</v>
      </c>
      <c r="T349" s="4">
        <f t="shared" si="6"/>
        <v>443.1</v>
      </c>
      <c r="U349" s="4">
        <f t="shared" si="6"/>
        <v>229</v>
      </c>
      <c r="V349" s="4">
        <f t="shared" si="6"/>
        <v>0</v>
      </c>
      <c r="W349" s="4">
        <f>SUM(W2:W348)</f>
        <v>3355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5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2482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6.75</v>
      </c>
      <c r="N2" s="3">
        <v>25.12</v>
      </c>
      <c r="O2" s="3">
        <v>8.49</v>
      </c>
      <c r="P2" s="3"/>
      <c r="Q2" s="3"/>
      <c r="R2" s="3"/>
      <c r="S2" s="3">
        <v>2.92</v>
      </c>
      <c r="T2" s="3">
        <v>4.18</v>
      </c>
      <c r="U2" s="3"/>
      <c r="V2" s="3"/>
      <c r="W2" s="3">
        <f t="shared" ref="W2:W67" si="0">SUM(C2:V2)</f>
        <v>47.46</v>
      </c>
    </row>
    <row r="3" spans="1:23">
      <c r="A3" s="1">
        <v>1009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2.29</v>
      </c>
      <c r="N3" s="3">
        <v>1.98</v>
      </c>
      <c r="O3" s="3">
        <v>1.47</v>
      </c>
      <c r="P3" s="3">
        <v>3.96</v>
      </c>
      <c r="Q3" s="3">
        <v>1.7</v>
      </c>
      <c r="R3" s="3"/>
      <c r="S3" s="3"/>
      <c r="T3" s="3"/>
      <c r="U3" s="3"/>
      <c r="V3" s="3"/>
      <c r="W3" s="3">
        <f t="shared" si="0"/>
        <v>11.4</v>
      </c>
    </row>
    <row r="4" spans="1:23">
      <c r="A4" s="1">
        <v>987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>
        <v>4.52</v>
      </c>
      <c r="P4" s="3"/>
      <c r="Q4" s="3"/>
      <c r="R4" s="3"/>
      <c r="S4" s="3">
        <v>3.48</v>
      </c>
      <c r="T4" s="3"/>
      <c r="U4" s="3"/>
      <c r="V4" s="3"/>
      <c r="W4" s="3">
        <f t="shared" si="0"/>
        <v>8</v>
      </c>
    </row>
    <row r="5" spans="1:23">
      <c r="A5" s="1">
        <v>1670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7.95</v>
      </c>
      <c r="N5" s="3">
        <v>3.97</v>
      </c>
      <c r="O5" s="3">
        <v>1.47</v>
      </c>
      <c r="P5" s="3"/>
      <c r="Q5" s="3"/>
      <c r="R5" s="3"/>
      <c r="S5" s="3"/>
      <c r="T5" s="3"/>
      <c r="U5" s="3"/>
      <c r="V5" s="3"/>
      <c r="W5" s="3">
        <f t="shared" si="0"/>
        <v>13.39</v>
      </c>
    </row>
    <row r="6" spans="1:23">
      <c r="A6" s="1">
        <v>345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5.19</v>
      </c>
      <c r="N6" s="3">
        <v>7.7</v>
      </c>
      <c r="O6" s="3">
        <v>4.36</v>
      </c>
      <c r="P6" s="3">
        <v>2.57</v>
      </c>
      <c r="Q6" s="3">
        <v>1.98</v>
      </c>
      <c r="R6" s="3"/>
      <c r="S6" s="3"/>
      <c r="T6" s="3"/>
      <c r="U6" s="3"/>
      <c r="V6" s="3"/>
      <c r="W6" s="3">
        <f t="shared" si="0"/>
        <v>21.8</v>
      </c>
    </row>
    <row r="7" spans="1:23">
      <c r="A7" s="1">
        <v>2192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13.51</v>
      </c>
      <c r="N7" s="3">
        <v>5.93</v>
      </c>
      <c r="O7" s="3">
        <v>4.37</v>
      </c>
      <c r="P7" s="3">
        <v>3.85</v>
      </c>
      <c r="Q7" s="3">
        <v>1.59</v>
      </c>
      <c r="R7" s="3"/>
      <c r="S7" s="3"/>
      <c r="T7" s="3"/>
      <c r="U7" s="3"/>
      <c r="V7" s="3"/>
      <c r="W7" s="3">
        <f t="shared" si="0"/>
        <v>29.25</v>
      </c>
    </row>
    <row r="8" spans="1:23">
      <c r="A8" s="1">
        <v>1032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4.71</v>
      </c>
      <c r="N8" s="3">
        <v>3.65</v>
      </c>
      <c r="O8" s="3">
        <v>1.31</v>
      </c>
      <c r="P8" s="3"/>
      <c r="Q8" s="3"/>
      <c r="R8" s="3"/>
      <c r="S8" s="3"/>
      <c r="T8" s="3">
        <v>4.24</v>
      </c>
      <c r="U8" s="3"/>
      <c r="V8" s="3"/>
      <c r="W8" s="3">
        <f t="shared" si="0"/>
        <v>13.91</v>
      </c>
    </row>
    <row r="9" spans="1:23">
      <c r="A9" s="1">
        <v>326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5.02</v>
      </c>
      <c r="N9" s="3">
        <v>20.24</v>
      </c>
      <c r="O9" s="3">
        <v>4.41</v>
      </c>
      <c r="P9" s="3">
        <v>3.37</v>
      </c>
      <c r="Q9" s="3"/>
      <c r="R9" s="3"/>
      <c r="S9" s="3">
        <v>2.19</v>
      </c>
      <c r="T9" s="3">
        <v>11.57</v>
      </c>
      <c r="U9" s="3">
        <v>3.39</v>
      </c>
      <c r="V9" s="3"/>
      <c r="W9" s="3">
        <f t="shared" si="0"/>
        <v>50.19</v>
      </c>
    </row>
    <row r="10" spans="1:23">
      <c r="A10" s="1">
        <v>1017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>
        <v>9.52</v>
      </c>
      <c r="O10" s="3">
        <v>1.46</v>
      </c>
      <c r="P10" s="3">
        <v>2.12</v>
      </c>
      <c r="Q10" s="3"/>
      <c r="R10" s="3"/>
      <c r="S10" s="3"/>
      <c r="T10" s="3">
        <v>2.91</v>
      </c>
      <c r="U10" s="3">
        <v>4.05</v>
      </c>
      <c r="V10" s="3"/>
      <c r="W10" s="3">
        <f t="shared" si="0"/>
        <v>20.06</v>
      </c>
    </row>
    <row r="11" spans="1:23">
      <c r="A11" s="1">
        <v>478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f>16.15+16.43+14.41+9.76</f>
        <v>56.75</v>
      </c>
      <c r="N11" s="3">
        <f>15.14+21.18+17.25+17.49+13.9</f>
        <v>84.96</v>
      </c>
      <c r="O11" s="3">
        <f>13.56+16.87+14.15+10.26</f>
        <v>54.84</v>
      </c>
      <c r="P11" s="3">
        <f>14.31+14.58+12.41+13.5+6.5</f>
        <v>61.3</v>
      </c>
      <c r="Q11" s="3">
        <f>14.96+8.09</f>
        <v>23.05</v>
      </c>
      <c r="R11" s="3"/>
      <c r="S11" s="3">
        <f>16.01+12.35</f>
        <v>28.36</v>
      </c>
      <c r="T11" s="3">
        <f>16.02+13.55+17.73+17.44+20.76+13.29</f>
        <v>98.79</v>
      </c>
      <c r="U11" s="3">
        <f>14.51+15.21+18.05+15.78+9.14</f>
        <v>72.69</v>
      </c>
      <c r="V11" s="3"/>
      <c r="W11" s="3">
        <f t="shared" si="0"/>
        <v>480.74</v>
      </c>
    </row>
    <row r="12" spans="1:23">
      <c r="A12" s="1">
        <v>260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20.43+21.26+16.88</f>
        <v>58.57</v>
      </c>
      <c r="N12" s="3">
        <f>15.14+18.48+22.98+15.82</f>
        <v>72.42</v>
      </c>
      <c r="O12" s="3">
        <f>16.5+18.07+16.62+26.69</f>
        <v>77.88</v>
      </c>
      <c r="P12" s="3">
        <f>19.02+21.98+15.67+11.22</f>
        <v>67.89</v>
      </c>
      <c r="Q12" s="3">
        <f>15.6+1.98</f>
        <v>17.58</v>
      </c>
      <c r="R12" s="3"/>
      <c r="S12" s="3"/>
      <c r="T12" s="3">
        <v>11.47</v>
      </c>
      <c r="U12" s="3">
        <v>18.74</v>
      </c>
      <c r="V12" s="3"/>
      <c r="W12" s="3">
        <f t="shared" si="0"/>
        <v>324.55</v>
      </c>
    </row>
    <row r="13" spans="1:23">
      <c r="A13" s="1">
        <v>641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21.69</v>
      </c>
      <c r="N13" s="3">
        <f>23.11+23.62</f>
        <v>46.73</v>
      </c>
      <c r="O13" s="3">
        <v>11.42</v>
      </c>
      <c r="P13" s="3">
        <v>2.34</v>
      </c>
      <c r="Q13" s="3"/>
      <c r="R13" s="3"/>
      <c r="S13" s="3">
        <v>8.46</v>
      </c>
      <c r="T13" s="3">
        <v>1.9</v>
      </c>
      <c r="U13" s="3"/>
      <c r="V13" s="3"/>
      <c r="W13" s="3">
        <f t="shared" si="0"/>
        <v>92.54</v>
      </c>
    </row>
    <row r="14" spans="1:23">
      <c r="A14" s="1">
        <v>1971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10.19</v>
      </c>
      <c r="N14" s="3">
        <v>7.98</v>
      </c>
      <c r="O14" s="3">
        <v>4.54</v>
      </c>
      <c r="P14" s="3">
        <v>3.69</v>
      </c>
      <c r="Q14" s="3">
        <v>1.43</v>
      </c>
      <c r="R14" s="3"/>
      <c r="S14" s="3"/>
      <c r="T14" s="3"/>
      <c r="U14" s="3"/>
      <c r="V14" s="3"/>
      <c r="W14" s="3">
        <f t="shared" si="0"/>
        <v>27.83</v>
      </c>
    </row>
    <row r="15" spans="1:23">
      <c r="A15" s="1">
        <v>1311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2.47</v>
      </c>
      <c r="N15" s="3">
        <v>5.77</v>
      </c>
      <c r="O15" s="3"/>
      <c r="P15" s="3">
        <v>3.82</v>
      </c>
      <c r="Q15" s="3">
        <v>2.75</v>
      </c>
      <c r="R15" s="3"/>
      <c r="S15" s="3"/>
      <c r="T15" s="3"/>
      <c r="U15" s="3"/>
      <c r="V15" s="3"/>
      <c r="W15" s="3">
        <f t="shared" si="0"/>
        <v>14.81</v>
      </c>
    </row>
    <row r="16" spans="1:23">
      <c r="A16" s="1">
        <v>444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9.73</v>
      </c>
      <c r="N16" s="3">
        <v>12.04</v>
      </c>
      <c r="O16" s="3"/>
      <c r="P16" s="3">
        <v>3.74</v>
      </c>
      <c r="Q16" s="3">
        <v>0.84</v>
      </c>
      <c r="R16" s="3"/>
      <c r="S16" s="3">
        <v>8.85</v>
      </c>
      <c r="T16" s="3">
        <v>13.67</v>
      </c>
      <c r="U16" s="3">
        <v>1.75</v>
      </c>
      <c r="V16" s="3"/>
      <c r="W16" s="3">
        <f t="shared" si="0"/>
        <v>50.62</v>
      </c>
    </row>
    <row r="17" spans="1:23">
      <c r="A17" s="1">
        <v>180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8.58</v>
      </c>
      <c r="N17" s="3">
        <v>7.06</v>
      </c>
      <c r="O17" s="3">
        <v>1.33</v>
      </c>
      <c r="P17" s="3"/>
      <c r="Q17" s="3"/>
      <c r="R17" s="3"/>
      <c r="S17" s="3">
        <v>2.5</v>
      </c>
      <c r="T17" s="3">
        <v>4.9</v>
      </c>
      <c r="U17" s="3"/>
      <c r="V17" s="3"/>
      <c r="W17" s="3">
        <f t="shared" si="0"/>
        <v>24.37</v>
      </c>
    </row>
    <row r="18" spans="1:23">
      <c r="A18" s="1">
        <v>560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17.53</v>
      </c>
      <c r="N18" s="3">
        <v>7.44</v>
      </c>
      <c r="O18" s="3">
        <v>4.51</v>
      </c>
      <c r="P18" s="3">
        <v>2.16</v>
      </c>
      <c r="Q18" s="3"/>
      <c r="R18" s="3"/>
      <c r="S18" s="3"/>
      <c r="T18" s="3"/>
      <c r="U18" s="3"/>
      <c r="V18" s="3"/>
      <c r="W18" s="3">
        <f t="shared" si="0"/>
        <v>31.64</v>
      </c>
    </row>
    <row r="19" spans="1:23">
      <c r="A19" s="1">
        <v>1997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2.32</v>
      </c>
      <c r="N19" s="3">
        <v>1.63</v>
      </c>
      <c r="O19" s="3">
        <f>1.5+1.38</f>
        <v>2.88</v>
      </c>
      <c r="P19" s="3">
        <v>2.31</v>
      </c>
      <c r="Q19" s="3">
        <v>2.51</v>
      </c>
      <c r="R19" s="3"/>
      <c r="S19" s="3"/>
      <c r="T19" s="3"/>
      <c r="U19" s="3"/>
      <c r="V19" s="3"/>
      <c r="W19" s="3">
        <f t="shared" si="0"/>
        <v>11.65</v>
      </c>
    </row>
    <row r="20" spans="1:23">
      <c r="A20" s="1">
        <v>1795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7.93</v>
      </c>
      <c r="N20" s="3">
        <v>13.29</v>
      </c>
      <c r="O20" s="3">
        <v>15.43</v>
      </c>
      <c r="P20" s="3">
        <v>14.7</v>
      </c>
      <c r="Q20" s="3">
        <v>1.86</v>
      </c>
      <c r="R20" s="3"/>
      <c r="S20" s="3"/>
      <c r="T20" s="3">
        <v>1.37</v>
      </c>
      <c r="U20" s="3"/>
      <c r="V20" s="3"/>
      <c r="W20" s="3">
        <f t="shared" si="0"/>
        <v>54.58</v>
      </c>
    </row>
    <row r="21" spans="1:23">
      <c r="A21" s="1">
        <v>1791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8.61</v>
      </c>
      <c r="N21" s="3">
        <v>16.61</v>
      </c>
      <c r="O21" s="3">
        <v>9.11</v>
      </c>
      <c r="P21" s="3">
        <v>17.65</v>
      </c>
      <c r="Q21" s="3">
        <v>0.84</v>
      </c>
      <c r="R21" s="3"/>
      <c r="S21" s="3">
        <v>4.49</v>
      </c>
      <c r="T21" s="3">
        <v>19.7</v>
      </c>
      <c r="U21" s="3">
        <v>18.32</v>
      </c>
      <c r="V21" s="3"/>
      <c r="W21" s="3">
        <f t="shared" si="0"/>
        <v>95.33</v>
      </c>
    </row>
    <row r="22" spans="1:23">
      <c r="A22" s="1">
        <v>1034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9.67</v>
      </c>
      <c r="N22" s="3">
        <v>14.23</v>
      </c>
      <c r="O22" s="3">
        <v>6.11</v>
      </c>
      <c r="P22" s="3">
        <v>5.69</v>
      </c>
      <c r="Q22" s="3">
        <v>0.81</v>
      </c>
      <c r="R22" s="3"/>
      <c r="S22" s="3">
        <v>2.24</v>
      </c>
      <c r="T22" s="3"/>
      <c r="U22" s="3">
        <v>1.57</v>
      </c>
      <c r="V22" s="3"/>
      <c r="W22" s="3">
        <f t="shared" si="0"/>
        <v>40.32</v>
      </c>
    </row>
    <row r="23" spans="1:23">
      <c r="A23" s="1">
        <v>2495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>
        <v>20.04</v>
      </c>
      <c r="O23" s="3">
        <v>5.85</v>
      </c>
      <c r="P23" s="3"/>
      <c r="Q23" s="3"/>
      <c r="R23" s="3"/>
      <c r="S23" s="3">
        <v>2.73</v>
      </c>
      <c r="T23" s="3">
        <v>8.87</v>
      </c>
      <c r="U23" s="3">
        <v>3.53</v>
      </c>
      <c r="V23" s="3"/>
      <c r="W23" s="3">
        <f t="shared" si="0"/>
        <v>41.02</v>
      </c>
    </row>
    <row r="24" spans="1:23">
      <c r="A24" s="1">
        <v>1005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>
        <v>3.66</v>
      </c>
      <c r="O24" s="3">
        <v>3.02</v>
      </c>
      <c r="P24" s="3">
        <v>12.7</v>
      </c>
      <c r="Q24" s="3">
        <v>0.93</v>
      </c>
      <c r="R24" s="3"/>
      <c r="S24" s="3"/>
      <c r="T24" s="3">
        <v>9.11</v>
      </c>
      <c r="U24" s="3">
        <v>2.4</v>
      </c>
      <c r="V24" s="3"/>
      <c r="W24" s="3">
        <f t="shared" si="0"/>
        <v>31.82</v>
      </c>
    </row>
    <row r="25" spans="1:23">
      <c r="A25" s="1">
        <v>1006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2.29</v>
      </c>
      <c r="N25" s="3">
        <v>6.79</v>
      </c>
      <c r="O25" s="3">
        <v>5.99</v>
      </c>
      <c r="P25" s="3">
        <v>4.75</v>
      </c>
      <c r="Q25" s="3">
        <v>2.43</v>
      </c>
      <c r="R25" s="3"/>
      <c r="S25" s="3"/>
      <c r="T25" s="3">
        <v>1.42</v>
      </c>
      <c r="U25" s="3">
        <v>5.03</v>
      </c>
      <c r="V25" s="3"/>
      <c r="W25" s="3">
        <f t="shared" si="0"/>
        <v>28.7</v>
      </c>
    </row>
    <row r="26" spans="1:23">
      <c r="A26" s="1">
        <v>444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10.64</v>
      </c>
      <c r="N26" s="3">
        <v>9.26</v>
      </c>
      <c r="O26" s="3">
        <v>1.46</v>
      </c>
      <c r="P26" s="3">
        <v>1.13</v>
      </c>
      <c r="Q26" s="3"/>
      <c r="R26" s="3"/>
      <c r="S26" s="3">
        <v>23.09</v>
      </c>
      <c r="T26" s="3"/>
      <c r="U26" s="3"/>
      <c r="V26" s="3"/>
      <c r="W26" s="3">
        <f t="shared" si="0"/>
        <v>45.58</v>
      </c>
    </row>
    <row r="27" spans="1:23">
      <c r="A27" s="1">
        <v>982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8.37</v>
      </c>
      <c r="N27" s="3">
        <v>15.15</v>
      </c>
      <c r="O27" s="3">
        <v>4.41</v>
      </c>
      <c r="P27" s="3">
        <v>5.01</v>
      </c>
      <c r="Q27" s="3">
        <v>0.89</v>
      </c>
      <c r="R27" s="3"/>
      <c r="S27" s="3"/>
      <c r="T27" s="3">
        <v>1.69</v>
      </c>
      <c r="U27" s="3">
        <v>3.39</v>
      </c>
      <c r="V27" s="3"/>
      <c r="W27" s="3">
        <f t="shared" si="0"/>
        <v>38.91</v>
      </c>
    </row>
    <row r="28" spans="1:23">
      <c r="A28" s="1">
        <v>693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4.9</v>
      </c>
      <c r="N28" s="3">
        <v>3.78</v>
      </c>
      <c r="O28" s="3">
        <v>2.83</v>
      </c>
      <c r="P28" s="3">
        <v>1.18</v>
      </c>
      <c r="Q28" s="3"/>
      <c r="R28" s="3"/>
      <c r="S28" s="3"/>
      <c r="T28" s="3">
        <v>1.54</v>
      </c>
      <c r="U28" s="3"/>
      <c r="V28" s="3"/>
      <c r="W28" s="3">
        <f t="shared" si="0"/>
        <v>14.23</v>
      </c>
    </row>
    <row r="29" spans="1:23">
      <c r="A29" s="1">
        <v>2441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6.63</v>
      </c>
      <c r="N29" s="3">
        <v>8.05</v>
      </c>
      <c r="O29" s="3"/>
      <c r="P29" s="3">
        <v>1.02</v>
      </c>
      <c r="Q29" s="3"/>
      <c r="R29" s="3"/>
      <c r="S29" s="3"/>
      <c r="T29" s="3">
        <v>5.28</v>
      </c>
      <c r="U29" s="3"/>
      <c r="V29" s="3"/>
      <c r="W29" s="3">
        <f t="shared" si="0"/>
        <v>20.98</v>
      </c>
    </row>
    <row r="30" spans="1:23">
      <c r="A30" s="1">
        <v>968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4.17</v>
      </c>
      <c r="N30" s="3">
        <v>7.63</v>
      </c>
      <c r="O30" s="3">
        <v>9.26</v>
      </c>
      <c r="P30" s="3"/>
      <c r="Q30" s="3"/>
      <c r="R30" s="3"/>
      <c r="S30" s="3">
        <v>2.56</v>
      </c>
      <c r="T30" s="3">
        <v>17.28</v>
      </c>
      <c r="U30" s="3">
        <v>2.56</v>
      </c>
      <c r="V30" s="3"/>
      <c r="W30" s="3">
        <f t="shared" si="0"/>
        <v>43.46</v>
      </c>
    </row>
    <row r="31" spans="1:23">
      <c r="A31" s="1">
        <v>342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3.49</v>
      </c>
      <c r="N31" s="3"/>
      <c r="O31" s="3"/>
      <c r="P31" s="3"/>
      <c r="Q31" s="3"/>
      <c r="R31" s="3"/>
      <c r="S31" s="3"/>
      <c r="T31" s="3">
        <v>1.83</v>
      </c>
      <c r="U31" s="3"/>
      <c r="V31" s="3"/>
      <c r="W31" s="3">
        <f t="shared" si="0"/>
        <v>5.32</v>
      </c>
    </row>
    <row r="32" spans="1:23">
      <c r="A32" s="1">
        <v>2358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3.92</v>
      </c>
      <c r="O32" s="3">
        <v>1.46</v>
      </c>
      <c r="P32" s="3">
        <v>2.62</v>
      </c>
      <c r="Q32" s="3"/>
      <c r="R32" s="3"/>
      <c r="S32" s="3"/>
      <c r="T32" s="3">
        <v>1.77</v>
      </c>
      <c r="U32" s="3"/>
      <c r="V32" s="3"/>
      <c r="W32" s="3">
        <f t="shared" si="0"/>
        <v>9.77</v>
      </c>
    </row>
    <row r="33" spans="1:23">
      <c r="A33" s="1">
        <v>1791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f>15.55+3.07</f>
        <v>18.62</v>
      </c>
      <c r="N33" s="3">
        <f>17.86+13.62+13.18+12.33+13.05+13.42</f>
        <v>83.46</v>
      </c>
      <c r="O33" s="3">
        <f>19.78+13.6+14.86+15.03+15.34+8.97</f>
        <v>87.58</v>
      </c>
      <c r="P33" s="3">
        <f>16.54+15.9+13.97+13.84+7.53</f>
        <v>67.78</v>
      </c>
      <c r="Q33" s="3">
        <f>12.96+0.96</f>
        <v>13.92</v>
      </c>
      <c r="R33" s="3"/>
      <c r="S33" s="3">
        <f>13.11+16.26+7.95</f>
        <v>37.32</v>
      </c>
      <c r="T33" s="3">
        <f>20.28+16.55+21.08+19.36+19.12+19.43+22.72+18.4</f>
        <v>156.94</v>
      </c>
      <c r="U33" s="3">
        <f>16.74+22.38+12.54</f>
        <v>51.66</v>
      </c>
      <c r="V33" s="3"/>
      <c r="W33" s="3">
        <f t="shared" si="0"/>
        <v>517.28</v>
      </c>
    </row>
    <row r="34" spans="1:23">
      <c r="A34" s="1">
        <v>1792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10.91</v>
      </c>
      <c r="O34" s="3">
        <f>4.38+2.69</f>
        <v>7.07</v>
      </c>
      <c r="P34" s="3"/>
      <c r="Q34" s="3">
        <v>1.73</v>
      </c>
      <c r="R34" s="3"/>
      <c r="S34" s="3">
        <v>2.18</v>
      </c>
      <c r="T34" s="3">
        <v>3.09</v>
      </c>
      <c r="U34" s="3">
        <v>6.74</v>
      </c>
      <c r="V34" s="3"/>
      <c r="W34" s="3">
        <f t="shared" si="0"/>
        <v>31.72</v>
      </c>
    </row>
    <row r="35" spans="1:23">
      <c r="A35" s="1">
        <v>765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2.57</v>
      </c>
      <c r="N35" s="3"/>
      <c r="O35" s="3">
        <v>20.72</v>
      </c>
      <c r="P35" s="3">
        <v>6.83</v>
      </c>
      <c r="Q35" s="3">
        <v>1.46</v>
      </c>
      <c r="R35" s="3"/>
      <c r="S35" s="3"/>
      <c r="T35" s="3">
        <v>1.25</v>
      </c>
      <c r="U35" s="3"/>
      <c r="V35" s="3"/>
      <c r="W35" s="3">
        <f t="shared" si="0"/>
        <v>32.83</v>
      </c>
    </row>
    <row r="36" spans="1:23">
      <c r="A36" s="1">
        <v>977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3.41</v>
      </c>
      <c r="O36" s="3"/>
      <c r="P36" s="3"/>
      <c r="Q36" s="3"/>
      <c r="R36" s="3"/>
      <c r="S36" s="3"/>
      <c r="T36" s="3">
        <v>6.19</v>
      </c>
      <c r="U36" s="3"/>
      <c r="V36" s="3"/>
      <c r="W36" s="3">
        <f t="shared" si="0"/>
        <v>9.6</v>
      </c>
    </row>
    <row r="37" spans="1:23">
      <c r="A37" s="1">
        <v>309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f>12.73+7.37+2.12</f>
        <v>22.22</v>
      </c>
      <c r="N37" s="3">
        <f>20.27+14.74+16.52+7.24</f>
        <v>58.77</v>
      </c>
      <c r="O37" s="3">
        <f>10.94+15.42+7.5</f>
        <v>33.86</v>
      </c>
      <c r="P37" s="3">
        <f>18.49+4.67</f>
        <v>23.16</v>
      </c>
      <c r="Q37" s="3">
        <v>12.85</v>
      </c>
      <c r="R37" s="3"/>
      <c r="S37" s="3">
        <f>23.13+20.88+10.33</f>
        <v>54.34</v>
      </c>
      <c r="T37" s="3">
        <f>15.11+23.39+22.44+18.05+17.83+20.36+15.29+7.69</f>
        <v>140.16</v>
      </c>
      <c r="U37" s="3">
        <f>16.09+18.25+18.89+0.96</f>
        <v>54.19</v>
      </c>
      <c r="V37" s="3"/>
      <c r="W37" s="3">
        <f t="shared" si="0"/>
        <v>399.55</v>
      </c>
    </row>
    <row r="38" spans="1:23">
      <c r="A38" s="1" t="s">
        <v>26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2.36</v>
      </c>
      <c r="N38" s="3">
        <v>1.86</v>
      </c>
      <c r="O38" s="3">
        <v>1.39</v>
      </c>
      <c r="P38" s="3">
        <v>2.24</v>
      </c>
      <c r="Q38" s="3"/>
      <c r="R38" s="3"/>
      <c r="S38" s="3"/>
      <c r="T38" s="3">
        <f>21.76+10.45</f>
        <v>32.21</v>
      </c>
      <c r="U38" s="3">
        <v>9.82</v>
      </c>
      <c r="V38" s="3"/>
      <c r="W38" s="3">
        <f t="shared" si="0"/>
        <v>49.88</v>
      </c>
    </row>
    <row r="39" spans="1:23">
      <c r="A39" s="1">
        <v>1791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f>16.26+4.87</f>
        <v>21.13</v>
      </c>
      <c r="N39" s="3">
        <f>13.77+5.24</f>
        <v>19.01</v>
      </c>
      <c r="O39" s="3">
        <v>10.44</v>
      </c>
      <c r="P39" s="3">
        <v>7.45</v>
      </c>
      <c r="Q39" s="3"/>
      <c r="R39" s="3"/>
      <c r="S39" s="3">
        <f>9.01+2.76</f>
        <v>11.77</v>
      </c>
      <c r="T39" s="3">
        <f>20.99+8.2</f>
        <v>29.19</v>
      </c>
      <c r="U39" s="3">
        <v>6.37</v>
      </c>
      <c r="V39" s="3"/>
      <c r="W39" s="3">
        <f t="shared" si="0"/>
        <v>105.36</v>
      </c>
    </row>
    <row r="40" spans="1:23">
      <c r="A40" s="1">
        <v>309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f>17.69+5.2</f>
        <v>22.89</v>
      </c>
      <c r="N40" s="3">
        <f>17.85+8.32</f>
        <v>26.17</v>
      </c>
      <c r="O40" s="3">
        <f>12.9+1.58</f>
        <v>14.48</v>
      </c>
      <c r="P40" s="3">
        <v>9.71</v>
      </c>
      <c r="Q40" s="3">
        <v>2.03</v>
      </c>
      <c r="R40" s="3"/>
      <c r="S40" s="3">
        <f>19.6+10.25</f>
        <v>29.85</v>
      </c>
      <c r="T40" s="3">
        <f>15.48+10.81</f>
        <v>26.29</v>
      </c>
      <c r="U40" s="3">
        <v>4.63</v>
      </c>
      <c r="V40" s="3"/>
      <c r="W40" s="3">
        <f t="shared" si="0"/>
        <v>136.05</v>
      </c>
    </row>
    <row r="41" spans="1:23">
      <c r="A41" s="1">
        <v>2161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>
        <v>6.04</v>
      </c>
      <c r="T41" s="3">
        <v>10.35</v>
      </c>
      <c r="U41" s="3">
        <v>3.41</v>
      </c>
      <c r="V41" s="3"/>
      <c r="W41" s="3">
        <f t="shared" si="0"/>
        <v>19.8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389.74</v>
      </c>
      <c r="N349" s="4">
        <f t="shared" si="6"/>
        <v>650.14</v>
      </c>
      <c r="O349" s="4">
        <f t="shared" si="6"/>
        <v>429.73</v>
      </c>
      <c r="P349" s="4">
        <f t="shared" si="6"/>
        <v>346.74</v>
      </c>
      <c r="Q349" s="4">
        <f t="shared" si="6"/>
        <v>93.18</v>
      </c>
      <c r="R349" s="4">
        <f t="shared" si="6"/>
        <v>0</v>
      </c>
      <c r="S349" s="4">
        <f t="shared" si="6"/>
        <v>233.37</v>
      </c>
      <c r="T349" s="4">
        <f t="shared" si="6"/>
        <v>629.16</v>
      </c>
      <c r="U349" s="4">
        <f t="shared" si="6"/>
        <v>274.24</v>
      </c>
      <c r="V349" s="4">
        <f t="shared" si="6"/>
        <v>0</v>
      </c>
      <c r="W349" s="4">
        <f>SUM(W2:W348)</f>
        <v>3046.3</v>
      </c>
    </row>
    <row r="362" spans="21:21">
      <c r="U362">
        <v>608.38</v>
      </c>
    </row>
    <row r="363" spans="21:21">
      <c r="U363">
        <v>66.34</v>
      </c>
    </row>
    <row r="364" spans="21:21">
      <c r="U364">
        <f>SUM(U362:U363)</f>
        <v>674.72</v>
      </c>
    </row>
    <row r="365" spans="21:21">
      <c r="U365">
        <f>+U364*350</f>
        <v>236152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9"/>
  <sheetViews>
    <sheetView workbookViewId="0">
      <pane ySplit="1" topLeftCell="A12" activePane="bottomLeft" state="frozen"/>
      <selection/>
      <selection pane="bottomLeft" activeCell="A42" sqref="A4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880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5.7</v>
      </c>
      <c r="N2" s="3"/>
      <c r="O2" s="3"/>
      <c r="P2" s="3"/>
      <c r="Q2" s="3"/>
      <c r="R2" s="3"/>
      <c r="S2" s="3"/>
      <c r="T2" s="3"/>
      <c r="U2" s="3"/>
      <c r="V2" s="3"/>
      <c r="W2" s="3">
        <f t="shared" ref="W2:W67" si="0">SUM(C2:V2)</f>
        <v>5.7</v>
      </c>
    </row>
    <row r="3" spans="1:23">
      <c r="A3" s="1">
        <v>2192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4.37</v>
      </c>
      <c r="N3" s="3"/>
      <c r="O3" s="3"/>
      <c r="P3" s="3"/>
      <c r="Q3" s="3"/>
      <c r="R3" s="3"/>
      <c r="S3" s="3"/>
      <c r="T3" s="3"/>
      <c r="U3" s="3"/>
      <c r="V3" s="3"/>
      <c r="W3" s="3">
        <f t="shared" si="0"/>
        <v>4.37</v>
      </c>
    </row>
    <row r="4" spans="1:24">
      <c r="A4" s="1">
        <v>345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4.4</v>
      </c>
      <c r="N4" s="3">
        <v>5.47</v>
      </c>
      <c r="O4" s="3">
        <v>1.31</v>
      </c>
      <c r="P4" s="3"/>
      <c r="Q4" s="3"/>
      <c r="R4" s="3"/>
      <c r="S4" s="3"/>
      <c r="T4" s="3"/>
      <c r="U4" s="3"/>
      <c r="V4" s="3"/>
      <c r="W4" s="3">
        <f t="shared" si="0"/>
        <v>11.18</v>
      </c>
      <c r="X4">
        <f>56.76*350</f>
        <v>19866</v>
      </c>
    </row>
    <row r="5" spans="1:24">
      <c r="A5" s="1">
        <v>996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7.78</v>
      </c>
      <c r="N5" s="3">
        <v>5.38</v>
      </c>
      <c r="O5" s="3">
        <v>1.27</v>
      </c>
      <c r="P5" s="3"/>
      <c r="Q5" s="3"/>
      <c r="R5" s="3"/>
      <c r="S5" s="3"/>
      <c r="T5" s="3"/>
      <c r="U5" s="3"/>
      <c r="V5" s="3"/>
      <c r="W5" s="3">
        <f t="shared" si="0"/>
        <v>14.43</v>
      </c>
      <c r="X5">
        <f>60.14*350</f>
        <v>21049</v>
      </c>
    </row>
    <row r="6" spans="1:23">
      <c r="A6" s="1">
        <v>1795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>
        <v>12.27</v>
      </c>
      <c r="O6" s="3">
        <v>4.22</v>
      </c>
      <c r="P6" s="3">
        <v>5.25</v>
      </c>
      <c r="Q6" s="3">
        <v>3.09</v>
      </c>
      <c r="R6" s="3"/>
      <c r="S6" s="3"/>
      <c r="T6" s="3">
        <v>1.3</v>
      </c>
      <c r="U6" s="3"/>
      <c r="V6" s="3"/>
      <c r="W6" s="3">
        <f t="shared" si="0"/>
        <v>26.13</v>
      </c>
    </row>
    <row r="7" spans="1:23">
      <c r="A7" s="1">
        <v>406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>
        <f>4.27+2.96</f>
        <v>7.23</v>
      </c>
      <c r="P7" s="3">
        <v>4.32</v>
      </c>
      <c r="Q7" s="3">
        <v>4.87</v>
      </c>
      <c r="R7" s="3"/>
      <c r="S7" s="3"/>
      <c r="T7" s="3"/>
      <c r="U7" s="3">
        <v>1.47</v>
      </c>
      <c r="V7" s="3"/>
      <c r="W7" s="3">
        <f t="shared" si="0"/>
        <v>17.89</v>
      </c>
    </row>
    <row r="8" spans="1:24">
      <c r="A8" s="1">
        <v>987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>
        <v>7.06</v>
      </c>
      <c r="O8" s="3">
        <v>1.41</v>
      </c>
      <c r="P8" s="3"/>
      <c r="Q8" s="3"/>
      <c r="R8" s="3"/>
      <c r="S8" s="3"/>
      <c r="T8" s="3"/>
      <c r="U8" s="3"/>
      <c r="V8" s="3"/>
      <c r="W8" s="3">
        <f t="shared" si="0"/>
        <v>8.47</v>
      </c>
      <c r="X8">
        <f>21.78*350</f>
        <v>7623</v>
      </c>
    </row>
    <row r="9" spans="1:23">
      <c r="A9" s="1">
        <v>1311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2.21</v>
      </c>
      <c r="N9" s="3">
        <v>6.91</v>
      </c>
      <c r="O9" s="3">
        <v>4.25</v>
      </c>
      <c r="P9" s="3"/>
      <c r="Q9" s="3">
        <v>0.96</v>
      </c>
      <c r="R9" s="3"/>
      <c r="S9" s="3"/>
      <c r="T9" s="3"/>
      <c r="U9" s="3"/>
      <c r="V9" s="3"/>
      <c r="W9" s="3">
        <f t="shared" si="0"/>
        <v>14.33</v>
      </c>
    </row>
    <row r="10" spans="1:23">
      <c r="A10" s="1">
        <v>2495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>
        <v>17.58</v>
      </c>
      <c r="O10" s="3">
        <v>5.87</v>
      </c>
      <c r="P10" s="3">
        <v>8.22</v>
      </c>
      <c r="Q10" s="3">
        <v>2.53</v>
      </c>
      <c r="R10" s="3"/>
      <c r="S10" s="3">
        <v>2.27</v>
      </c>
      <c r="T10" s="3">
        <v>4.6</v>
      </c>
      <c r="U10" s="3">
        <v>5.8</v>
      </c>
      <c r="V10" s="3"/>
      <c r="W10" s="3">
        <f t="shared" si="0"/>
        <v>46.87</v>
      </c>
    </row>
    <row r="11" spans="1:23">
      <c r="A11" s="1">
        <v>681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8.49</v>
      </c>
      <c r="N11" s="3">
        <v>4.98</v>
      </c>
      <c r="O11" s="3">
        <v>4.32</v>
      </c>
      <c r="P11" s="3">
        <v>13.87</v>
      </c>
      <c r="Q11" s="3">
        <v>1.44</v>
      </c>
      <c r="R11" s="3"/>
      <c r="S11" s="3"/>
      <c r="T11" s="3">
        <v>1.49</v>
      </c>
      <c r="U11" s="3">
        <v>3.39</v>
      </c>
      <c r="V11" s="3"/>
      <c r="W11" s="3">
        <f t="shared" si="0"/>
        <v>37.98</v>
      </c>
    </row>
    <row r="12" spans="1:23">
      <c r="A12" s="1">
        <v>980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2.76</v>
      </c>
      <c r="N12" s="3">
        <v>5.74</v>
      </c>
      <c r="O12" s="3">
        <v>2.85</v>
      </c>
      <c r="P12" s="3">
        <v>10.58</v>
      </c>
      <c r="Q12" s="3">
        <v>4.12</v>
      </c>
      <c r="R12" s="3"/>
      <c r="S12" s="3"/>
      <c r="T12" s="3">
        <v>1.34</v>
      </c>
      <c r="U12" s="3"/>
      <c r="V12" s="3"/>
      <c r="W12" s="3">
        <f t="shared" si="0"/>
        <v>27.39</v>
      </c>
    </row>
    <row r="13" spans="1:23">
      <c r="A13" s="1">
        <v>446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2.25</v>
      </c>
      <c r="N13" s="3">
        <v>5.51</v>
      </c>
      <c r="O13" s="3">
        <v>3.07</v>
      </c>
      <c r="P13" s="3">
        <v>13.57</v>
      </c>
      <c r="Q13" s="3">
        <v>0.91</v>
      </c>
      <c r="R13" s="3"/>
      <c r="S13" s="3"/>
      <c r="T13" s="3"/>
      <c r="U13" s="3">
        <v>4.37</v>
      </c>
      <c r="V13" s="3"/>
      <c r="W13" s="3">
        <f t="shared" si="0"/>
        <v>29.68</v>
      </c>
    </row>
    <row r="14" spans="1:23">
      <c r="A14" s="1">
        <v>4005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28.34</v>
      </c>
      <c r="N14" s="3"/>
      <c r="O14" s="3"/>
      <c r="P14" s="3"/>
      <c r="Q14" s="3"/>
      <c r="R14" s="3"/>
      <c r="S14" s="3">
        <v>2.28</v>
      </c>
      <c r="T14" s="3"/>
      <c r="U14" s="3"/>
      <c r="V14" s="3"/>
      <c r="W14" s="3">
        <f t="shared" si="0"/>
        <v>30.62</v>
      </c>
    </row>
    <row r="15" spans="1:23">
      <c r="A15" s="1">
        <v>641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14.37</v>
      </c>
      <c r="N15" s="3">
        <f>25.13+5.59</f>
        <v>30.72</v>
      </c>
      <c r="O15" s="3">
        <v>8.84</v>
      </c>
      <c r="P15" s="3">
        <v>9.17</v>
      </c>
      <c r="Q15" s="3">
        <v>2.73</v>
      </c>
      <c r="R15" s="3"/>
      <c r="S15" s="3">
        <v>5.4</v>
      </c>
      <c r="T15" s="3"/>
      <c r="U15" s="3">
        <v>0.85</v>
      </c>
      <c r="V15" s="3"/>
      <c r="W15" s="3">
        <f t="shared" si="0"/>
        <v>72.08</v>
      </c>
    </row>
    <row r="16" spans="1:23">
      <c r="A16" s="1">
        <v>260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f>17.12+23.84+16.03</f>
        <v>56.99</v>
      </c>
      <c r="N16" s="3">
        <f>14.83+15.41+17.8+3.84</f>
        <v>51.88</v>
      </c>
      <c r="O16" s="3">
        <f>14.99+14.25+6.9</f>
        <v>36.14</v>
      </c>
      <c r="P16" s="3">
        <f>18.32+15.36</f>
        <v>33.68</v>
      </c>
      <c r="Q16" s="3">
        <v>13.43</v>
      </c>
      <c r="R16" s="3"/>
      <c r="S16" s="3">
        <v>11.45</v>
      </c>
      <c r="T16" s="3">
        <v>11.64</v>
      </c>
      <c r="U16" s="3">
        <v>3.51</v>
      </c>
      <c r="V16" s="3"/>
      <c r="W16" s="3">
        <f t="shared" si="0"/>
        <v>218.72</v>
      </c>
    </row>
    <row r="17" spans="1:23">
      <c r="A17" s="1">
        <v>2358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2.19</v>
      </c>
      <c r="N17" s="3"/>
      <c r="O17" s="3">
        <v>1.44</v>
      </c>
      <c r="P17" s="3"/>
      <c r="Q17" s="3"/>
      <c r="R17" s="3"/>
      <c r="S17" s="3"/>
      <c r="T17" s="3">
        <f>1.96+0.94</f>
        <v>2.9</v>
      </c>
      <c r="U17" s="3"/>
      <c r="V17" s="3"/>
      <c r="W17" s="3">
        <f t="shared" si="0"/>
        <v>6.53</v>
      </c>
    </row>
    <row r="18" spans="1:23">
      <c r="A18" s="1">
        <v>1795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>
        <v>9.13</v>
      </c>
      <c r="O18" s="3">
        <v>4.66</v>
      </c>
      <c r="P18" s="3">
        <v>3.32</v>
      </c>
      <c r="Q18" s="3">
        <v>5.8</v>
      </c>
      <c r="R18" s="3"/>
      <c r="S18" s="3">
        <v>2.58</v>
      </c>
      <c r="T18" s="3">
        <v>8.36</v>
      </c>
      <c r="U18" s="3">
        <v>2.83</v>
      </c>
      <c r="V18" s="3"/>
      <c r="W18" s="3">
        <f t="shared" si="0"/>
        <v>36.68</v>
      </c>
    </row>
    <row r="19" spans="1:23">
      <c r="A19" s="1">
        <v>180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>
        <v>3.84</v>
      </c>
      <c r="O19" s="3">
        <v>3.89</v>
      </c>
      <c r="P19" s="3"/>
      <c r="Q19" s="3"/>
      <c r="R19" s="3"/>
      <c r="S19" s="3"/>
      <c r="T19" s="3">
        <v>7.68</v>
      </c>
      <c r="U19" s="3">
        <v>0.93</v>
      </c>
      <c r="V19" s="3"/>
      <c r="W19" s="3">
        <f t="shared" si="0"/>
        <v>16.34</v>
      </c>
    </row>
    <row r="20" spans="1:23">
      <c r="A20" s="1">
        <v>560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6.45</v>
      </c>
      <c r="N20" s="3">
        <v>16.11</v>
      </c>
      <c r="O20" s="3">
        <v>8.81</v>
      </c>
      <c r="P20" s="3"/>
      <c r="Q20" s="3"/>
      <c r="R20" s="3"/>
      <c r="S20" s="3">
        <v>2.35</v>
      </c>
      <c r="T20" s="3">
        <v>4.8</v>
      </c>
      <c r="U20" s="3"/>
      <c r="V20" s="3"/>
      <c r="W20" s="3">
        <f t="shared" si="0"/>
        <v>38.52</v>
      </c>
    </row>
    <row r="21" spans="1:23">
      <c r="A21" s="1">
        <v>478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14</v>
      </c>
      <c r="N21" s="3">
        <f>19.71+16.35+24.71</f>
        <v>60.77</v>
      </c>
      <c r="O21" s="3">
        <f>16.9+19.7</f>
        <v>36.6</v>
      </c>
      <c r="P21" s="3">
        <f>15.77+7.44</f>
        <v>23.21</v>
      </c>
      <c r="Q21" s="3">
        <v>14.15</v>
      </c>
      <c r="R21" s="3"/>
      <c r="S21" s="3">
        <f>17.07+4.48</f>
        <v>21.55</v>
      </c>
      <c r="T21" s="3">
        <f>18.24+19.35+15.77+14.62+21.22+6.49</f>
        <v>95.69</v>
      </c>
      <c r="U21" s="3">
        <f>14.96+10.44</f>
        <v>25.4</v>
      </c>
      <c r="V21" s="3"/>
      <c r="W21" s="3">
        <f t="shared" si="0"/>
        <v>291.37</v>
      </c>
    </row>
    <row r="22" spans="1:23">
      <c r="A22" s="1">
        <v>478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>
        <v>15.03</v>
      </c>
      <c r="N22" s="3">
        <v>13.02</v>
      </c>
      <c r="O22" s="3">
        <v>12.81</v>
      </c>
      <c r="P22" s="3">
        <v>6.28</v>
      </c>
      <c r="Q22" s="3">
        <v>5.13</v>
      </c>
      <c r="R22" s="3"/>
      <c r="S22" s="3">
        <v>10.3</v>
      </c>
      <c r="T22" s="3">
        <f>16.96+3.43</f>
        <v>20.39</v>
      </c>
      <c r="U22" s="3">
        <v>12.82</v>
      </c>
      <c r="V22" s="3"/>
      <c r="W22" s="3">
        <f t="shared" si="0"/>
        <v>95.78</v>
      </c>
    </row>
    <row r="23" spans="1:23">
      <c r="A23" s="1">
        <v>1791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f>19.4+16.14+2.8+2.02</f>
        <v>40.36</v>
      </c>
      <c r="N23" s="3">
        <f>16.28+19.35+15.43+19.68+3.47</f>
        <v>74.21</v>
      </c>
      <c r="O23" s="3">
        <f>18.48+13.88+17.73</f>
        <v>50.09</v>
      </c>
      <c r="P23" s="3">
        <f>18.39+17.76+15.72</f>
        <v>51.87</v>
      </c>
      <c r="Q23" s="3">
        <f>15.74+2.93</f>
        <v>18.67</v>
      </c>
      <c r="R23" s="3"/>
      <c r="S23" s="3">
        <f>18.57+10.87</f>
        <v>29.44</v>
      </c>
      <c r="T23" s="3">
        <f>20.56+12.43+19.32+25.25</f>
        <v>77.56</v>
      </c>
      <c r="U23" s="3">
        <f>13.63+15.32+8.26</f>
        <v>37.21</v>
      </c>
      <c r="V23" s="3"/>
      <c r="W23" s="3">
        <f t="shared" si="0"/>
        <v>379.41</v>
      </c>
    </row>
    <row r="24" spans="1:23">
      <c r="A24" s="1">
        <v>1971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>
        <v>9.11</v>
      </c>
      <c r="N24" s="3">
        <v>5.85</v>
      </c>
      <c r="O24" s="3">
        <v>5.92</v>
      </c>
      <c r="P24" s="3">
        <v>3.39</v>
      </c>
      <c r="Q24" s="3">
        <v>2.65</v>
      </c>
      <c r="R24" s="3"/>
      <c r="S24" s="3">
        <v>2.22</v>
      </c>
      <c r="T24" s="3">
        <v>3.34</v>
      </c>
      <c r="U24" s="3"/>
      <c r="V24" s="3"/>
      <c r="W24" s="3">
        <f t="shared" si="0"/>
        <v>32.48</v>
      </c>
    </row>
    <row r="25" spans="1:23">
      <c r="A25" s="1">
        <v>765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3.6</v>
      </c>
      <c r="N25" s="3">
        <v>1.63</v>
      </c>
      <c r="O25" s="3">
        <v>4.25</v>
      </c>
      <c r="P25" s="3">
        <v>5.43</v>
      </c>
      <c r="Q25" s="3"/>
      <c r="R25" s="3"/>
      <c r="S25" s="3"/>
      <c r="T25" s="3"/>
      <c r="U25" s="3">
        <v>1.88</v>
      </c>
      <c r="V25" s="3"/>
      <c r="W25" s="3">
        <f t="shared" si="0"/>
        <v>16.79</v>
      </c>
    </row>
    <row r="26" spans="1:23">
      <c r="A26" s="1">
        <v>478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v>14.91</v>
      </c>
      <c r="N26" s="3">
        <v>11.45</v>
      </c>
      <c r="O26" s="3">
        <v>9.63</v>
      </c>
      <c r="P26" s="3">
        <v>7.27</v>
      </c>
      <c r="Q26" s="3">
        <v>1.82</v>
      </c>
      <c r="R26" s="3"/>
      <c r="S26" s="3">
        <v>2.08</v>
      </c>
      <c r="T26" s="3">
        <v>11.3</v>
      </c>
      <c r="U26" s="3">
        <v>2.55</v>
      </c>
      <c r="V26" s="3"/>
      <c r="W26" s="3">
        <f t="shared" si="0"/>
        <v>61.01</v>
      </c>
    </row>
    <row r="27" spans="1:23">
      <c r="A27" s="1">
        <v>444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21.13</v>
      </c>
      <c r="N27" s="3">
        <v>14.79</v>
      </c>
      <c r="O27" s="3">
        <v>7.25</v>
      </c>
      <c r="P27" s="3">
        <v>14.13</v>
      </c>
      <c r="Q27" s="3">
        <v>3.06</v>
      </c>
      <c r="R27" s="3"/>
      <c r="S27" s="3">
        <v>7.34</v>
      </c>
      <c r="T27" s="3">
        <f>23.93+1.22+1.08</f>
        <v>26.23</v>
      </c>
      <c r="U27" s="3"/>
      <c r="V27" s="3"/>
      <c r="W27" s="3">
        <f t="shared" si="0"/>
        <v>93.93</v>
      </c>
    </row>
    <row r="28" spans="1:23">
      <c r="A28" s="1">
        <v>1017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2.39</v>
      </c>
      <c r="T28" s="3">
        <v>5.59</v>
      </c>
      <c r="U28" s="3"/>
      <c r="V28" s="3"/>
      <c r="W28" s="3">
        <f t="shared" si="0"/>
        <v>7.98</v>
      </c>
    </row>
    <row r="29" spans="1:23">
      <c r="A29" s="1">
        <v>693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6.67</v>
      </c>
      <c r="N29" s="3"/>
      <c r="O29" s="3"/>
      <c r="P29" s="3"/>
      <c r="Q29" s="3">
        <v>1.59</v>
      </c>
      <c r="R29" s="3"/>
      <c r="S29" s="3"/>
      <c r="T29" s="3"/>
      <c r="U29" s="3"/>
      <c r="V29" s="3"/>
      <c r="W29" s="3">
        <f t="shared" si="0"/>
        <v>8.26</v>
      </c>
    </row>
    <row r="30" spans="1:23">
      <c r="A30" s="1">
        <v>968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3.85</v>
      </c>
      <c r="O30" s="3">
        <v>2.68</v>
      </c>
      <c r="P30" s="3"/>
      <c r="Q30" s="3"/>
      <c r="R30" s="3"/>
      <c r="S30" s="3">
        <v>4.81</v>
      </c>
      <c r="T30" s="3">
        <v>11.7</v>
      </c>
      <c r="U30" s="3">
        <v>0.96</v>
      </c>
      <c r="V30" s="3"/>
      <c r="W30" s="3">
        <f t="shared" si="0"/>
        <v>24</v>
      </c>
    </row>
    <row r="31" spans="1:23">
      <c r="A31" s="1">
        <v>982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5.77</v>
      </c>
      <c r="O31" s="3">
        <v>5.96</v>
      </c>
      <c r="P31" s="3">
        <v>1.18</v>
      </c>
      <c r="Q31" s="3"/>
      <c r="R31" s="3"/>
      <c r="S31" s="3"/>
      <c r="T31" s="3">
        <v>1.84</v>
      </c>
      <c r="U31" s="3">
        <v>4.28</v>
      </c>
      <c r="V31" s="3"/>
      <c r="W31" s="3">
        <f t="shared" si="0"/>
        <v>19.03</v>
      </c>
    </row>
    <row r="32" spans="1:23">
      <c r="A32" s="1">
        <v>2441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16.68</v>
      </c>
      <c r="N32" s="3">
        <v>3.32</v>
      </c>
      <c r="O32" s="3">
        <v>1.48</v>
      </c>
      <c r="P32" s="3"/>
      <c r="Q32" s="3"/>
      <c r="R32" s="3"/>
      <c r="S32" s="3"/>
      <c r="T32" s="3"/>
      <c r="U32" s="3"/>
      <c r="V32" s="3"/>
      <c r="W32" s="3">
        <f t="shared" si="0"/>
        <v>21.48</v>
      </c>
    </row>
    <row r="33" spans="1:23">
      <c r="A33" s="1">
        <v>342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2.27</v>
      </c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2.27</v>
      </c>
    </row>
    <row r="34" spans="1:23">
      <c r="A34" s="1">
        <v>1792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7.22</v>
      </c>
      <c r="N34" s="3">
        <v>7.31</v>
      </c>
      <c r="O34" s="3">
        <v>2.74</v>
      </c>
      <c r="P34" s="3">
        <v>1.02</v>
      </c>
      <c r="Q34" s="3"/>
      <c r="R34" s="3"/>
      <c r="S34" s="3">
        <v>6.79</v>
      </c>
      <c r="T34" s="3">
        <v>1.19</v>
      </c>
      <c r="U34" s="3"/>
      <c r="V34" s="3"/>
      <c r="W34" s="3">
        <f t="shared" si="0"/>
        <v>26.27</v>
      </c>
    </row>
    <row r="35" spans="1:23">
      <c r="A35" s="1">
        <v>1791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13.21</v>
      </c>
      <c r="N35" s="3">
        <v>20.44</v>
      </c>
      <c r="O35" s="3">
        <v>8.95</v>
      </c>
      <c r="P35" s="3">
        <v>11.44</v>
      </c>
      <c r="Q35" s="3">
        <v>5.11</v>
      </c>
      <c r="R35" s="3"/>
      <c r="S35" s="3">
        <v>12.19</v>
      </c>
      <c r="T35" s="3">
        <v>17.35</v>
      </c>
      <c r="U35" s="3">
        <v>2.99</v>
      </c>
      <c r="V35" s="3"/>
      <c r="W35" s="3">
        <f t="shared" si="0"/>
        <v>91.68</v>
      </c>
    </row>
    <row r="36" spans="1:23">
      <c r="A36" s="1">
        <v>999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2.16</v>
      </c>
      <c r="N36" s="3">
        <v>1.77</v>
      </c>
      <c r="O36" s="3">
        <v>2.73</v>
      </c>
      <c r="P36" s="3">
        <v>0.96</v>
      </c>
      <c r="Q36" s="3">
        <v>0.91</v>
      </c>
      <c r="R36" s="3"/>
      <c r="S36" s="3">
        <v>4.77</v>
      </c>
      <c r="T36" s="3">
        <v>9.79</v>
      </c>
      <c r="U36" s="3">
        <v>2.54</v>
      </c>
      <c r="V36" s="3"/>
      <c r="W36" s="3">
        <f t="shared" si="0"/>
        <v>25.63</v>
      </c>
    </row>
    <row r="37" spans="1:23">
      <c r="A37" s="1">
        <v>1006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5.56</v>
      </c>
      <c r="O37" s="3">
        <v>6.47</v>
      </c>
      <c r="P37" s="3">
        <v>17.74</v>
      </c>
      <c r="Q37" s="3"/>
      <c r="R37" s="3"/>
      <c r="S37" s="3"/>
      <c r="T37" s="3">
        <v>1.77</v>
      </c>
      <c r="U37" s="3">
        <v>0.84</v>
      </c>
      <c r="V37" s="3"/>
      <c r="W37" s="3">
        <f t="shared" si="0"/>
        <v>32.38</v>
      </c>
    </row>
    <row r="38" spans="1:23">
      <c r="A38" s="1">
        <v>309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>18.48+8.61</f>
        <v>27.09</v>
      </c>
      <c r="N38" s="3">
        <f>18.09+16.22+19.36+20.81</f>
        <v>74.48</v>
      </c>
      <c r="O38" s="3">
        <f>16.87+19.39+21.78</f>
        <v>58.04</v>
      </c>
      <c r="P38" s="3">
        <f>14.76+19.07+23.39+11.83</f>
        <v>69.05</v>
      </c>
      <c r="Q38" s="3">
        <f>15.22+5.83</f>
        <v>21.05</v>
      </c>
      <c r="R38" s="3"/>
      <c r="S38" s="3">
        <f>16.96+11.46</f>
        <v>28.42</v>
      </c>
      <c r="T38" s="3">
        <f>19.9+17.03+20.45</f>
        <v>57.38</v>
      </c>
      <c r="U38" s="3">
        <f>17.53+20.05+14.22+17.88</f>
        <v>69.68</v>
      </c>
      <c r="V38" s="3"/>
      <c r="W38" s="3">
        <f t="shared" si="0"/>
        <v>405.19</v>
      </c>
    </row>
    <row r="39" spans="1:23">
      <c r="A39" s="1" t="s">
        <v>26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6.06</v>
      </c>
      <c r="P39" s="3">
        <v>15.82</v>
      </c>
      <c r="Q39" s="3">
        <v>3.94</v>
      </c>
      <c r="R39" s="3"/>
      <c r="S39" s="3"/>
      <c r="T39" s="3">
        <v>8.92</v>
      </c>
      <c r="U39" s="3">
        <v>7.35</v>
      </c>
      <c r="V39" s="3"/>
      <c r="W39" s="3">
        <f t="shared" si="0"/>
        <v>42.09</v>
      </c>
    </row>
    <row r="40" spans="1:23">
      <c r="A40" s="1">
        <v>1005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1.74</v>
      </c>
      <c r="O40" s="3">
        <v>1.51</v>
      </c>
      <c r="P40" s="3">
        <v>7.76</v>
      </c>
      <c r="Q40" s="3">
        <v>1.99</v>
      </c>
      <c r="R40" s="3"/>
      <c r="S40" s="3">
        <v>4.45</v>
      </c>
      <c r="T40" s="3">
        <v>8.6</v>
      </c>
      <c r="U40" s="3">
        <v>4.2</v>
      </c>
      <c r="V40" s="3"/>
      <c r="W40" s="3">
        <f t="shared" si="0"/>
        <v>30.25</v>
      </c>
    </row>
    <row r="41" spans="1:23">
      <c r="A41" s="1">
        <v>2161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2.61</v>
      </c>
      <c r="N41" s="3">
        <v>3.9</v>
      </c>
      <c r="O41" s="3">
        <v>6.35</v>
      </c>
      <c r="P41" s="3">
        <v>3.92</v>
      </c>
      <c r="Q41" s="3">
        <v>1.56</v>
      </c>
      <c r="R41" s="3"/>
      <c r="S41" s="3">
        <v>11.49</v>
      </c>
      <c r="T41" s="3">
        <v>8.65</v>
      </c>
      <c r="U41" s="3">
        <v>14.72</v>
      </c>
      <c r="V41" s="3"/>
      <c r="W41" s="3">
        <f t="shared" si="0"/>
        <v>53.2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15">
        <f t="shared" si="6"/>
        <v>342.35</v>
      </c>
      <c r="N349" s="15">
        <f t="shared" si="6"/>
        <v>492.44</v>
      </c>
      <c r="O349" s="15">
        <f t="shared" si="6"/>
        <v>329.1</v>
      </c>
      <c r="P349" s="15">
        <f t="shared" si="6"/>
        <v>342.45</v>
      </c>
      <c r="Q349" s="15">
        <f t="shared" si="6"/>
        <v>121.51</v>
      </c>
      <c r="R349" s="15">
        <f t="shared" si="6"/>
        <v>0</v>
      </c>
      <c r="S349" s="15">
        <f t="shared" si="6"/>
        <v>174.57</v>
      </c>
      <c r="T349" s="15">
        <f t="shared" si="6"/>
        <v>411.4</v>
      </c>
      <c r="U349" s="15">
        <f t="shared" si="6"/>
        <v>210.57</v>
      </c>
      <c r="V349" s="15">
        <f t="shared" si="6"/>
        <v>0</v>
      </c>
      <c r="W349" s="4">
        <f>SUM(W2:W348)</f>
        <v>2424.39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2" sqref="M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309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20.93+8.72+13.86+14.66+5.62</f>
        <v>63.79</v>
      </c>
      <c r="N2" s="3">
        <f>15.22+17.46+17.48+15.84+16.28+17.06+13.46+7.4</f>
        <v>120.2</v>
      </c>
      <c r="O2" s="3">
        <f>19.9+15.94+15.64+15.62+16.22+8.9</f>
        <v>92.22</v>
      </c>
      <c r="P2" s="3">
        <f>21.22+17.18+13.92+15.38+6.26</f>
        <v>73.96</v>
      </c>
      <c r="Q2" s="3">
        <f>5.92+15.06</f>
        <v>20.98</v>
      </c>
      <c r="R2" s="3"/>
      <c r="S2" s="3">
        <f>19.28+29.56</f>
        <v>48.84</v>
      </c>
      <c r="T2" s="3">
        <f>17+16.74+23.98+15.76+23.22+18.44</f>
        <v>115.14</v>
      </c>
      <c r="U2" s="3">
        <f>17.72+13.38</f>
        <v>31.1</v>
      </c>
      <c r="V2" s="3"/>
      <c r="W2" s="3">
        <f t="shared" ref="W2:W67" si="0">SUM(C2:V2)</f>
        <v>566.23</v>
      </c>
    </row>
    <row r="3" spans="1:23">
      <c r="A3" s="1">
        <v>260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14.24+2.44</f>
        <v>16.68</v>
      </c>
      <c r="N3" s="3">
        <f>16.66+7.54</f>
        <v>24.2</v>
      </c>
      <c r="O3" s="3">
        <v>15.66</v>
      </c>
      <c r="P3" s="3">
        <f>15.08+4.74</f>
        <v>19.82</v>
      </c>
      <c r="Q3" s="3">
        <v>12.42</v>
      </c>
      <c r="R3" s="3"/>
      <c r="S3" s="3">
        <f>12.12+2.18</f>
        <v>14.3</v>
      </c>
      <c r="T3" s="3">
        <v>17</v>
      </c>
      <c r="U3" s="3">
        <v>7.74</v>
      </c>
      <c r="V3" s="3"/>
      <c r="W3" s="3">
        <f t="shared" si="0"/>
        <v>127.82</v>
      </c>
    </row>
    <row r="4" spans="1:23">
      <c r="A4" s="1">
        <v>1792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7</v>
      </c>
      <c r="N4" s="3">
        <f>14.76+5.38</f>
        <v>20.14</v>
      </c>
      <c r="O4" s="3">
        <v>8.72</v>
      </c>
      <c r="P4" s="3">
        <v>15.12</v>
      </c>
      <c r="Q4" s="3">
        <v>11.68</v>
      </c>
      <c r="R4" s="3"/>
      <c r="S4" s="3">
        <f>22.7+20.24+6.16+2.1</f>
        <v>51.2</v>
      </c>
      <c r="T4" s="3">
        <f>22.04+18.68+13.84+8.66</f>
        <v>63.22</v>
      </c>
      <c r="U4" s="3">
        <v>16.42</v>
      </c>
      <c r="V4" s="3"/>
      <c r="W4" s="3">
        <f t="shared" si="0"/>
        <v>193.5</v>
      </c>
    </row>
    <row r="5" spans="1:23">
      <c r="A5" s="1">
        <v>1792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4.44</v>
      </c>
      <c r="N5" s="3">
        <v>10.96</v>
      </c>
      <c r="O5" s="3">
        <v>4.28</v>
      </c>
      <c r="P5" s="3">
        <v>6.28</v>
      </c>
      <c r="Q5" s="3"/>
      <c r="R5" s="3"/>
      <c r="S5" s="3">
        <v>7.28</v>
      </c>
      <c r="T5" s="3">
        <f>18.3+4.6</f>
        <v>22.9</v>
      </c>
      <c r="U5" s="3">
        <v>9.3</v>
      </c>
      <c r="V5" s="3"/>
      <c r="W5" s="3">
        <f t="shared" si="0"/>
        <v>65.44</v>
      </c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f t="shared" si="0"/>
        <v>0</v>
      </c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f t="shared" si="0"/>
        <v>0</v>
      </c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f t="shared" si="0"/>
        <v>0</v>
      </c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29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ref="W130:W193" si="2">SUM(C130:V130)</f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2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si="2"/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ref="W194:W257" si="3">SUM(C194:V194)</f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3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si="3"/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ref="W258:W321" si="4">SUM(C258:V258)</f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4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si="4"/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ref="W322:W348" si="5">SUM(C322:V322)</f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5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si="5"/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91.91</v>
      </c>
      <c r="N349" s="4">
        <f t="shared" si="6"/>
        <v>175.5</v>
      </c>
      <c r="O349" s="4">
        <f t="shared" si="6"/>
        <v>120.88</v>
      </c>
      <c r="P349" s="4">
        <f t="shared" si="6"/>
        <v>115.18</v>
      </c>
      <c r="Q349" s="4">
        <f t="shared" si="6"/>
        <v>45.08</v>
      </c>
      <c r="R349" s="4">
        <f t="shared" si="6"/>
        <v>0</v>
      </c>
      <c r="S349" s="4">
        <f t="shared" si="6"/>
        <v>121.62</v>
      </c>
      <c r="T349" s="4">
        <f t="shared" si="6"/>
        <v>218.26</v>
      </c>
      <c r="U349" s="4">
        <f t="shared" si="6"/>
        <v>64.56</v>
      </c>
      <c r="V349" s="4">
        <f t="shared" si="6"/>
        <v>0</v>
      </c>
      <c r="W349" s="4">
        <f>SUM(W2:W348)</f>
        <v>952.99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260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25.88</v>
      </c>
      <c r="N2" s="3">
        <v>16.62</v>
      </c>
      <c r="O2" s="3">
        <v>5.9</v>
      </c>
      <c r="P2" s="3"/>
      <c r="Q2" s="3">
        <v>0.94</v>
      </c>
      <c r="R2" s="3"/>
      <c r="S2" s="3">
        <f>17.2+3.66</f>
        <v>20.86</v>
      </c>
      <c r="T2" s="3">
        <v>11.62</v>
      </c>
      <c r="U2" s="3">
        <v>0.86</v>
      </c>
      <c r="V2" s="3"/>
      <c r="W2" s="3">
        <f t="shared" ref="W2:W67" si="0">SUM(C2:V2)</f>
        <v>82.68</v>
      </c>
    </row>
    <row r="3" spans="1:23">
      <c r="A3" s="1">
        <v>1792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8.22</v>
      </c>
      <c r="N3" s="3">
        <f>17.32+21.7+17.26+21.68+3.56</f>
        <v>81.52</v>
      </c>
      <c r="O3" s="3">
        <f>19.86+14.16+18.5+7.62</f>
        <v>60.14</v>
      </c>
      <c r="P3" s="3">
        <f>15.3+16.1</f>
        <v>31.4</v>
      </c>
      <c r="Q3" s="3">
        <v>11.66</v>
      </c>
      <c r="R3" s="3"/>
      <c r="S3" s="3">
        <f>20.72+12.46+22.18+21.52+2.3</f>
        <v>79.18</v>
      </c>
      <c r="T3" s="3">
        <f>22.08+17.22+24.72+18.62+18.1+23.26+10.56</f>
        <v>134.56</v>
      </c>
      <c r="U3" s="3">
        <v>8.84</v>
      </c>
      <c r="V3" s="3"/>
      <c r="W3" s="3">
        <f t="shared" si="0"/>
        <v>415.52</v>
      </c>
    </row>
    <row r="4" spans="1:23">
      <c r="A4" s="1">
        <v>309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17.68+15.42</f>
        <v>33.1</v>
      </c>
      <c r="N4" s="3">
        <f>18.38+23.7+26.6+14.78+15.12+5.44</f>
        <v>104.02</v>
      </c>
      <c r="O4" s="3">
        <f>17.88+20.62+19.04+17+1.48</f>
        <v>76.02</v>
      </c>
      <c r="P4" s="3">
        <f>16.52+16.34</f>
        <v>32.86</v>
      </c>
      <c r="Q4" s="3">
        <v>6.18</v>
      </c>
      <c r="R4" s="3"/>
      <c r="S4" s="3">
        <f>18.78+15.86+21.58+16.86+4.32</f>
        <v>77.4</v>
      </c>
      <c r="T4" s="3">
        <f>14.28+15.82+18.48+14.44+20.4+21.98+20.54+18.66+20.26+24.74+18.04</f>
        <v>207.64</v>
      </c>
      <c r="U4" s="3">
        <f>24.4+23.42+6.38</f>
        <v>54.2</v>
      </c>
      <c r="V4" s="3"/>
      <c r="W4" s="3">
        <f t="shared" si="0"/>
        <v>591.42</v>
      </c>
    </row>
    <row r="5" spans="1:23">
      <c r="A5" s="1">
        <v>309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>
        <v>7.56</v>
      </c>
      <c r="O5" s="3">
        <v>1.52</v>
      </c>
      <c r="P5" s="3">
        <v>2.56</v>
      </c>
      <c r="Q5" s="3"/>
      <c r="R5" s="3"/>
      <c r="S5" s="3">
        <f>18.08+15.86</f>
        <v>33.94</v>
      </c>
      <c r="T5" s="3">
        <f>18.02+21.68+23.12</f>
        <v>62.82</v>
      </c>
      <c r="U5" s="3">
        <v>8.58</v>
      </c>
      <c r="V5" s="3"/>
      <c r="W5" s="3">
        <f t="shared" si="0"/>
        <v>116.98</v>
      </c>
    </row>
    <row r="6" spans="1:23">
      <c r="A6" s="1">
        <v>260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7</v>
      </c>
      <c r="N6" s="3">
        <v>5.24</v>
      </c>
      <c r="O6" s="3"/>
      <c r="P6" s="3">
        <v>1.98</v>
      </c>
      <c r="Q6" s="3"/>
      <c r="R6" s="3"/>
      <c r="S6" s="3">
        <f>18.58+7.92</f>
        <v>26.5</v>
      </c>
      <c r="T6" s="3">
        <v>11.44</v>
      </c>
      <c r="U6" s="3">
        <v>0.84</v>
      </c>
      <c r="V6" s="3"/>
      <c r="W6" s="3">
        <f t="shared" si="0"/>
        <v>53</v>
      </c>
    </row>
    <row r="7" spans="1:23">
      <c r="A7" s="1">
        <v>309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18.58+9.14</f>
        <v>27.72</v>
      </c>
      <c r="N7" s="3">
        <f>22.14+19.66+11.68</f>
        <v>53.48</v>
      </c>
      <c r="O7" s="3">
        <f>13.36+3.04</f>
        <v>16.4</v>
      </c>
      <c r="P7" s="3">
        <v>9.94</v>
      </c>
      <c r="Q7" s="3">
        <v>6.18</v>
      </c>
      <c r="R7" s="3"/>
      <c r="S7" s="3">
        <f>20.3+14.26+16.38+15.14+22.52+9.4</f>
        <v>98</v>
      </c>
      <c r="T7" s="3">
        <f>20.82+21.4+20.76+16.08+25.18+17.84+16.04+15.52+19.58+17.2</f>
        <v>190.42</v>
      </c>
      <c r="U7" s="3">
        <f>18.74+3.34</f>
        <v>22.08</v>
      </c>
      <c r="V7" s="3"/>
      <c r="W7" s="3">
        <f t="shared" si="0"/>
        <v>424.22</v>
      </c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f t="shared" si="0"/>
        <v>0</v>
      </c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7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  <c r="AA27" s="14"/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101.92</v>
      </c>
      <c r="N349" s="4">
        <f t="shared" si="6"/>
        <v>268.44</v>
      </c>
      <c r="O349" s="4">
        <f t="shared" si="6"/>
        <v>159.98</v>
      </c>
      <c r="P349" s="4">
        <f t="shared" si="6"/>
        <v>78.74</v>
      </c>
      <c r="Q349" s="4">
        <f t="shared" si="6"/>
        <v>24.96</v>
      </c>
      <c r="R349" s="4">
        <f t="shared" si="6"/>
        <v>0</v>
      </c>
      <c r="S349" s="4">
        <f t="shared" si="6"/>
        <v>335.88</v>
      </c>
      <c r="T349" s="4">
        <f t="shared" si="6"/>
        <v>618.5</v>
      </c>
      <c r="U349" s="4">
        <f t="shared" si="6"/>
        <v>95.4</v>
      </c>
      <c r="V349" s="4">
        <f t="shared" si="6"/>
        <v>0</v>
      </c>
      <c r="W349" s="4">
        <f>SUM(W2:W348)</f>
        <v>1683.82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309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11.56</v>
      </c>
      <c r="N2" s="3">
        <f>14.44+18.36+10.44</f>
        <v>43.24</v>
      </c>
      <c r="O2" s="3">
        <f>17.48+19.06+9.06</f>
        <v>45.6</v>
      </c>
      <c r="P2" s="3">
        <f>16.88+21.8+19.32+2.02</f>
        <v>60.02</v>
      </c>
      <c r="Q2" s="3">
        <f>17.04+14.38</f>
        <v>31.42</v>
      </c>
      <c r="R2" s="3"/>
      <c r="S2" s="3">
        <v>7.18</v>
      </c>
      <c r="T2" s="3">
        <v>17.28</v>
      </c>
      <c r="U2" s="3">
        <v>18.58</v>
      </c>
      <c r="V2" s="3"/>
      <c r="W2" s="3">
        <f t="shared" ref="W2:W67" si="0">SUM(C2:V2)</f>
        <v>234.88</v>
      </c>
    </row>
    <row r="3" spans="1:23">
      <c r="A3" s="1">
        <v>1792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17.4+4.8</f>
        <v>22.2</v>
      </c>
      <c r="N3" s="3">
        <f>16.04+18.06+16.1</f>
        <v>50.2</v>
      </c>
      <c r="O3" s="3">
        <f>15.8+14.52+23.16+2.92</f>
        <v>56.4</v>
      </c>
      <c r="P3" s="3">
        <f>16.42+13.18</f>
        <v>29.6</v>
      </c>
      <c r="Q3" s="3">
        <v>9.46</v>
      </c>
      <c r="R3" s="3"/>
      <c r="S3" s="3">
        <f>20.8+22.04+17.8+15.04+22.78+20.08+7.46</f>
        <v>126</v>
      </c>
      <c r="T3" s="3">
        <f>23.7+16.36+17.42+24.52</f>
        <v>82</v>
      </c>
      <c r="U3" s="3">
        <v>10.98</v>
      </c>
      <c r="V3" s="3"/>
      <c r="W3" s="3">
        <f t="shared" si="0"/>
        <v>386.84</v>
      </c>
    </row>
    <row r="4" spans="1:23">
      <c r="A4" s="1">
        <v>309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23.82+14.44</f>
        <v>38.26</v>
      </c>
      <c r="N4" s="3">
        <f>23.78+18.22+18.68+22.2+18.66</f>
        <v>101.54</v>
      </c>
      <c r="O4" s="3">
        <f>21.68+16.96+21.2</f>
        <v>59.84</v>
      </c>
      <c r="P4" s="3">
        <f>17.5+10.26</f>
        <v>27.76</v>
      </c>
      <c r="Q4" s="3">
        <v>3.16</v>
      </c>
      <c r="R4" s="3"/>
      <c r="S4" s="3">
        <f>19.04+20.8+14.74+15.2</f>
        <v>69.78</v>
      </c>
      <c r="T4" s="3">
        <f>22.34+23.16+17.02+22.6+25.22</f>
        <v>110.34</v>
      </c>
      <c r="U4" s="3">
        <v>7.74</v>
      </c>
      <c r="V4" s="3"/>
      <c r="W4" s="3">
        <f t="shared" si="0"/>
        <v>418.42</v>
      </c>
    </row>
    <row r="5" spans="1:23">
      <c r="A5" s="1">
        <v>260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15.72</v>
      </c>
      <c r="N5" s="3">
        <f>13.22+10.64</f>
        <v>23.86</v>
      </c>
      <c r="O5" s="3">
        <f>11.8+7.1</f>
        <v>18.9</v>
      </c>
      <c r="P5" s="3">
        <v>4.62</v>
      </c>
      <c r="Q5" s="3">
        <v>0.94</v>
      </c>
      <c r="R5" s="3"/>
      <c r="S5" s="3">
        <f>18.28+8.7</f>
        <v>26.98</v>
      </c>
      <c r="T5" s="3">
        <f>18.32+20.98+5.36</f>
        <v>44.66</v>
      </c>
      <c r="U5" s="3">
        <v>11.1</v>
      </c>
      <c r="V5" s="3"/>
      <c r="W5" s="3">
        <f t="shared" si="0"/>
        <v>146.78</v>
      </c>
    </row>
    <row r="6" spans="1:23">
      <c r="A6" s="1">
        <v>309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7.26</v>
      </c>
      <c r="N6" s="3">
        <f>16.56+18.88</f>
        <v>35.44</v>
      </c>
      <c r="O6" s="3">
        <f>15.66+17.3+5.72</f>
        <v>38.68</v>
      </c>
      <c r="P6" s="3">
        <f>19.68+2.36</f>
        <v>22.04</v>
      </c>
      <c r="Q6" s="3">
        <v>8.52</v>
      </c>
      <c r="R6" s="3"/>
      <c r="S6" s="3">
        <f>21.82+18.52+21.74+19.92+15.74+13.66</f>
        <v>111.4</v>
      </c>
      <c r="T6" s="3">
        <f>18.52+20.98+15.58+19.88+17+17.2</f>
        <v>109.16</v>
      </c>
      <c r="U6" s="3">
        <v>12.68</v>
      </c>
      <c r="V6" s="3"/>
      <c r="W6" s="3">
        <f t="shared" si="0"/>
        <v>345.18</v>
      </c>
    </row>
    <row r="7" spans="1:23">
      <c r="A7" s="1">
        <v>309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4.3</v>
      </c>
      <c r="N7" s="3">
        <v>5</v>
      </c>
      <c r="O7" s="3">
        <v>7.3</v>
      </c>
      <c r="P7" s="3">
        <v>4.46</v>
      </c>
      <c r="Q7" s="3"/>
      <c r="R7" s="3"/>
      <c r="S7" s="3">
        <f>16.68+7.9</f>
        <v>24.58</v>
      </c>
      <c r="T7" s="3">
        <f>25.32+19.14+19.46</f>
        <v>63.92</v>
      </c>
      <c r="U7" s="3">
        <v>2.02</v>
      </c>
      <c r="V7" s="3"/>
      <c r="W7" s="3">
        <f t="shared" si="0"/>
        <v>111.58</v>
      </c>
    </row>
    <row r="8" spans="1:23">
      <c r="A8" s="1">
        <v>4005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22.06+18</f>
        <v>40.06</v>
      </c>
      <c r="N8" s="3">
        <f>22.88+18</f>
        <v>40.88</v>
      </c>
      <c r="O8" s="3">
        <v>17.84</v>
      </c>
      <c r="P8" s="3">
        <v>6.42</v>
      </c>
      <c r="Q8" s="3">
        <v>5.9</v>
      </c>
      <c r="R8" s="3"/>
      <c r="S8" s="3">
        <v>13.52</v>
      </c>
      <c r="T8" s="3">
        <f>18.14+16.84+20.28</f>
        <v>55.26</v>
      </c>
      <c r="U8" s="3">
        <v>5.9</v>
      </c>
      <c r="V8" s="3"/>
      <c r="W8" s="3">
        <f t="shared" si="0"/>
        <v>185.78</v>
      </c>
    </row>
    <row r="9" spans="1:23">
      <c r="A9" s="1">
        <v>1792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7.1</v>
      </c>
      <c r="N9" s="3">
        <v>12.26</v>
      </c>
      <c r="O9" s="3">
        <v>9.02</v>
      </c>
      <c r="P9" s="3">
        <v>5.72</v>
      </c>
      <c r="Q9" s="3">
        <v>3.84</v>
      </c>
      <c r="R9" s="3"/>
      <c r="S9" s="3">
        <v>6.68</v>
      </c>
      <c r="T9" s="3">
        <v>12.78</v>
      </c>
      <c r="U9" s="3">
        <v>9.8</v>
      </c>
      <c r="V9" s="3"/>
      <c r="W9" s="3">
        <f t="shared" si="0"/>
        <v>67.2</v>
      </c>
    </row>
    <row r="10" spans="1:23">
      <c r="A10" s="1">
        <v>260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9.32</v>
      </c>
      <c r="N10" s="3">
        <v>7.58</v>
      </c>
      <c r="O10" s="3">
        <v>8.24</v>
      </c>
      <c r="P10" s="3"/>
      <c r="Q10" s="3"/>
      <c r="R10" s="3"/>
      <c r="S10" s="3">
        <f>18.38+19.78+7.14</f>
        <v>45.3</v>
      </c>
      <c r="T10" s="3">
        <f>20.6+23.1+5.56+2.5</f>
        <v>51.76</v>
      </c>
      <c r="U10" s="3">
        <v>8.66</v>
      </c>
      <c r="V10" s="3"/>
      <c r="W10" s="3">
        <f t="shared" si="0"/>
        <v>130.86</v>
      </c>
    </row>
    <row r="11" spans="1:23">
      <c r="A11" s="1">
        <v>1792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>
        <v>1.38</v>
      </c>
      <c r="P11" s="3">
        <v>4.04</v>
      </c>
      <c r="Q11" s="3"/>
      <c r="R11" s="3"/>
      <c r="S11" s="3"/>
      <c r="T11" s="3">
        <f>18.06+5.74</f>
        <v>23.8</v>
      </c>
      <c r="U11" s="3">
        <v>8.18</v>
      </c>
      <c r="V11" s="3"/>
      <c r="W11" s="3">
        <f t="shared" si="0"/>
        <v>37.4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155.78</v>
      </c>
      <c r="N349" s="4">
        <f t="shared" si="6"/>
        <v>320</v>
      </c>
      <c r="O349" s="4">
        <f t="shared" si="6"/>
        <v>263.2</v>
      </c>
      <c r="P349" s="4">
        <f t="shared" si="6"/>
        <v>164.68</v>
      </c>
      <c r="Q349" s="4">
        <f t="shared" si="6"/>
        <v>63.24</v>
      </c>
      <c r="R349" s="4">
        <f t="shared" si="6"/>
        <v>0</v>
      </c>
      <c r="S349" s="4">
        <f t="shared" si="6"/>
        <v>431.42</v>
      </c>
      <c r="T349" s="4">
        <f t="shared" si="6"/>
        <v>570.96</v>
      </c>
      <c r="U349" s="4">
        <f t="shared" si="6"/>
        <v>95.64</v>
      </c>
      <c r="V349" s="4">
        <f t="shared" si="6"/>
        <v>0</v>
      </c>
      <c r="W349" s="4">
        <f>SUM(W2:W348)</f>
        <v>2064.92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2" sqref="M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1792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18.58+4.18</f>
        <v>22.76</v>
      </c>
      <c r="N2" s="3">
        <f>15+20.58+8.76</f>
        <v>44.34</v>
      </c>
      <c r="O2" s="3">
        <f>17.6+15.18</f>
        <v>32.78</v>
      </c>
      <c r="P2" s="3">
        <f>16.06+14.24</f>
        <v>30.3</v>
      </c>
      <c r="Q2" s="3">
        <f>16.08+4.96</f>
        <v>21.04</v>
      </c>
      <c r="R2" s="3"/>
      <c r="S2" s="3">
        <v>15.34</v>
      </c>
      <c r="T2" s="3">
        <v>11.7</v>
      </c>
      <c r="U2" s="3">
        <f>14.64+2.24</f>
        <v>16.88</v>
      </c>
      <c r="V2" s="3"/>
      <c r="W2" s="3">
        <f t="shared" ref="W2:W67" si="0">SUM(C2:V2)</f>
        <v>195.14</v>
      </c>
    </row>
    <row r="3" spans="1:23">
      <c r="A3" s="1">
        <v>1651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20.54+20.12+19.28+17.12</f>
        <v>77.06</v>
      </c>
      <c r="N3" s="3">
        <f>16.02+19.9+21.84+17.56+24.5+19.62+20.24</f>
        <v>139.68</v>
      </c>
      <c r="O3" s="3">
        <f>17.28+23.04+17.34+17.06+25.58</f>
        <v>100.3</v>
      </c>
      <c r="P3" s="3">
        <f>15.56+14.86+20.06</f>
        <v>50.48</v>
      </c>
      <c r="Q3" s="3">
        <f>16.8+15.94+6.62</f>
        <v>39.36</v>
      </c>
      <c r="R3" s="3"/>
      <c r="S3" s="3">
        <f>16+20.04+18.5</f>
        <v>54.54</v>
      </c>
      <c r="T3" s="3">
        <f>21.44+9.36</f>
        <v>30.8</v>
      </c>
      <c r="U3" s="3">
        <v>13.36</v>
      </c>
      <c r="V3" s="3"/>
      <c r="W3" s="3">
        <f t="shared" si="0"/>
        <v>505.58</v>
      </c>
    </row>
    <row r="4" spans="1:23">
      <c r="A4" s="1">
        <v>309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19.68+24.38</f>
        <v>44.06</v>
      </c>
      <c r="N4" s="3">
        <f>16.26+17.8+19.2+18.4+18.68+20+22.98+14.44+17.7+17.94+20.08+16.18</f>
        <v>219.66</v>
      </c>
      <c r="O4" s="3">
        <f>16.14+19.98+16.88+23.44+15.58+15.9+22.94+17.72+16.22</f>
        <v>164.8</v>
      </c>
      <c r="P4" s="3">
        <f>16.2+18.08+12.82+16.54+18.26+14.94+13.54+17.32</f>
        <v>127.7</v>
      </c>
      <c r="Q4" s="3">
        <f>16.24+15.96+15.5+13.1</f>
        <v>60.8</v>
      </c>
      <c r="R4" s="3"/>
      <c r="S4" s="3">
        <f>16.26+16.24+19.96+19.04</f>
        <v>71.5</v>
      </c>
      <c r="T4" s="3">
        <f>22.12+18.02+17+24.04+22.44+21.88+18.64</f>
        <v>144.14</v>
      </c>
      <c r="U4" s="3">
        <f>16.26+18.06+18.56+19.84</f>
        <v>72.72</v>
      </c>
      <c r="V4" s="3"/>
      <c r="W4" s="3">
        <f t="shared" si="0"/>
        <v>905.38</v>
      </c>
    </row>
    <row r="5" spans="1:23">
      <c r="A5" s="1">
        <v>309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21.62+6.68</f>
        <v>28.3</v>
      </c>
      <c r="N5" s="3">
        <v>15.84</v>
      </c>
      <c r="O5" s="3">
        <f>7.12+23.96</f>
        <v>31.08</v>
      </c>
      <c r="P5" s="3">
        <v>14.98</v>
      </c>
      <c r="Q5" s="3">
        <v>6.98</v>
      </c>
      <c r="R5" s="3"/>
      <c r="S5" s="3">
        <v>9.58</v>
      </c>
      <c r="T5" s="3">
        <v>23.34</v>
      </c>
      <c r="U5" s="3">
        <v>13.44</v>
      </c>
      <c r="V5" s="3"/>
      <c r="W5" s="3">
        <f t="shared" si="0"/>
        <v>143.54</v>
      </c>
    </row>
    <row r="6" spans="1:23">
      <c r="A6" s="1">
        <v>478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17.8+12.12+11.02</f>
        <v>40.94</v>
      </c>
      <c r="N6" s="3">
        <f>21.4+17.32+18.48+12.86+16.4+3.6</f>
        <v>90.06</v>
      </c>
      <c r="O6" s="3">
        <f>19.16+18+19.54+15.52+3</f>
        <v>75.22</v>
      </c>
      <c r="P6" s="3">
        <f>18.08+17.94+17.44</f>
        <v>53.46</v>
      </c>
      <c r="Q6" s="3">
        <v>12.22</v>
      </c>
      <c r="R6" s="3"/>
      <c r="S6" s="3">
        <f>17.44+16.92+5.9</f>
        <v>40.26</v>
      </c>
      <c r="T6" s="3">
        <f>21.3+17.6+20.86+16.26+18.3</f>
        <v>94.32</v>
      </c>
      <c r="U6" s="3">
        <f>15.54+13.54</f>
        <v>29.08</v>
      </c>
      <c r="V6" s="3"/>
      <c r="W6" s="3">
        <f t="shared" si="0"/>
        <v>435.56</v>
      </c>
    </row>
    <row r="7" spans="1:23">
      <c r="A7" s="1">
        <v>260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19.22</v>
      </c>
      <c r="N7" s="3">
        <f>21.16+17.74</f>
        <v>38.9</v>
      </c>
      <c r="O7" s="3">
        <f>17.18+6.04</f>
        <v>23.22</v>
      </c>
      <c r="P7" s="3">
        <v>12.92</v>
      </c>
      <c r="Q7" s="3">
        <v>9.98</v>
      </c>
      <c r="R7" s="3"/>
      <c r="S7" s="3">
        <v>18.58</v>
      </c>
      <c r="T7" s="3">
        <v>22.96</v>
      </c>
      <c r="U7" s="3">
        <v>7.82</v>
      </c>
      <c r="V7" s="3"/>
      <c r="W7" s="3">
        <f t="shared" si="0"/>
        <v>153.6</v>
      </c>
    </row>
    <row r="8" spans="1:23">
      <c r="A8" s="1">
        <v>2161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2.46</v>
      </c>
      <c r="N8" s="3">
        <v>7.7</v>
      </c>
      <c r="O8" s="3">
        <v>10.2</v>
      </c>
      <c r="P8" s="3">
        <v>5.9</v>
      </c>
      <c r="Q8" s="3"/>
      <c r="R8" s="3"/>
      <c r="S8" s="3">
        <v>12.34</v>
      </c>
      <c r="T8" s="3">
        <f>18.94+14.92</f>
        <v>33.86</v>
      </c>
      <c r="U8" s="3">
        <v>5.94</v>
      </c>
      <c r="V8" s="3"/>
      <c r="W8" s="3">
        <f t="shared" si="0"/>
        <v>78.4</v>
      </c>
    </row>
    <row r="9" spans="1:23">
      <c r="A9" s="1">
        <v>309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7.52</v>
      </c>
      <c r="N9" s="3">
        <v>15.12</v>
      </c>
      <c r="O9" s="3">
        <f>16+5.46</f>
        <v>21.46</v>
      </c>
      <c r="P9" s="3">
        <v>9.56</v>
      </c>
      <c r="Q9" s="3"/>
      <c r="R9" s="3"/>
      <c r="S9" s="3">
        <v>19.42</v>
      </c>
      <c r="T9" s="3">
        <f>20.86+18.66+17.76+19.76+22.74</f>
        <v>99.78</v>
      </c>
      <c r="U9" s="3">
        <f>16.24+24.98</f>
        <v>41.22</v>
      </c>
      <c r="V9" s="3"/>
      <c r="W9" s="3">
        <f t="shared" si="0"/>
        <v>214.08</v>
      </c>
    </row>
    <row r="10" spans="1:23">
      <c r="A10" s="1">
        <v>1792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6.16</v>
      </c>
      <c r="N10" s="3">
        <f>10.62+1.58</f>
        <v>12.2</v>
      </c>
      <c r="O10" s="3">
        <v>18.04</v>
      </c>
      <c r="P10" s="3">
        <v>10.92</v>
      </c>
      <c r="Q10" s="3">
        <v>3</v>
      </c>
      <c r="R10" s="3"/>
      <c r="S10" s="3">
        <f>14.3+10.08</f>
        <v>24.38</v>
      </c>
      <c r="T10" s="3">
        <f>17.82+17.82+17.22</f>
        <v>52.86</v>
      </c>
      <c r="U10" s="3">
        <v>11.84</v>
      </c>
      <c r="V10" s="3"/>
      <c r="W10" s="3">
        <f t="shared" si="0"/>
        <v>139.4</v>
      </c>
    </row>
    <row r="11" spans="1:23">
      <c r="A11" s="1">
        <v>1006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8.86</v>
      </c>
      <c r="N11" s="3">
        <v>8.36</v>
      </c>
      <c r="O11" s="3">
        <v>10.2</v>
      </c>
      <c r="P11" s="3">
        <v>14.9</v>
      </c>
      <c r="Q11" s="3">
        <v>3.08</v>
      </c>
      <c r="R11" s="3"/>
      <c r="S11" s="3">
        <v>7.06</v>
      </c>
      <c r="T11" s="3">
        <f>21.74+19.42+8.16</f>
        <v>49.32</v>
      </c>
      <c r="U11" s="3">
        <v>15.56</v>
      </c>
      <c r="V11" s="3"/>
      <c r="W11" s="3">
        <f t="shared" si="0"/>
        <v>117.34</v>
      </c>
    </row>
    <row r="12" spans="1:23">
      <c r="A12" s="1">
        <v>999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6.92</v>
      </c>
      <c r="N12" s="3">
        <v>12.78</v>
      </c>
      <c r="O12" s="3">
        <f>13.6+6.22</f>
        <v>19.82</v>
      </c>
      <c r="P12" s="3">
        <f>13.5+13.4</f>
        <v>26.9</v>
      </c>
      <c r="Q12" s="3">
        <v>4.16</v>
      </c>
      <c r="R12" s="3"/>
      <c r="S12" s="3">
        <v>4.88</v>
      </c>
      <c r="T12" s="3">
        <f>19.24+16.04</f>
        <v>35.28</v>
      </c>
      <c r="U12" s="3">
        <f>14.74+2.06</f>
        <v>16.8</v>
      </c>
      <c r="V12" s="3"/>
      <c r="W12" s="3">
        <f t="shared" si="0"/>
        <v>127.54</v>
      </c>
    </row>
    <row r="13" spans="1:23">
      <c r="A13" s="1">
        <v>478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f>1.56+1.94</f>
        <v>3.5</v>
      </c>
      <c r="O13" s="3">
        <v>1.38</v>
      </c>
      <c r="P13" s="3">
        <v>9.56</v>
      </c>
      <c r="Q13" s="3">
        <v>2</v>
      </c>
      <c r="R13" s="3"/>
      <c r="S13" s="3">
        <v>6.3</v>
      </c>
      <c r="T13" s="3">
        <f>14.18+9.98</f>
        <v>24.16</v>
      </c>
      <c r="U13" s="3">
        <v>11.1</v>
      </c>
      <c r="V13" s="3"/>
      <c r="W13" s="3">
        <f t="shared" si="0"/>
        <v>58</v>
      </c>
    </row>
    <row r="14" spans="1:23">
      <c r="A14" s="1">
        <v>1651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4.4</v>
      </c>
      <c r="N14" s="3"/>
      <c r="O14" s="3"/>
      <c r="P14" s="3">
        <v>1.04</v>
      </c>
      <c r="Q14" s="3"/>
      <c r="R14" s="3"/>
      <c r="S14" s="3"/>
      <c r="T14" s="3"/>
      <c r="U14" s="3"/>
      <c r="V14" s="3"/>
      <c r="W14" s="3">
        <f t="shared" si="0"/>
        <v>5.44</v>
      </c>
    </row>
    <row r="15" spans="1:23">
      <c r="A15" s="1">
        <v>1792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f>4.4+6.94+2.02</f>
        <v>13.36</v>
      </c>
      <c r="N15" s="3">
        <v>3.84</v>
      </c>
      <c r="O15" s="3">
        <f>2.98+1.28</f>
        <v>4.26</v>
      </c>
      <c r="P15" s="3"/>
      <c r="Q15" s="3"/>
      <c r="R15" s="3"/>
      <c r="S15" s="3">
        <f>21.36+9.62</f>
        <v>30.98</v>
      </c>
      <c r="T15" s="3">
        <f>23.1+25.74+16.68</f>
        <v>65.52</v>
      </c>
      <c r="U15" s="3">
        <v>10.66</v>
      </c>
      <c r="V15" s="3"/>
      <c r="W15" s="3">
        <f t="shared" si="0"/>
        <v>128.62</v>
      </c>
    </row>
    <row r="16" spans="1:23">
      <c r="A16" s="1">
        <v>309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13.14</v>
      </c>
      <c r="N16" s="3">
        <v>15.96</v>
      </c>
      <c r="O16" s="3">
        <v>4.4</v>
      </c>
      <c r="P16" s="3"/>
      <c r="Q16" s="3"/>
      <c r="R16" s="3"/>
      <c r="S16" s="3">
        <f>14.1+15.22+12.14</f>
        <v>41.46</v>
      </c>
      <c r="T16" s="3">
        <f>18.88+17.5+21.2+19.18+19.76+18.98+18.48+9.52</f>
        <v>143.5</v>
      </c>
      <c r="U16" s="3">
        <v>5.14</v>
      </c>
      <c r="V16" s="3"/>
      <c r="W16" s="3">
        <f t="shared" si="0"/>
        <v>223.6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295.16</v>
      </c>
      <c r="N349" s="4">
        <f t="shared" si="6"/>
        <v>627.94</v>
      </c>
      <c r="O349" s="4">
        <f t="shared" si="6"/>
        <v>517.16</v>
      </c>
      <c r="P349" s="4">
        <f t="shared" si="6"/>
        <v>368.62</v>
      </c>
      <c r="Q349" s="4">
        <f t="shared" si="6"/>
        <v>162.62</v>
      </c>
      <c r="R349" s="4">
        <f t="shared" si="6"/>
        <v>0</v>
      </c>
      <c r="S349" s="4">
        <f t="shared" si="6"/>
        <v>356.62</v>
      </c>
      <c r="T349" s="4">
        <f t="shared" si="6"/>
        <v>831.54</v>
      </c>
      <c r="U349" s="4">
        <f t="shared" si="6"/>
        <v>271.56</v>
      </c>
      <c r="V349" s="4">
        <f t="shared" si="6"/>
        <v>0</v>
      </c>
      <c r="W349" s="4">
        <f>SUM(W2:W348)</f>
        <v>3431.22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8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1651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20.92+15.66+10.3</f>
        <v>46.88</v>
      </c>
      <c r="N2" s="3">
        <f>16.58+18.8+12.92</f>
        <v>48.3</v>
      </c>
      <c r="O2" s="3">
        <f>14.82+18.82+6.32</f>
        <v>39.96</v>
      </c>
      <c r="P2" s="3">
        <f>17.4+15.2+8.52</f>
        <v>41.12</v>
      </c>
      <c r="Q2" s="3">
        <f>15.28+9.66</f>
        <v>24.94</v>
      </c>
      <c r="R2" s="3"/>
      <c r="S2" s="3">
        <f>11.64+8.8</f>
        <v>20.44</v>
      </c>
      <c r="T2" s="3">
        <f>18.48+1.34</f>
        <v>19.82</v>
      </c>
      <c r="U2" s="3">
        <v>9.48</v>
      </c>
      <c r="V2" s="3"/>
      <c r="W2" s="3">
        <f t="shared" ref="W2:W66" si="0">SUM(C2:V2)</f>
        <v>250.94</v>
      </c>
    </row>
    <row r="3" spans="1:23">
      <c r="A3" s="1">
        <v>260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2.88</v>
      </c>
      <c r="N3" s="3">
        <f>15.34+7.32</f>
        <v>22.66</v>
      </c>
      <c r="O3" s="3">
        <f>15.26+9.04</f>
        <v>24.3</v>
      </c>
      <c r="P3" s="3">
        <v>14</v>
      </c>
      <c r="Q3" s="3">
        <v>9</v>
      </c>
      <c r="R3" s="3"/>
      <c r="S3" s="3">
        <v>19.86</v>
      </c>
      <c r="T3" s="3">
        <v>14.48</v>
      </c>
      <c r="U3" s="3">
        <v>13.56</v>
      </c>
      <c r="V3" s="3"/>
      <c r="W3" s="3">
        <f t="shared" si="0"/>
        <v>120.74</v>
      </c>
    </row>
    <row r="4" spans="1:23">
      <c r="A4" s="1">
        <v>309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>
        <f>10.96+13.16+13.24</f>
        <v>37.36</v>
      </c>
      <c r="O4" s="3">
        <f>12.8+14.1+15.06+16.78</f>
        <v>58.74</v>
      </c>
      <c r="P4" s="3">
        <f>14.98+16.08+13.3+14.62</f>
        <v>58.98</v>
      </c>
      <c r="Q4" s="3">
        <f>11.18+20.16+14.46</f>
        <v>45.8</v>
      </c>
      <c r="R4" s="3"/>
      <c r="S4" s="3">
        <v>12.36</v>
      </c>
      <c r="T4" s="3">
        <f>16.4+17.92+17.34+15.08+15.62+16.38+19.3+18.32</f>
        <v>136.36</v>
      </c>
      <c r="U4" s="3">
        <f>17.14+18.7+17.9+18</f>
        <v>71.74</v>
      </c>
      <c r="V4" s="3"/>
      <c r="W4" s="3">
        <f t="shared" si="0"/>
        <v>421.34</v>
      </c>
    </row>
    <row r="5" spans="1:23">
      <c r="A5" s="1">
        <v>309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9.18</v>
      </c>
      <c r="N5" s="3">
        <v>13.86</v>
      </c>
      <c r="O5" s="3">
        <f>17.92+2.8</f>
        <v>20.72</v>
      </c>
      <c r="P5" s="3">
        <f>15.74+17.52+1</f>
        <v>34.26</v>
      </c>
      <c r="Q5" s="3">
        <f>15.52+10.62</f>
        <v>26.14</v>
      </c>
      <c r="R5" s="3"/>
      <c r="S5" s="3">
        <v>9.16</v>
      </c>
      <c r="T5" s="3">
        <v>17.42</v>
      </c>
      <c r="U5" s="3">
        <f>16.38+8.52</f>
        <v>24.9</v>
      </c>
      <c r="V5" s="3"/>
      <c r="W5" s="3">
        <f t="shared" si="0"/>
        <v>155.64</v>
      </c>
    </row>
    <row r="6" spans="1:23">
      <c r="A6" s="1">
        <v>1792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18.4+4.5</f>
        <v>22.9</v>
      </c>
      <c r="N6" s="3">
        <f>14.94+11.6+16.08+17.74</f>
        <v>60.36</v>
      </c>
      <c r="O6" s="3">
        <f>16.88+19.62+10.74</f>
        <v>47.24</v>
      </c>
      <c r="P6" s="3">
        <f>18.16+19.66+20.78</f>
        <v>58.6</v>
      </c>
      <c r="Q6" s="3">
        <f>16.3+20.18+3.42</f>
        <v>39.9</v>
      </c>
      <c r="R6" s="3"/>
      <c r="S6" s="3">
        <f>16.96+14.98+16.54+16.96+10.84</f>
        <v>76.28</v>
      </c>
      <c r="T6" s="3">
        <f>14.84+18.5+15.28+20.76+19.28</f>
        <v>88.66</v>
      </c>
      <c r="U6" s="3">
        <f>17.3+18.56+16.96+18.1</f>
        <v>70.92</v>
      </c>
      <c r="V6" s="3"/>
      <c r="W6" s="3">
        <f t="shared" si="0"/>
        <v>464.86</v>
      </c>
    </row>
    <row r="7" spans="1:23">
      <c r="A7" s="1">
        <v>478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f>15.4+18.5+3.12+2.18</f>
        <v>39.2</v>
      </c>
      <c r="N7" s="3">
        <f>18.62+18.2+16.22+18.6+1.88</f>
        <v>73.52</v>
      </c>
      <c r="O7" s="3">
        <f>9.94+15.06+16.46+15.2+16.86+4.64</f>
        <v>78.16</v>
      </c>
      <c r="P7" s="3">
        <f>11.16+13.56+9.22</f>
        <v>33.94</v>
      </c>
      <c r="Q7" s="3">
        <v>8.06</v>
      </c>
      <c r="R7" s="3"/>
      <c r="S7" s="3">
        <f>20.24+18.02+19.42</f>
        <v>57.68</v>
      </c>
      <c r="T7" s="3">
        <f>20.9+18.34+16.94+17.38+18.84+9.5</f>
        <v>101.9</v>
      </c>
      <c r="U7" s="3">
        <f>16.42+15.6</f>
        <v>32.02</v>
      </c>
      <c r="V7" s="3"/>
      <c r="W7" s="3">
        <f t="shared" si="0"/>
        <v>424.48</v>
      </c>
    </row>
    <row r="8" spans="1:23">
      <c r="A8" s="1">
        <v>309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17.08+6.8</f>
        <v>23.88</v>
      </c>
      <c r="N8" s="3">
        <f>22.5+11.16+11.08</f>
        <v>44.74</v>
      </c>
      <c r="O8" s="3">
        <f>15.82+12.5+14.08+2.88</f>
        <v>45.28</v>
      </c>
      <c r="P8" s="3">
        <f>15.56+11.92+3.38</f>
        <v>30.86</v>
      </c>
      <c r="Q8" s="3">
        <v>10.46</v>
      </c>
      <c r="R8" s="3"/>
      <c r="S8" s="3">
        <f>17.8+20.74+12.82+17.8+2.36</f>
        <v>71.52</v>
      </c>
      <c r="T8" s="3">
        <f>19.86+19.32+13.82+15.34+19.18+17.52+15.62+19.94+17.32+8.52</f>
        <v>166.44</v>
      </c>
      <c r="U8" s="3">
        <f>15.2+9.25</f>
        <v>24.45</v>
      </c>
      <c r="V8" s="3"/>
      <c r="W8" s="3">
        <f t="shared" si="0"/>
        <v>417.63</v>
      </c>
    </row>
    <row r="9" spans="1:23">
      <c r="A9" s="1">
        <v>999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6.32</v>
      </c>
      <c r="N9" s="3">
        <f>15.32+6.94</f>
        <v>22.26</v>
      </c>
      <c r="O9" s="3">
        <v>13.2</v>
      </c>
      <c r="P9" s="3">
        <f>12.2+4.22</f>
        <v>16.42</v>
      </c>
      <c r="Q9" s="3">
        <v>6.8</v>
      </c>
      <c r="R9" s="3"/>
      <c r="S9" s="3">
        <f>2.44+2.36</f>
        <v>4.8</v>
      </c>
      <c r="T9" s="3">
        <f>22.36+15.88+12.8+13.4</f>
        <v>64.44</v>
      </c>
      <c r="U9" s="3">
        <f>13.42+16.04+13.56</f>
        <v>43.02</v>
      </c>
      <c r="V9" s="3"/>
      <c r="W9" s="3">
        <f t="shared" si="0"/>
        <v>177.26</v>
      </c>
    </row>
    <row r="10" spans="1:23">
      <c r="A10" s="1">
        <v>2161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>
        <v>2</v>
      </c>
      <c r="T10" s="3"/>
      <c r="U10" s="3"/>
      <c r="V10" s="3"/>
      <c r="W10" s="3">
        <f t="shared" si="0"/>
        <v>2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ref="W67:W130" si="1">SUM(C67:V67)</f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si="1"/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ref="W131:W194" si="2">SUM(C131:V131)</f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si="2"/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ref="W195:W258" si="3">SUM(C195:V195)</f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si="3"/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ref="W259:W322" si="4">SUM(C259:V259)</f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si="4"/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ref="W323:W347" si="5">SUM(C323:V323)</f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si="5"/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3:23">
      <c r="C348" s="4">
        <f t="shared" ref="C348:V348" si="6">SUM(C1:C347)</f>
        <v>0</v>
      </c>
      <c r="D348" s="4">
        <f t="shared" si="6"/>
        <v>0</v>
      </c>
      <c r="E348" s="4">
        <f t="shared" si="6"/>
        <v>0</v>
      </c>
      <c r="F348" s="4">
        <f t="shared" si="6"/>
        <v>0</v>
      </c>
      <c r="G348" s="4">
        <f t="shared" si="6"/>
        <v>0</v>
      </c>
      <c r="H348" s="4">
        <f t="shared" si="6"/>
        <v>0</v>
      </c>
      <c r="I348" s="4">
        <f t="shared" si="6"/>
        <v>0</v>
      </c>
      <c r="J348" s="4">
        <f t="shared" si="6"/>
        <v>0</v>
      </c>
      <c r="K348" s="4">
        <f t="shared" si="6"/>
        <v>0</v>
      </c>
      <c r="L348" s="4">
        <f t="shared" si="6"/>
        <v>0</v>
      </c>
      <c r="M348" s="4">
        <f t="shared" si="6"/>
        <v>151.24</v>
      </c>
      <c r="N348" s="4">
        <f t="shared" si="6"/>
        <v>323.06</v>
      </c>
      <c r="O348" s="4">
        <f t="shared" si="6"/>
        <v>327.6</v>
      </c>
      <c r="P348" s="4">
        <f t="shared" si="6"/>
        <v>288.18</v>
      </c>
      <c r="Q348" s="4">
        <f t="shared" si="6"/>
        <v>171.1</v>
      </c>
      <c r="R348" s="4">
        <f t="shared" si="6"/>
        <v>0</v>
      </c>
      <c r="S348" s="4">
        <f t="shared" si="6"/>
        <v>274.1</v>
      </c>
      <c r="T348" s="4">
        <f t="shared" si="6"/>
        <v>609.52</v>
      </c>
      <c r="U348" s="4">
        <f t="shared" si="6"/>
        <v>290.09</v>
      </c>
      <c r="V348" s="4">
        <f t="shared" si="6"/>
        <v>0</v>
      </c>
      <c r="W348" s="4">
        <f>SUM(W2:W347)</f>
        <v>2434.89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5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1651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21.08</v>
      </c>
      <c r="N2" s="3">
        <f>22.12+13.4+13.54</f>
        <v>49.06</v>
      </c>
      <c r="O2" s="3">
        <f>15.36+12.06+13</f>
        <v>40.42</v>
      </c>
      <c r="P2" s="3">
        <f>21.24+7.92</f>
        <v>29.16</v>
      </c>
      <c r="Q2" s="3">
        <v>14.5</v>
      </c>
      <c r="R2" s="3"/>
      <c r="S2" s="3">
        <v>9.18</v>
      </c>
      <c r="T2" s="3">
        <v>15</v>
      </c>
      <c r="U2" s="3">
        <v>1.88</v>
      </c>
      <c r="V2" s="3"/>
      <c r="W2" s="3">
        <f t="shared" ref="W2:W67" si="0">SUM(C2:V2)</f>
        <v>180.28</v>
      </c>
    </row>
    <row r="3" spans="1:23">
      <c r="A3" s="1">
        <v>4005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14.44+10.08</f>
        <v>24.52</v>
      </c>
      <c r="N3" s="3">
        <f>16.56+15.54+5.98</f>
        <v>38.08</v>
      </c>
      <c r="O3" s="3">
        <f>17.64+19.04</f>
        <v>36.68</v>
      </c>
      <c r="P3" s="3">
        <f>18.76+15.38+2.46</f>
        <v>36.6</v>
      </c>
      <c r="Q3" s="3">
        <f>16.12+3.84</f>
        <v>19.96</v>
      </c>
      <c r="R3" s="3"/>
      <c r="S3" s="3">
        <f>18.1+15.62</f>
        <v>33.72</v>
      </c>
      <c r="T3" s="3">
        <f>18.48+5.34</f>
        <v>23.82</v>
      </c>
      <c r="U3" s="3">
        <v>20.1</v>
      </c>
      <c r="V3" s="3"/>
      <c r="W3" s="3">
        <f t="shared" si="0"/>
        <v>233.48</v>
      </c>
    </row>
    <row r="4" spans="1:23">
      <c r="A4" s="1">
        <v>260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4.78</v>
      </c>
      <c r="N4" s="3">
        <f>17.76+7.34</f>
        <v>25.1</v>
      </c>
      <c r="O4" s="3">
        <f>13.92+10.56</f>
        <v>24.48</v>
      </c>
      <c r="P4" s="3">
        <f>13.9+6.3</f>
        <v>20.2</v>
      </c>
      <c r="Q4" s="3">
        <v>7.96</v>
      </c>
      <c r="R4" s="3"/>
      <c r="S4" s="3">
        <v>5.12</v>
      </c>
      <c r="T4" s="3">
        <f>16.68+9.52</f>
        <v>26.2</v>
      </c>
      <c r="U4" s="3">
        <f>17.3+2.12</f>
        <v>19.42</v>
      </c>
      <c r="V4" s="3"/>
      <c r="W4" s="3">
        <f t="shared" si="0"/>
        <v>133.26</v>
      </c>
    </row>
    <row r="5" spans="1:23">
      <c r="A5" s="1">
        <v>1792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5.24</v>
      </c>
      <c r="N5" s="3">
        <v>3.46</v>
      </c>
      <c r="O5" s="3">
        <v>2.88</v>
      </c>
      <c r="P5" s="3">
        <v>5.12</v>
      </c>
      <c r="Q5" s="3">
        <v>6.28</v>
      </c>
      <c r="R5" s="3"/>
      <c r="S5" s="3">
        <f>15.6+2.28</f>
        <v>17.88</v>
      </c>
      <c r="T5" s="3">
        <f>13.3+7</f>
        <v>20.3</v>
      </c>
      <c r="U5" s="3">
        <f>14.42+1.58</f>
        <v>16</v>
      </c>
      <c r="V5" s="3"/>
      <c r="W5" s="3">
        <f t="shared" si="0"/>
        <v>77.16</v>
      </c>
    </row>
    <row r="6" spans="1:23">
      <c r="A6" s="1">
        <v>999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>
        <v>7.32</v>
      </c>
      <c r="O6" s="3">
        <f>16.08+15.3</f>
        <v>31.38</v>
      </c>
      <c r="P6" s="3">
        <f>15.14+2.46</f>
        <v>17.6</v>
      </c>
      <c r="Q6" s="3">
        <v>7.58</v>
      </c>
      <c r="R6" s="3"/>
      <c r="S6" s="3"/>
      <c r="T6" s="3">
        <v>3.22</v>
      </c>
      <c r="U6" s="3">
        <v>13.18</v>
      </c>
      <c r="V6" s="3"/>
      <c r="W6" s="3">
        <f t="shared" si="0"/>
        <v>80.28</v>
      </c>
    </row>
    <row r="7" spans="1:23">
      <c r="A7" s="13">
        <v>309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11.76</v>
      </c>
      <c r="N7" s="3">
        <f>9.34+19.66+7.18</f>
        <v>36.18</v>
      </c>
      <c r="O7" s="3">
        <f>19.52+15.54+17.3+17.77+4.32</f>
        <v>74.45</v>
      </c>
      <c r="P7" s="3">
        <f>15.22+16.44+23.8+18.42+2.2</f>
        <v>76.08</v>
      </c>
      <c r="Q7" s="3">
        <f>12.02+14.26+15.04+14.62+8.9</f>
        <v>64.84</v>
      </c>
      <c r="R7" s="3"/>
      <c r="S7" s="3">
        <v>9.78</v>
      </c>
      <c r="T7" s="3">
        <f>16.08+18.3</f>
        <v>34.38</v>
      </c>
      <c r="U7" s="3">
        <f>13.1+17.52+29.64</f>
        <v>60.26</v>
      </c>
      <c r="V7" s="3"/>
      <c r="W7" s="3">
        <f t="shared" si="0"/>
        <v>367.73</v>
      </c>
    </row>
    <row r="8" spans="1:23">
      <c r="A8" s="1">
        <v>1651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2.62</v>
      </c>
      <c r="N8" s="3">
        <v>6.26</v>
      </c>
      <c r="O8" s="3">
        <v>4.72</v>
      </c>
      <c r="P8" s="3">
        <v>6.28</v>
      </c>
      <c r="Q8" s="3">
        <v>5.3</v>
      </c>
      <c r="R8" s="3"/>
      <c r="S8" s="3">
        <v>2.7</v>
      </c>
      <c r="T8" s="3">
        <f>18.92+12.56</f>
        <v>31.48</v>
      </c>
      <c r="U8" s="3">
        <f>18.34+6.64</f>
        <v>24.98</v>
      </c>
      <c r="V8" s="3"/>
      <c r="W8" s="3">
        <f t="shared" si="0"/>
        <v>84.34</v>
      </c>
    </row>
    <row r="9" spans="1:23">
      <c r="A9" s="1">
        <v>2161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>
        <v>9.48</v>
      </c>
      <c r="O9" s="3">
        <v>6.22</v>
      </c>
      <c r="P9" s="3">
        <v>7.28</v>
      </c>
      <c r="Q9" s="3">
        <v>1.7</v>
      </c>
      <c r="R9" s="3"/>
      <c r="S9" s="3">
        <v>8.86</v>
      </c>
      <c r="T9" s="3">
        <v>18.28</v>
      </c>
      <c r="U9" s="3">
        <v>11</v>
      </c>
      <c r="V9" s="3"/>
      <c r="W9" s="3">
        <f t="shared" si="0"/>
        <v>62.82</v>
      </c>
    </row>
    <row r="10" spans="1:23">
      <c r="A10" s="1">
        <v>309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15.12</v>
      </c>
      <c r="N10" s="3">
        <f>19.78+17.22+13.74+16.64</f>
        <v>67.38</v>
      </c>
      <c r="O10" s="3">
        <f>16.36+16.68+18.86+19.6+12.22</f>
        <v>83.72</v>
      </c>
      <c r="P10" s="3">
        <f>13.9+15.32+19.22+5.02</f>
        <v>53.46</v>
      </c>
      <c r="Q10" s="3">
        <v>12.92</v>
      </c>
      <c r="R10" s="3"/>
      <c r="S10" s="3">
        <f>16.04+14.1+16.76+7.38</f>
        <v>54.28</v>
      </c>
      <c r="T10" s="3">
        <f>15.58+17.96+13.5+19.52+20.32+25.34+17.14+13.12</f>
        <v>142.48</v>
      </c>
      <c r="U10" s="3">
        <f>14.56+17.86+19.66+14.1</f>
        <v>66.18</v>
      </c>
      <c r="V10" s="3"/>
      <c r="W10" s="3">
        <f t="shared" si="0"/>
        <v>495.54</v>
      </c>
    </row>
    <row r="11" spans="1:23">
      <c r="A11" s="1">
        <v>560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4.98</v>
      </c>
      <c r="N11" s="3">
        <v>3.72</v>
      </c>
      <c r="O11" s="3">
        <f>21.28+5.96</f>
        <v>27.24</v>
      </c>
      <c r="P11" s="3">
        <f>16.36+5.72</f>
        <v>22.08</v>
      </c>
      <c r="Q11" s="3">
        <f>11.64+3.8</f>
        <v>15.44</v>
      </c>
      <c r="R11" s="3"/>
      <c r="S11" s="3">
        <v>2.5</v>
      </c>
      <c r="T11" s="3">
        <v>18.3</v>
      </c>
      <c r="U11" s="3">
        <v>9.7</v>
      </c>
      <c r="V11" s="3"/>
      <c r="W11" s="3">
        <f t="shared" si="0"/>
        <v>103.96</v>
      </c>
    </row>
    <row r="12" spans="1:23">
      <c r="A12" s="1">
        <v>478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11.92+21.82+18.04+7.34</f>
        <v>59.12</v>
      </c>
      <c r="N12" s="3">
        <f>17.78+17.1+19.06+17.34+22.62+6</f>
        <v>99.9</v>
      </c>
      <c r="O12" s="3">
        <f>19.06+15.06+16.88+21+20.3</f>
        <v>92.3</v>
      </c>
      <c r="P12" s="3">
        <f>14.78+13.36+13.22</f>
        <v>41.36</v>
      </c>
      <c r="Q12" s="3">
        <f>21.08+1.88</f>
        <v>22.96</v>
      </c>
      <c r="R12" s="3"/>
      <c r="S12" s="3">
        <f>15.12+28.24</f>
        <v>43.36</v>
      </c>
      <c r="T12" s="3">
        <f>16.12+17.08+18.86+19.56+26.56</f>
        <v>98.18</v>
      </c>
      <c r="U12" s="3">
        <v>22.1</v>
      </c>
      <c r="V12" s="3"/>
      <c r="W12" s="3">
        <f t="shared" si="0"/>
        <v>479.28</v>
      </c>
    </row>
    <row r="13" spans="1:23">
      <c r="A13" s="1">
        <v>1005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v>12.86</v>
      </c>
      <c r="O13" s="3">
        <v>6.6</v>
      </c>
      <c r="P13" s="3">
        <v>5.14</v>
      </c>
      <c r="Q13" s="3">
        <v>5.18</v>
      </c>
      <c r="R13" s="3"/>
      <c r="S13" s="3">
        <v>5.4</v>
      </c>
      <c r="T13" s="3">
        <f>23.72+4.6</f>
        <v>28.32</v>
      </c>
      <c r="U13" s="3">
        <v>1.82</v>
      </c>
      <c r="V13" s="3"/>
      <c r="W13" s="3">
        <f t="shared" si="0"/>
        <v>65.32</v>
      </c>
    </row>
    <row r="14" spans="1:23">
      <c r="A14" s="1">
        <v>999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6.88</v>
      </c>
      <c r="N14" s="3">
        <v>1.74</v>
      </c>
      <c r="O14" s="3">
        <f>13.4+4.5</f>
        <v>17.9</v>
      </c>
      <c r="P14" s="3">
        <f>12.8+1.18</f>
        <v>13.98</v>
      </c>
      <c r="Q14" s="3">
        <v>13.54</v>
      </c>
      <c r="R14" s="3"/>
      <c r="S14" s="3">
        <v>6.86</v>
      </c>
      <c r="T14" s="3">
        <f>18.48+12.5</f>
        <v>30.98</v>
      </c>
      <c r="U14" s="3">
        <v>16.56</v>
      </c>
      <c r="V14" s="3"/>
      <c r="W14" s="3">
        <f t="shared" si="0"/>
        <v>108.44</v>
      </c>
    </row>
    <row r="15" spans="1:23">
      <c r="A15" s="1">
        <v>1792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13.62</v>
      </c>
      <c r="N15" s="3">
        <f>16.36+5.5</f>
        <v>21.86</v>
      </c>
      <c r="O15" s="3">
        <f>14.02+6.04</f>
        <v>20.06</v>
      </c>
      <c r="P15" s="3">
        <v>13.22</v>
      </c>
      <c r="Q15" s="3">
        <v>10.62</v>
      </c>
      <c r="R15" s="3"/>
      <c r="S15" s="3">
        <f>13.88+13.64</f>
        <v>27.52</v>
      </c>
      <c r="T15" s="3">
        <f>14.58+15.36+18.88+7.26</f>
        <v>56.08</v>
      </c>
      <c r="U15" s="3">
        <f>21.8+3.72</f>
        <v>25.52</v>
      </c>
      <c r="V15" s="3"/>
      <c r="W15" s="3">
        <f t="shared" si="0"/>
        <v>188.5</v>
      </c>
    </row>
    <row r="16" spans="1:23">
      <c r="A16" s="1">
        <v>1006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>
        <v>1.84</v>
      </c>
      <c r="O16" s="3">
        <v>9.5</v>
      </c>
      <c r="P16" s="3">
        <v>5.98</v>
      </c>
      <c r="Q16" s="3">
        <v>4.24</v>
      </c>
      <c r="R16" s="3"/>
      <c r="S16" s="3">
        <v>10.06</v>
      </c>
      <c r="T16" s="3">
        <f>20.1+14.7+9.34</f>
        <v>44.14</v>
      </c>
      <c r="U16" s="3">
        <f>19.82+12.82+10.52</f>
        <v>43.16</v>
      </c>
      <c r="V16" s="3"/>
      <c r="W16" s="3">
        <f t="shared" si="0"/>
        <v>118.92</v>
      </c>
    </row>
    <row r="17" spans="1:23">
      <c r="A17" s="1">
        <v>1792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5.42</v>
      </c>
      <c r="N17" s="3">
        <f>23.74+1.72</f>
        <v>25.46</v>
      </c>
      <c r="O17" s="3">
        <v>16.52</v>
      </c>
      <c r="P17" s="3">
        <v>7.16</v>
      </c>
      <c r="Q17" s="3">
        <v>2.82</v>
      </c>
      <c r="R17" s="3"/>
      <c r="S17" s="3">
        <f>17.84+2.24</f>
        <v>20.08</v>
      </c>
      <c r="T17" s="3">
        <f>22+16.98</f>
        <v>38.98</v>
      </c>
      <c r="U17" s="3">
        <v>9.1</v>
      </c>
      <c r="V17" s="3"/>
      <c r="W17" s="3">
        <f t="shared" si="0"/>
        <v>125.54</v>
      </c>
    </row>
    <row r="18" spans="1:23">
      <c r="A18" s="1">
        <v>309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17.48</v>
      </c>
      <c r="N18" s="3">
        <f>17.66+13.64+11.24</f>
        <v>42.54</v>
      </c>
      <c r="O18" s="3">
        <f>18.88+18.4+17.28+17.72+12.36+1.28</f>
        <v>85.92</v>
      </c>
      <c r="P18" s="3">
        <f>16.64+15.08+18.1</f>
        <v>49.82</v>
      </c>
      <c r="Q18" s="3">
        <f>18.18+3.88</f>
        <v>22.06</v>
      </c>
      <c r="R18" s="3"/>
      <c r="S18" s="3">
        <f>18.74+13</f>
        <v>31.74</v>
      </c>
      <c r="T18" s="3">
        <f>18.74+25.36+18.42+18.7+16.68+19.08+21.8+15.22</f>
        <v>154</v>
      </c>
      <c r="U18" s="3">
        <f>15.34+15.88+17.36</f>
        <v>48.58</v>
      </c>
      <c r="V18" s="3"/>
      <c r="W18" s="3">
        <f t="shared" si="0"/>
        <v>452.14</v>
      </c>
    </row>
    <row r="19" spans="1:23">
      <c r="A19" s="1">
        <v>1792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4.86</v>
      </c>
      <c r="N19" s="3">
        <v>9.84</v>
      </c>
      <c r="O19" s="3">
        <v>17.34</v>
      </c>
      <c r="P19" s="3">
        <v>8.42</v>
      </c>
      <c r="Q19" s="3">
        <v>9.2</v>
      </c>
      <c r="R19" s="3"/>
      <c r="S19" s="3">
        <f>16.96+9.04</f>
        <v>26</v>
      </c>
      <c r="T19" s="3">
        <f>20+17.04+19.84+9.26</f>
        <v>66.14</v>
      </c>
      <c r="U19" s="3">
        <f>21.12+1.98</f>
        <v>23.1</v>
      </c>
      <c r="V19" s="3"/>
      <c r="W19" s="3">
        <f t="shared" si="0"/>
        <v>164.9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197.48</v>
      </c>
      <c r="N349" s="4">
        <f t="shared" si="6"/>
        <v>462.08</v>
      </c>
      <c r="O349" s="4">
        <f t="shared" si="6"/>
        <v>598.33</v>
      </c>
      <c r="P349" s="4">
        <f t="shared" si="6"/>
        <v>418.94</v>
      </c>
      <c r="Q349" s="4">
        <f t="shared" si="6"/>
        <v>247.1</v>
      </c>
      <c r="R349" s="4">
        <f t="shared" si="6"/>
        <v>0</v>
      </c>
      <c r="S349" s="4">
        <f t="shared" si="6"/>
        <v>315.04</v>
      </c>
      <c r="T349" s="4">
        <f t="shared" si="6"/>
        <v>850.28</v>
      </c>
      <c r="U349" s="4">
        <f t="shared" si="6"/>
        <v>432.64</v>
      </c>
      <c r="V349" s="4">
        <f t="shared" si="6"/>
        <v>0</v>
      </c>
      <c r="W349" s="4">
        <f>SUM(W2:W348)</f>
        <v>3521.89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3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2161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>
        <v>7.04</v>
      </c>
      <c r="O2" s="3"/>
      <c r="P2" s="3">
        <v>5.76</v>
      </c>
      <c r="Q2" s="3">
        <v>3.16</v>
      </c>
      <c r="R2" s="3"/>
      <c r="S2" s="3">
        <v>2.02</v>
      </c>
      <c r="T2" s="3">
        <f>22.22+5.86</f>
        <v>28.08</v>
      </c>
      <c r="U2" s="3">
        <v>10.48</v>
      </c>
      <c r="V2" s="3"/>
      <c r="W2" s="3">
        <f t="shared" ref="W2:W67" si="0">SUM(C2:V2)</f>
        <v>56.54</v>
      </c>
    </row>
    <row r="3" spans="1:23">
      <c r="A3" s="1">
        <v>309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24.3</v>
      </c>
      <c r="N3" s="3">
        <f>16.44+26.16</f>
        <v>42.6</v>
      </c>
      <c r="O3" s="3">
        <f>14.74+13.62+16.02+18.84</f>
        <v>63.22</v>
      </c>
      <c r="P3" s="3">
        <v>13.16</v>
      </c>
      <c r="Q3" s="3">
        <f>19.12+4.98</f>
        <v>24.1</v>
      </c>
      <c r="R3" s="3"/>
      <c r="S3" s="3">
        <f>15.36+4.94</f>
        <v>20.3</v>
      </c>
      <c r="T3" s="3">
        <f>20.6+16.6+20.12+19.08+15.06+19.92+12.72+2.46</f>
        <v>126.56</v>
      </c>
      <c r="U3" s="3">
        <f>15.32+23.36</f>
        <v>38.68</v>
      </c>
      <c r="V3" s="3"/>
      <c r="W3" s="3">
        <f t="shared" si="0"/>
        <v>352.92</v>
      </c>
    </row>
    <row r="4" spans="1:23">
      <c r="A4" s="1">
        <v>2425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2.22</v>
      </c>
      <c r="N4" s="3">
        <v>7.58</v>
      </c>
      <c r="O4" s="3"/>
      <c r="P4" s="3"/>
      <c r="Q4" s="3"/>
      <c r="R4" s="3"/>
      <c r="S4" s="3">
        <v>4.16</v>
      </c>
      <c r="T4" s="3">
        <v>20.36</v>
      </c>
      <c r="U4" s="3">
        <v>5.06</v>
      </c>
      <c r="V4" s="3"/>
      <c r="W4" s="3">
        <f t="shared" si="0"/>
        <v>39.38</v>
      </c>
    </row>
    <row r="5" spans="1:23">
      <c r="A5" s="1">
        <v>1792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2.04</v>
      </c>
      <c r="N5" s="3">
        <f>15.52+5.8</f>
        <v>21.32</v>
      </c>
      <c r="O5" s="3">
        <f>18.88+5.94</f>
        <v>24.82</v>
      </c>
      <c r="P5" s="3">
        <f>14.6+2.34</f>
        <v>16.94</v>
      </c>
      <c r="Q5" s="3">
        <v>9.68</v>
      </c>
      <c r="R5" s="3"/>
      <c r="S5" s="3">
        <f>15.56+7.24</f>
        <v>22.8</v>
      </c>
      <c r="T5" s="3">
        <f>18.12+17.12+18.26+18.8+20.44+24.06</f>
        <v>116.8</v>
      </c>
      <c r="U5" s="3">
        <f>16.26+17.04+15.46+12.92</f>
        <v>61.68</v>
      </c>
      <c r="V5" s="3"/>
      <c r="W5" s="3">
        <f t="shared" si="0"/>
        <v>276.08</v>
      </c>
    </row>
    <row r="6" spans="1:23">
      <c r="A6" s="1">
        <v>4005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17.14+15.74+18.36+18.82+16.86+4.64</f>
        <v>91.56</v>
      </c>
      <c r="N6" s="3">
        <f>14.58+15.72+17.04+21.52+24.22+24.38+20.4</f>
        <v>137.86</v>
      </c>
      <c r="O6" s="3">
        <f>19.92+14.8+18.04+16.92+19.66+17.4</f>
        <v>106.74</v>
      </c>
      <c r="P6" s="3">
        <f>17.98+17.98+20.98+15.5</f>
        <v>72.44</v>
      </c>
      <c r="Q6" s="3">
        <f>12.42+14.38</f>
        <v>26.8</v>
      </c>
      <c r="R6" s="3"/>
      <c r="S6" s="3">
        <f>13.06+16.84+18.72+10.38</f>
        <v>59</v>
      </c>
      <c r="T6" s="3">
        <f>16.1+16.82+2.48</f>
        <v>35.4</v>
      </c>
      <c r="U6" s="3">
        <f>15.92+7.9</f>
        <v>23.82</v>
      </c>
      <c r="V6" s="3"/>
      <c r="W6" s="3">
        <f t="shared" si="0"/>
        <v>553.62</v>
      </c>
    </row>
    <row r="7" spans="1:23">
      <c r="A7" s="1">
        <v>260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14.04</v>
      </c>
      <c r="N7" s="3">
        <f>22.34+5.06</f>
        <v>27.4</v>
      </c>
      <c r="O7" s="3">
        <f>19.3+5.66</f>
        <v>24.96</v>
      </c>
      <c r="P7" s="3">
        <v>10.34</v>
      </c>
      <c r="Q7" s="3">
        <v>0.86</v>
      </c>
      <c r="R7" s="3"/>
      <c r="S7" s="3"/>
      <c r="T7" s="3">
        <f>18.22+7.72</f>
        <v>25.94</v>
      </c>
      <c r="U7" s="3">
        <v>2.8</v>
      </c>
      <c r="V7" s="3"/>
      <c r="W7" s="3">
        <f t="shared" si="0"/>
        <v>106.34</v>
      </c>
    </row>
    <row r="8" spans="1:23">
      <c r="A8" s="1">
        <v>4005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11.62</v>
      </c>
      <c r="N8" s="3">
        <v>18.8</v>
      </c>
      <c r="O8" s="3">
        <v>24.72</v>
      </c>
      <c r="P8" s="3">
        <v>13.1</v>
      </c>
      <c r="Q8" s="3">
        <v>5.74</v>
      </c>
      <c r="R8" s="3"/>
      <c r="S8" s="3">
        <v>4.82</v>
      </c>
      <c r="T8" s="3">
        <v>5.1</v>
      </c>
      <c r="U8" s="3">
        <v>13.5</v>
      </c>
      <c r="V8" s="3"/>
      <c r="W8" s="3">
        <f t="shared" si="0"/>
        <v>97.4</v>
      </c>
    </row>
    <row r="9" spans="1:23">
      <c r="A9" s="1">
        <v>309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15.46+14.28</f>
        <v>29.74</v>
      </c>
      <c r="N9" s="3">
        <f>22.56+24.82+18.44+22.46+17.74</f>
        <v>106.02</v>
      </c>
      <c r="O9" s="3">
        <f>19.72+15.96+18+16.62+19.84+8.2</f>
        <v>98.34</v>
      </c>
      <c r="P9" s="3">
        <f>19.26+20.4+20.3+13.96+13.08</f>
        <v>87</v>
      </c>
      <c r="Q9" s="3">
        <f>16.02+15.34+7.32</f>
        <v>38.68</v>
      </c>
      <c r="R9" s="3"/>
      <c r="S9" s="3">
        <f>15.9+8.78</f>
        <v>24.68</v>
      </c>
      <c r="T9" s="3">
        <f>21.72+14.4+14.3+17.6+21.34</f>
        <v>89.36</v>
      </c>
      <c r="U9" s="3">
        <f>17.74+20.62+20.82+11.94</f>
        <v>71.12</v>
      </c>
      <c r="V9" s="3"/>
      <c r="W9" s="3">
        <f t="shared" si="0"/>
        <v>544.94</v>
      </c>
    </row>
    <row r="10" spans="1:23">
      <c r="A10" s="1">
        <v>560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8.9</v>
      </c>
      <c r="N10" s="3">
        <v>7.38</v>
      </c>
      <c r="O10" s="3">
        <f>8.48+15.02</f>
        <v>23.5</v>
      </c>
      <c r="P10" s="3">
        <v>18.2</v>
      </c>
      <c r="Q10" s="3">
        <v>6.94</v>
      </c>
      <c r="R10" s="3"/>
      <c r="S10" s="3">
        <v>5.24</v>
      </c>
      <c r="T10" s="3">
        <v>8.64</v>
      </c>
      <c r="U10" s="3">
        <v>4.84</v>
      </c>
      <c r="V10" s="3"/>
      <c r="W10" s="3">
        <f t="shared" si="0"/>
        <v>83.64</v>
      </c>
    </row>
    <row r="11" spans="1:23">
      <c r="A11" s="1">
        <v>450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>
        <v>2.68</v>
      </c>
      <c r="T11" s="3">
        <v>7.42</v>
      </c>
      <c r="U11" s="3">
        <v>1.66</v>
      </c>
      <c r="V11" s="3"/>
      <c r="W11" s="3">
        <f t="shared" si="0"/>
        <v>11.76</v>
      </c>
    </row>
    <row r="12" spans="1:23">
      <c r="A12" s="1">
        <v>1651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f>21.32+5.14</f>
        <v>26.46</v>
      </c>
      <c r="N12" s="3">
        <f>18.86+18.86</f>
        <v>37.72</v>
      </c>
      <c r="O12" s="3">
        <f>17.8+3.06</f>
        <v>20.86</v>
      </c>
      <c r="P12" s="3">
        <f>14.78+16.02</f>
        <v>30.8</v>
      </c>
      <c r="Q12" s="3">
        <v>9.26</v>
      </c>
      <c r="R12" s="3"/>
      <c r="S12" s="3">
        <v>9.82</v>
      </c>
      <c r="T12" s="3">
        <v>4.68</v>
      </c>
      <c r="U12" s="3">
        <v>1.62</v>
      </c>
      <c r="V12" s="3"/>
      <c r="W12" s="3">
        <f t="shared" si="0"/>
        <v>141.22</v>
      </c>
    </row>
    <row r="13" spans="1:23">
      <c r="A13" s="1">
        <v>999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2.04</v>
      </c>
      <c r="N13" s="3">
        <v>14.38</v>
      </c>
      <c r="O13" s="3">
        <v>19.06</v>
      </c>
      <c r="P13" s="3">
        <f>25.24+3.5</f>
        <v>28.74</v>
      </c>
      <c r="Q13" s="3">
        <v>12.6</v>
      </c>
      <c r="R13" s="3"/>
      <c r="S13" s="3">
        <v>2.58</v>
      </c>
      <c r="T13" s="3">
        <v>18.04</v>
      </c>
      <c r="U13" s="3">
        <v>13.4</v>
      </c>
      <c r="V13" s="3"/>
      <c r="W13" s="3">
        <f t="shared" si="0"/>
        <v>110.84</v>
      </c>
    </row>
    <row r="14" spans="1:23">
      <c r="A14" s="1">
        <v>1006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v>9.34</v>
      </c>
      <c r="N14" s="3">
        <f>16.16+10.58</f>
        <v>26.74</v>
      </c>
      <c r="O14" s="3">
        <f>15.92+11.5</f>
        <v>27.42</v>
      </c>
      <c r="P14" s="3">
        <v>13.88</v>
      </c>
      <c r="Q14" s="3">
        <v>5.66</v>
      </c>
      <c r="R14" s="3"/>
      <c r="S14" s="3">
        <f>13.46+10.48</f>
        <v>23.94</v>
      </c>
      <c r="T14" s="3">
        <f>16.14+12.54</f>
        <v>28.68</v>
      </c>
      <c r="U14" s="3">
        <v>15.7</v>
      </c>
      <c r="V14" s="3"/>
      <c r="W14" s="3">
        <f t="shared" si="0"/>
        <v>151.36</v>
      </c>
    </row>
    <row r="15" spans="1:23">
      <c r="A15" s="1">
        <v>309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f>18.18+4.68</f>
        <v>22.86</v>
      </c>
      <c r="N15" s="3">
        <f>19.64+12.76+20.66</f>
        <v>53.06</v>
      </c>
      <c r="O15" s="3">
        <f>22.98+14.58+17.46+16.4+9.78</f>
        <v>81.2</v>
      </c>
      <c r="P15" s="3">
        <f>28.5+14.32+13.28+15.02</f>
        <v>71.12</v>
      </c>
      <c r="Q15" s="3">
        <f>15.64+13.5</f>
        <v>29.14</v>
      </c>
      <c r="R15" s="3"/>
      <c r="S15" s="3">
        <f>24.04+18.78</f>
        <v>42.82</v>
      </c>
      <c r="T15" s="3">
        <f>20.32+19.1+19.22+12.72+17.3+19.4+19.3+6.04</f>
        <v>133.4</v>
      </c>
      <c r="U15" s="3">
        <f>25.38+15.66+18.8+8.04</f>
        <v>67.88</v>
      </c>
      <c r="V15" s="3"/>
      <c r="W15" s="3">
        <f t="shared" si="0"/>
        <v>501.48</v>
      </c>
    </row>
    <row r="16" spans="1:23">
      <c r="A16" s="1">
        <v>4005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5.04</v>
      </c>
      <c r="N16" s="3">
        <v>5.88</v>
      </c>
      <c r="O16" s="3">
        <v>15.02</v>
      </c>
      <c r="P16" s="3">
        <v>18.28</v>
      </c>
      <c r="Q16" s="3">
        <v>10.66</v>
      </c>
      <c r="R16" s="3"/>
      <c r="S16" s="3">
        <v>8.34</v>
      </c>
      <c r="T16" s="3">
        <f>17.02+17.64</f>
        <v>34.66</v>
      </c>
      <c r="U16" s="3">
        <v>17.82</v>
      </c>
      <c r="V16" s="3"/>
      <c r="W16" s="3">
        <f t="shared" si="0"/>
        <v>115.7</v>
      </c>
    </row>
    <row r="17" spans="1:23">
      <c r="A17" s="1">
        <v>309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f>19.74+4.3</f>
        <v>24.04</v>
      </c>
      <c r="N17" s="3">
        <v>15.08</v>
      </c>
      <c r="O17" s="3">
        <f>18.04+14.34+16.4</f>
        <v>48.78</v>
      </c>
      <c r="P17" s="3">
        <f>15.9+9.64</f>
        <v>25.54</v>
      </c>
      <c r="Q17" s="3">
        <f>10.82+12.78</f>
        <v>23.6</v>
      </c>
      <c r="R17" s="3"/>
      <c r="S17" s="3">
        <f>12.04+9.84</f>
        <v>21.88</v>
      </c>
      <c r="T17" s="3">
        <f>15.38+16.8+16.54</f>
        <v>48.72</v>
      </c>
      <c r="U17" s="3">
        <f>17.72+23.02</f>
        <v>40.74</v>
      </c>
      <c r="V17" s="3"/>
      <c r="W17" s="3">
        <f t="shared" si="0"/>
        <v>248.38</v>
      </c>
    </row>
    <row r="18" spans="1:23">
      <c r="A18" s="1">
        <v>999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>
        <v>13.2</v>
      </c>
      <c r="O18" s="3">
        <v>11.04</v>
      </c>
      <c r="P18" s="3">
        <v>12.94</v>
      </c>
      <c r="Q18" s="3">
        <v>12.8</v>
      </c>
      <c r="R18" s="3"/>
      <c r="S18" s="3">
        <v>8.46</v>
      </c>
      <c r="T18" s="3">
        <f>17.2+12.66</f>
        <v>29.86</v>
      </c>
      <c r="U18" s="3">
        <v>18.46</v>
      </c>
      <c r="V18" s="3"/>
      <c r="W18" s="3">
        <f t="shared" si="0"/>
        <v>106.76</v>
      </c>
    </row>
    <row r="19" spans="1:23">
      <c r="A19" s="1">
        <v>1005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11.34</v>
      </c>
      <c r="N19" s="3">
        <v>14.54</v>
      </c>
      <c r="O19" s="3">
        <v>13.94</v>
      </c>
      <c r="P19" s="3">
        <v>4.56</v>
      </c>
      <c r="Q19" s="3">
        <v>1.96</v>
      </c>
      <c r="R19" s="3"/>
      <c r="S19" s="3">
        <v>10.66</v>
      </c>
      <c r="T19" s="3">
        <v>4.42</v>
      </c>
      <c r="U19" s="3">
        <v>4.26</v>
      </c>
      <c r="V19" s="3"/>
      <c r="W19" s="3">
        <f t="shared" si="0"/>
        <v>65.68</v>
      </c>
    </row>
    <row r="20" spans="1:23">
      <c r="A20" s="1">
        <v>478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>
        <v>18.4</v>
      </c>
      <c r="N20" s="3">
        <f>21.16+20.28+7.34</f>
        <v>48.78</v>
      </c>
      <c r="O20" s="3">
        <f>21.1+13.58+13.08</f>
        <v>47.76</v>
      </c>
      <c r="P20" s="3">
        <v>16.46</v>
      </c>
      <c r="Q20" s="3">
        <f>16.82+2.94</f>
        <v>19.76</v>
      </c>
      <c r="R20" s="3"/>
      <c r="S20" s="3">
        <f>22.36+20.02+6.94</f>
        <v>49.32</v>
      </c>
      <c r="T20" s="3">
        <f>16.26+19.74+16.98+14.5+15.64</f>
        <v>83.12</v>
      </c>
      <c r="U20" s="3">
        <f>17+5.78</f>
        <v>22.78</v>
      </c>
      <c r="V20" s="3"/>
      <c r="W20" s="3">
        <f t="shared" si="0"/>
        <v>306.38</v>
      </c>
    </row>
    <row r="21" spans="1:23">
      <c r="A21" s="1">
        <v>982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12</v>
      </c>
      <c r="N21" s="3">
        <f>19.22+14</f>
        <v>33.22</v>
      </c>
      <c r="O21" s="3">
        <v>10.9</v>
      </c>
      <c r="P21" s="3">
        <v>10.84</v>
      </c>
      <c r="Q21" s="3"/>
      <c r="R21" s="3"/>
      <c r="S21" s="3">
        <v>10.02</v>
      </c>
      <c r="T21" s="3">
        <f>18.78+25.04</f>
        <v>43.82</v>
      </c>
      <c r="U21" s="3">
        <v>1.68</v>
      </c>
      <c r="V21" s="3"/>
      <c r="W21" s="3">
        <f t="shared" si="0"/>
        <v>122.48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W349" si="6">SUM(C2:C348)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315.94</v>
      </c>
      <c r="N349" s="4">
        <f t="shared" si="6"/>
        <v>638.6</v>
      </c>
      <c r="O349" s="4">
        <f t="shared" si="6"/>
        <v>662.28</v>
      </c>
      <c r="P349" s="4">
        <f t="shared" si="6"/>
        <v>470.1</v>
      </c>
      <c r="Q349" s="4">
        <f t="shared" si="6"/>
        <v>241.4</v>
      </c>
      <c r="R349" s="4">
        <f t="shared" si="6"/>
        <v>0</v>
      </c>
      <c r="S349" s="4">
        <f t="shared" si="6"/>
        <v>333.54</v>
      </c>
      <c r="T349" s="4">
        <f t="shared" si="6"/>
        <v>893.06</v>
      </c>
      <c r="U349" s="4">
        <f t="shared" si="6"/>
        <v>437.98</v>
      </c>
      <c r="V349" s="4">
        <f t="shared" si="6"/>
        <v>0</v>
      </c>
      <c r="W349" s="4">
        <f t="shared" si="6"/>
        <v>3992.9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478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4.56</v>
      </c>
      <c r="N2" s="3">
        <v>14.46</v>
      </c>
      <c r="O2" s="3">
        <v>19.1</v>
      </c>
      <c r="P2" s="3">
        <v>20.38</v>
      </c>
      <c r="Q2" s="3">
        <v>2.8</v>
      </c>
      <c r="R2" s="3"/>
      <c r="S2" s="3">
        <f>17.1+14.16</f>
        <v>31.26</v>
      </c>
      <c r="T2" s="3">
        <v>24.5</v>
      </c>
      <c r="U2" s="3">
        <v>10.82</v>
      </c>
      <c r="V2" s="3"/>
      <c r="W2" s="3">
        <f t="shared" ref="W2:W67" si="0">SUM(C2:V2)</f>
        <v>127.88</v>
      </c>
    </row>
    <row r="3" spans="1:23">
      <c r="A3" s="1">
        <v>309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12.3</v>
      </c>
      <c r="N3" s="3">
        <f>13.18+18.34+5.14</f>
        <v>36.66</v>
      </c>
      <c r="O3" s="3">
        <f>17.74+8.96</f>
        <v>26.7</v>
      </c>
      <c r="P3" s="3">
        <f>13.12+3.4</f>
        <v>16.52</v>
      </c>
      <c r="Q3" s="3">
        <v>6</v>
      </c>
      <c r="R3" s="3"/>
      <c r="S3" s="3">
        <f>18.06+23.2+9.9</f>
        <v>51.16</v>
      </c>
      <c r="T3" s="3">
        <f>15.66+16.8+19.06+17.96+19.86+21.36+19.88+13.94</f>
        <v>144.52</v>
      </c>
      <c r="U3" s="3">
        <f>18.04+16.36+15.16+15.64</f>
        <v>65.2</v>
      </c>
      <c r="V3" s="3"/>
      <c r="W3" s="3">
        <f t="shared" si="0"/>
        <v>359.06</v>
      </c>
    </row>
    <row r="4" spans="1:23">
      <c r="A4" s="1">
        <v>2425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2.14</v>
      </c>
      <c r="N4" s="3"/>
      <c r="O4" s="3">
        <v>4.44</v>
      </c>
      <c r="P4" s="3">
        <v>1.9</v>
      </c>
      <c r="Q4" s="3"/>
      <c r="R4" s="3"/>
      <c r="S4" s="3">
        <v>4.72</v>
      </c>
      <c r="T4" s="3">
        <v>8.64</v>
      </c>
      <c r="U4" s="3">
        <v>1.88</v>
      </c>
      <c r="V4" s="3"/>
      <c r="W4" s="3">
        <f t="shared" si="0"/>
        <v>23.72</v>
      </c>
    </row>
    <row r="5" spans="1:23">
      <c r="A5" s="1">
        <v>4005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25.32+22.08+18.3+18.5+19.94+9.58</f>
        <v>113.72</v>
      </c>
      <c r="N5" s="3">
        <f>14.16+18.64+26.44+19.08+26.06+3.48</f>
        <v>107.86</v>
      </c>
      <c r="O5" s="3">
        <f>11.8+24.64+4.38</f>
        <v>40.82</v>
      </c>
      <c r="P5" s="3">
        <v>16.02</v>
      </c>
      <c r="Q5" s="3">
        <v>6.54</v>
      </c>
      <c r="R5" s="3"/>
      <c r="S5" s="3">
        <f>18.58+24.54+24.38+14.46</f>
        <v>81.96</v>
      </c>
      <c r="T5" s="3">
        <v>24.96</v>
      </c>
      <c r="U5" s="3">
        <v>3.96</v>
      </c>
      <c r="V5" s="3"/>
      <c r="W5" s="3">
        <f t="shared" si="0"/>
        <v>395.84</v>
      </c>
    </row>
    <row r="6" spans="1:23">
      <c r="A6" s="1">
        <v>1651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4.3</v>
      </c>
      <c r="N6" s="3">
        <v>24.24</v>
      </c>
      <c r="O6" s="3">
        <v>26.84</v>
      </c>
      <c r="P6" s="3">
        <v>24.3</v>
      </c>
      <c r="Q6" s="3">
        <v>7.2</v>
      </c>
      <c r="R6" s="3"/>
      <c r="S6" s="3">
        <v>6.92</v>
      </c>
      <c r="T6" s="3">
        <v>2.94</v>
      </c>
      <c r="U6" s="3">
        <v>2.38</v>
      </c>
      <c r="V6" s="3"/>
      <c r="W6" s="3">
        <f t="shared" si="0"/>
        <v>99.12</v>
      </c>
    </row>
    <row r="7" spans="1:23">
      <c r="A7" s="1">
        <v>260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>
        <v>1.94</v>
      </c>
      <c r="O7" s="3">
        <v>4.28</v>
      </c>
      <c r="P7" s="3">
        <v>1.08</v>
      </c>
      <c r="Q7" s="3"/>
      <c r="R7" s="3"/>
      <c r="S7" s="3">
        <v>2.9</v>
      </c>
      <c r="T7" s="3">
        <f>13.88+11.54</f>
        <v>25.42</v>
      </c>
      <c r="U7" s="3">
        <v>2.8</v>
      </c>
      <c r="V7" s="3"/>
      <c r="W7" s="3">
        <f t="shared" si="0"/>
        <v>38.42</v>
      </c>
    </row>
    <row r="8" spans="1:23">
      <c r="A8" s="1">
        <v>1792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f>15.56+4.74</f>
        <v>20.3</v>
      </c>
      <c r="N8" s="3">
        <f>14.48+16.02+7.2</f>
        <v>37.7</v>
      </c>
      <c r="O8" s="3">
        <f>14.88+16.24+17.84</f>
        <v>48.96</v>
      </c>
      <c r="P8" s="3">
        <f>15.42+15.08</f>
        <v>30.5</v>
      </c>
      <c r="Q8" s="3">
        <v>9.92</v>
      </c>
      <c r="R8" s="3"/>
      <c r="S8" s="3">
        <f>22.94+17.48+17.92+17.4+2.14</f>
        <v>77.88</v>
      </c>
      <c r="T8" s="3">
        <f>14.92+15.92+19.62+1.3</f>
        <v>51.76</v>
      </c>
      <c r="U8" s="3">
        <f>20.92+1.36</f>
        <v>22.28</v>
      </c>
      <c r="V8" s="3"/>
      <c r="W8" s="3">
        <f t="shared" si="0"/>
        <v>299.3</v>
      </c>
    </row>
    <row r="9" spans="1:23">
      <c r="A9" s="1">
        <v>309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16.04+2.08</f>
        <v>18.12</v>
      </c>
      <c r="N9" s="3">
        <f>17.82+19.42+17.78+7.42</f>
        <v>62.44</v>
      </c>
      <c r="O9" s="3">
        <f>16.16+21.34+17.4+5.46</f>
        <v>60.36</v>
      </c>
      <c r="P9" s="3">
        <f>12.68+17.24+11.4+1.12</f>
        <v>42.44</v>
      </c>
      <c r="Q9" s="3">
        <v>9.1</v>
      </c>
      <c r="R9" s="3"/>
      <c r="S9" s="3">
        <f>13.32+19.82+20.22</f>
        <v>53.36</v>
      </c>
      <c r="T9" s="3">
        <f>19.16+16.4+17.72+17.44+13.04+14.64+19.56+8.82</f>
        <v>126.78</v>
      </c>
      <c r="U9" s="3">
        <f>21.26+20.06+22.7+19.74</f>
        <v>83.76</v>
      </c>
      <c r="V9" s="3"/>
      <c r="W9" s="3">
        <f t="shared" si="0"/>
        <v>456.36</v>
      </c>
    </row>
    <row r="10" spans="1:23">
      <c r="A10" s="1">
        <v>4005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2.18</v>
      </c>
      <c r="N10" s="3">
        <v>7.22</v>
      </c>
      <c r="O10" s="3">
        <v>10.32</v>
      </c>
      <c r="P10" s="3">
        <v>10</v>
      </c>
      <c r="Q10" s="3">
        <v>1.92</v>
      </c>
      <c r="R10" s="3"/>
      <c r="S10" s="3">
        <f>13.54+6.7</f>
        <v>20.24</v>
      </c>
      <c r="T10" s="3">
        <f>19.06+18.26</f>
        <v>37.32</v>
      </c>
      <c r="U10" s="3">
        <v>5.76</v>
      </c>
      <c r="V10" s="3"/>
      <c r="W10" s="3">
        <f t="shared" si="0"/>
        <v>94.96</v>
      </c>
    </row>
    <row r="11" spans="1:23">
      <c r="A11" s="1">
        <v>2475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>
        <v>1.84</v>
      </c>
      <c r="O11" s="3"/>
      <c r="P11" s="3"/>
      <c r="Q11" s="3"/>
      <c r="R11" s="3"/>
      <c r="S11" s="3"/>
      <c r="T11" s="3">
        <v>3.44</v>
      </c>
      <c r="U11" s="3">
        <v>1.32</v>
      </c>
      <c r="V11" s="3"/>
      <c r="W11" s="3">
        <f t="shared" si="0"/>
        <v>6.6</v>
      </c>
    </row>
    <row r="12" spans="1:23">
      <c r="A12" s="1">
        <v>999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4.64</v>
      </c>
      <c r="N12" s="3">
        <v>15.76</v>
      </c>
      <c r="O12" s="3">
        <v>5.78</v>
      </c>
      <c r="P12" s="3">
        <v>14.92</v>
      </c>
      <c r="Q12" s="3">
        <v>2.72</v>
      </c>
      <c r="R12" s="3"/>
      <c r="S12" s="3">
        <v>8.76</v>
      </c>
      <c r="T12" s="3">
        <v>21.56</v>
      </c>
      <c r="U12" s="3">
        <v>13.36</v>
      </c>
      <c r="V12" s="3"/>
      <c r="W12" s="3">
        <f t="shared" si="0"/>
        <v>87.5</v>
      </c>
    </row>
    <row r="13" spans="1:23">
      <c r="A13" s="1">
        <v>1006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6.86</v>
      </c>
      <c r="N13" s="3">
        <v>13.66</v>
      </c>
      <c r="O13" s="3">
        <f>16.9+2.64</f>
        <v>19.54</v>
      </c>
      <c r="P13" s="3">
        <v>13.78</v>
      </c>
      <c r="Q13" s="3">
        <v>6.62</v>
      </c>
      <c r="R13" s="3"/>
      <c r="S13" s="3">
        <v>9.58</v>
      </c>
      <c r="T13" s="3">
        <f>15.26+8.44</f>
        <v>23.7</v>
      </c>
      <c r="U13" s="3">
        <v>7.46</v>
      </c>
      <c r="V13" s="3"/>
      <c r="W13" s="3">
        <f t="shared" si="0"/>
        <v>101.2</v>
      </c>
    </row>
    <row r="14" spans="1:23">
      <c r="A14" s="1">
        <v>450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>
        <v>8.82</v>
      </c>
      <c r="U14" s="3">
        <v>0.66</v>
      </c>
      <c r="V14" s="3"/>
      <c r="W14" s="3">
        <f t="shared" si="0"/>
        <v>9.48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189.12</v>
      </c>
      <c r="N349" s="4">
        <f t="shared" si="6"/>
        <v>323.78</v>
      </c>
      <c r="O349" s="4">
        <f t="shared" si="6"/>
        <v>267.14</v>
      </c>
      <c r="P349" s="4">
        <f t="shared" si="6"/>
        <v>191.84</v>
      </c>
      <c r="Q349" s="4">
        <f t="shared" si="6"/>
        <v>52.82</v>
      </c>
      <c r="R349" s="4">
        <f t="shared" si="6"/>
        <v>0</v>
      </c>
      <c r="S349" s="4">
        <f t="shared" si="6"/>
        <v>348.74</v>
      </c>
      <c r="T349" s="4">
        <f t="shared" si="6"/>
        <v>504.36</v>
      </c>
      <c r="U349" s="4">
        <f t="shared" si="6"/>
        <v>221.64</v>
      </c>
      <c r="V349" s="4">
        <f t="shared" si="6"/>
        <v>0</v>
      </c>
      <c r="W349" s="4">
        <f>SUM(W2:W348)</f>
        <v>2099.44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2" sqref="M2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4005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15.48+19.9+16.92</f>
        <v>52.3</v>
      </c>
      <c r="N2" s="3">
        <f>15.84+17.5+16.82+16.5+7.68</f>
        <v>74.34</v>
      </c>
      <c r="O2" s="3">
        <f>22.7+21.3+22.58+20.3</f>
        <v>86.88</v>
      </c>
      <c r="P2" s="3">
        <f>12.3+19.78+16.94</f>
        <v>49.02</v>
      </c>
      <c r="Q2" s="3">
        <f>18.78+18.04+9.5</f>
        <v>46.32</v>
      </c>
      <c r="R2" s="3"/>
      <c r="S2" s="3">
        <f>14.62+16.94+21.36+10.48+2.78</f>
        <v>66.18</v>
      </c>
      <c r="T2" s="3">
        <f>15.64+12.2</f>
        <v>27.84</v>
      </c>
      <c r="U2" s="3">
        <f>22.28+14.78</f>
        <v>37.06</v>
      </c>
      <c r="V2" s="3"/>
      <c r="W2" s="3">
        <f t="shared" ref="W2:W67" si="0">SUM(C2:V2)</f>
        <v>439.94</v>
      </c>
    </row>
    <row r="3" spans="1:23">
      <c r="A3" s="1">
        <v>1651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9.22</v>
      </c>
      <c r="N3" s="3">
        <v>20</v>
      </c>
      <c r="O3" s="3">
        <v>4.36</v>
      </c>
      <c r="P3" s="3">
        <v>4.28</v>
      </c>
      <c r="Q3" s="3">
        <v>0.78</v>
      </c>
      <c r="R3" s="3"/>
      <c r="S3" s="3"/>
      <c r="T3" s="3">
        <v>1.02</v>
      </c>
      <c r="U3" s="3"/>
      <c r="V3" s="3"/>
      <c r="W3" s="3">
        <f t="shared" si="0"/>
        <v>39.66</v>
      </c>
    </row>
    <row r="4" spans="1:23">
      <c r="A4" s="1">
        <v>260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17.32</v>
      </c>
      <c r="N4" s="3">
        <v>5.16</v>
      </c>
      <c r="O4" s="3">
        <v>6.16</v>
      </c>
      <c r="P4" s="3">
        <v>15.34</v>
      </c>
      <c r="Q4" s="3">
        <v>8.6</v>
      </c>
      <c r="R4" s="3"/>
      <c r="S4" s="3">
        <v>4.44</v>
      </c>
      <c r="T4" s="3">
        <v>3.22</v>
      </c>
      <c r="U4" s="3">
        <v>2.08</v>
      </c>
      <c r="V4" s="3"/>
      <c r="W4" s="3">
        <f t="shared" si="0"/>
        <v>62.32</v>
      </c>
    </row>
    <row r="5" spans="1:23">
      <c r="A5" s="1">
        <v>450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2.22</v>
      </c>
      <c r="N5" s="3"/>
      <c r="O5" s="3">
        <v>1.54</v>
      </c>
      <c r="P5" s="3">
        <v>2.04</v>
      </c>
      <c r="Q5" s="3"/>
      <c r="R5" s="3"/>
      <c r="S5" s="3">
        <v>2.94</v>
      </c>
      <c r="T5" s="3">
        <v>1.28</v>
      </c>
      <c r="U5" s="3">
        <v>0.78</v>
      </c>
      <c r="V5" s="3"/>
      <c r="W5" s="3">
        <f t="shared" si="0"/>
        <v>10.8</v>
      </c>
    </row>
    <row r="6" spans="1:23">
      <c r="A6" s="1">
        <v>478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12.02</v>
      </c>
      <c r="N6" s="3">
        <f>16.06+7.46</f>
        <v>23.52</v>
      </c>
      <c r="O6" s="3">
        <f>13.66+17.86</f>
        <v>31.52</v>
      </c>
      <c r="P6" s="3">
        <f>15.5+16.96+6.5</f>
        <v>38.96</v>
      </c>
      <c r="Q6" s="3">
        <f>11.46+19.9</f>
        <v>31.36</v>
      </c>
      <c r="R6" s="3"/>
      <c r="S6" s="3">
        <v>17</v>
      </c>
      <c r="T6" s="3">
        <v>17.22</v>
      </c>
      <c r="U6" s="3">
        <v>16.5</v>
      </c>
      <c r="V6" s="3"/>
      <c r="W6" s="3">
        <f t="shared" si="0"/>
        <v>188.1</v>
      </c>
    </row>
    <row r="7" spans="1:23">
      <c r="A7" s="1">
        <v>2475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5.66</v>
      </c>
      <c r="N7" s="3">
        <v>3.56</v>
      </c>
      <c r="O7" s="3">
        <v>1.56</v>
      </c>
      <c r="P7" s="3">
        <v>1.02</v>
      </c>
      <c r="Q7" s="3">
        <v>0.82</v>
      </c>
      <c r="R7" s="3"/>
      <c r="S7" s="3"/>
      <c r="T7" s="3"/>
      <c r="U7" s="3"/>
      <c r="V7" s="3"/>
      <c r="W7" s="3">
        <f t="shared" si="0"/>
        <v>12.62</v>
      </c>
    </row>
    <row r="8" spans="1:23">
      <c r="A8" s="1">
        <v>560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9.74</v>
      </c>
      <c r="N8" s="3">
        <v>9.18</v>
      </c>
      <c r="O8" s="3">
        <v>24.22</v>
      </c>
      <c r="P8" s="3">
        <v>15.16</v>
      </c>
      <c r="Q8" s="3">
        <v>12.06</v>
      </c>
      <c r="R8" s="3"/>
      <c r="S8" s="3"/>
      <c r="T8" s="3"/>
      <c r="U8" s="3">
        <v>2.26</v>
      </c>
      <c r="V8" s="3"/>
      <c r="W8" s="3">
        <f t="shared" si="0"/>
        <v>72.62</v>
      </c>
    </row>
    <row r="9" spans="1:23">
      <c r="A9" s="1">
        <v>999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2.46</v>
      </c>
      <c r="N9" s="3">
        <v>12.78</v>
      </c>
      <c r="O9" s="3">
        <v>11.92</v>
      </c>
      <c r="P9" s="3">
        <f>13.24+3.68</f>
        <v>16.92</v>
      </c>
      <c r="Q9" s="3">
        <f>15.2+0.82</f>
        <v>16.02</v>
      </c>
      <c r="R9" s="3"/>
      <c r="S9" s="3">
        <v>4.54</v>
      </c>
      <c r="T9" s="3">
        <v>19.14</v>
      </c>
      <c r="U9" s="3">
        <v>8</v>
      </c>
      <c r="V9" s="3"/>
      <c r="W9" s="3">
        <f t="shared" si="0"/>
        <v>91.78</v>
      </c>
    </row>
    <row r="10" spans="1:23">
      <c r="A10" s="1">
        <v>1006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6.68</v>
      </c>
      <c r="N10" s="3">
        <v>9.36</v>
      </c>
      <c r="O10" s="3">
        <v>14.98</v>
      </c>
      <c r="P10" s="3">
        <f>16.34+4.4</f>
        <v>20.74</v>
      </c>
      <c r="Q10" s="3">
        <v>12.34</v>
      </c>
      <c r="R10" s="3"/>
      <c r="S10" s="3">
        <v>12.68</v>
      </c>
      <c r="T10" s="3">
        <v>12.42</v>
      </c>
      <c r="U10" s="3">
        <v>18.7</v>
      </c>
      <c r="V10" s="3"/>
      <c r="W10" s="3">
        <f t="shared" si="0"/>
        <v>107.9</v>
      </c>
    </row>
    <row r="11" spans="1:23">
      <c r="A11" s="1">
        <v>1792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f>17.7+21.62</f>
        <v>39.32</v>
      </c>
      <c r="N11" s="3">
        <f>19.24+18.12+5.46</f>
        <v>42.82</v>
      </c>
      <c r="O11" s="3">
        <f>16.96+18.92+11.96</f>
        <v>47.84</v>
      </c>
      <c r="P11" s="3">
        <f>16.36+5.92</f>
        <v>22.28</v>
      </c>
      <c r="Q11" s="3">
        <f>13.02+9.38</f>
        <v>22.4</v>
      </c>
      <c r="R11" s="3"/>
      <c r="S11" s="3">
        <f>16.34+12.24</f>
        <v>28.58</v>
      </c>
      <c r="T11" s="3">
        <v>16.82</v>
      </c>
      <c r="U11" s="3">
        <f>14+12.98</f>
        <v>26.98</v>
      </c>
      <c r="V11" s="3"/>
      <c r="W11" s="3">
        <f t="shared" si="0"/>
        <v>247.04</v>
      </c>
    </row>
    <row r="12" spans="1:23">
      <c r="A12" s="1">
        <v>478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2.28</v>
      </c>
      <c r="N12" s="3">
        <v>16.24</v>
      </c>
      <c r="O12" s="3">
        <v>12.94</v>
      </c>
      <c r="P12" s="3">
        <v>6.24</v>
      </c>
      <c r="Q12" s="3">
        <v>2.78</v>
      </c>
      <c r="R12" s="3"/>
      <c r="S12" s="3">
        <v>2.98</v>
      </c>
      <c r="T12" s="3">
        <v>1.1</v>
      </c>
      <c r="U12" s="3">
        <v>2.28</v>
      </c>
      <c r="V12" s="3"/>
      <c r="W12" s="3">
        <f t="shared" si="0"/>
        <v>46.84</v>
      </c>
    </row>
    <row r="13" spans="1:23">
      <c r="A13" s="1">
        <v>2161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v>1.88</v>
      </c>
      <c r="O13" s="3">
        <v>8.74</v>
      </c>
      <c r="P13" s="3">
        <v>9.56</v>
      </c>
      <c r="Q13" s="3">
        <f>12.96+0.88</f>
        <v>13.84</v>
      </c>
      <c r="R13" s="3"/>
      <c r="S13" s="3">
        <v>2.46</v>
      </c>
      <c r="T13" s="3">
        <f>17.08+1.36</f>
        <v>18.44</v>
      </c>
      <c r="U13" s="3">
        <f>15.26+10.78</f>
        <v>26.04</v>
      </c>
      <c r="V13" s="3"/>
      <c r="W13" s="3">
        <f t="shared" si="0"/>
        <v>80.96</v>
      </c>
    </row>
    <row r="14" spans="1:23">
      <c r="A14" s="1">
        <v>309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16.88+19.22+6.86</f>
        <v>42.96</v>
      </c>
      <c r="N14" s="3">
        <f>15.48+16.14+15.12+18.48+22.24+8.82</f>
        <v>96.28</v>
      </c>
      <c r="O14" s="3">
        <f>14.64+16.54+21.58+27.18+5.52+18.08</f>
        <v>103.54</v>
      </c>
      <c r="P14" s="3">
        <f>17.54+14.86+16.54+18.7+16.98</f>
        <v>84.62</v>
      </c>
      <c r="Q14" s="3">
        <f>13.58+10.24+11.82+1.84</f>
        <v>37.48</v>
      </c>
      <c r="R14" s="3"/>
      <c r="S14" s="3">
        <f>16.3+23.8+16.4</f>
        <v>56.5</v>
      </c>
      <c r="T14" s="3">
        <f>16.16+15.56+18.86+9.94</f>
        <v>60.52</v>
      </c>
      <c r="U14" s="3">
        <f>14.68+13.44</f>
        <v>28.12</v>
      </c>
      <c r="V14" s="3"/>
      <c r="W14" s="3">
        <f t="shared" si="0"/>
        <v>510.02</v>
      </c>
    </row>
    <row r="15" spans="1:23">
      <c r="A15" s="1">
        <v>309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7.24</v>
      </c>
      <c r="N15" s="3"/>
      <c r="O15" s="3">
        <v>12.62</v>
      </c>
      <c r="P15" s="3">
        <v>10.18</v>
      </c>
      <c r="Q15" s="3"/>
      <c r="R15" s="3"/>
      <c r="S15" s="3"/>
      <c r="T15" s="3">
        <v>23.36</v>
      </c>
      <c r="U15" s="3">
        <v>7.46</v>
      </c>
      <c r="V15" s="3"/>
      <c r="W15" s="3">
        <f t="shared" si="0"/>
        <v>60.86</v>
      </c>
    </row>
    <row r="16" spans="1:23">
      <c r="A16" s="1">
        <v>2475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4.76</v>
      </c>
      <c r="N16" s="3">
        <v>6.88</v>
      </c>
      <c r="O16" s="3">
        <v>3.62</v>
      </c>
      <c r="P16" s="3">
        <v>4.62</v>
      </c>
      <c r="Q16" s="3">
        <v>3.88</v>
      </c>
      <c r="R16" s="3"/>
      <c r="S16" s="3"/>
      <c r="T16" s="3"/>
      <c r="U16" s="3">
        <v>3.1</v>
      </c>
      <c r="V16" s="3"/>
      <c r="W16" s="3">
        <f t="shared" si="0"/>
        <v>26.86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214.18</v>
      </c>
      <c r="N349" s="4">
        <f t="shared" si="6"/>
        <v>322</v>
      </c>
      <c r="O349" s="4">
        <f t="shared" si="6"/>
        <v>372.44</v>
      </c>
      <c r="P349" s="4">
        <f t="shared" si="6"/>
        <v>300.98</v>
      </c>
      <c r="Q349" s="4">
        <f t="shared" si="6"/>
        <v>208.68</v>
      </c>
      <c r="R349" s="4">
        <f t="shared" si="6"/>
        <v>0</v>
      </c>
      <c r="S349" s="4">
        <f t="shared" si="6"/>
        <v>198.3</v>
      </c>
      <c r="T349" s="4">
        <f t="shared" si="6"/>
        <v>202.38</v>
      </c>
      <c r="U349" s="4">
        <f t="shared" si="6"/>
        <v>179.36</v>
      </c>
      <c r="V349" s="4">
        <f t="shared" si="6"/>
        <v>0</v>
      </c>
      <c r="W349" s="4">
        <f>SUM(W2:W348)</f>
        <v>1998.32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2475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2.12</v>
      </c>
      <c r="N2" s="3">
        <v>3.56</v>
      </c>
      <c r="O2" s="3">
        <v>1.38</v>
      </c>
      <c r="P2" s="3">
        <v>6.08</v>
      </c>
      <c r="Q2" s="3">
        <v>0.78</v>
      </c>
      <c r="R2" s="3"/>
      <c r="S2" s="3"/>
      <c r="T2" s="3">
        <v>3.78</v>
      </c>
      <c r="U2" s="3">
        <v>0.64</v>
      </c>
      <c r="V2" s="3"/>
      <c r="W2" s="3">
        <f t="shared" ref="W2:W67" si="0">SUM(C2:V2)</f>
        <v>18.34</v>
      </c>
    </row>
    <row r="3" spans="1:23">
      <c r="A3" s="1">
        <v>260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10.5</v>
      </c>
      <c r="N3" s="3">
        <v>3.58</v>
      </c>
      <c r="O3" s="3">
        <v>11.6</v>
      </c>
      <c r="P3" s="3">
        <v>13.48</v>
      </c>
      <c r="Q3" s="3">
        <v>4.22</v>
      </c>
      <c r="R3" s="3"/>
      <c r="S3" s="3">
        <v>4.08</v>
      </c>
      <c r="T3" s="3">
        <v>5.54</v>
      </c>
      <c r="U3" s="3">
        <v>3.92</v>
      </c>
      <c r="V3" s="3"/>
      <c r="W3" s="3">
        <f t="shared" si="0"/>
        <v>56.92</v>
      </c>
    </row>
    <row r="4" spans="1:23">
      <c r="A4" s="1">
        <v>1006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2.84</v>
      </c>
      <c r="N4" s="3">
        <v>11.2</v>
      </c>
      <c r="O4" s="3">
        <f>15.48+9</f>
        <v>24.48</v>
      </c>
      <c r="P4" s="3">
        <v>16.3</v>
      </c>
      <c r="Q4" s="3">
        <v>9.92</v>
      </c>
      <c r="R4" s="3"/>
      <c r="S4" s="3">
        <v>16.78</v>
      </c>
      <c r="T4" s="3">
        <f>14.48+8.58</f>
        <v>23.06</v>
      </c>
      <c r="U4" s="3">
        <v>8.88</v>
      </c>
      <c r="V4" s="3"/>
      <c r="W4" s="3">
        <f t="shared" si="0"/>
        <v>113.46</v>
      </c>
    </row>
    <row r="5" spans="1:23">
      <c r="A5" s="1">
        <v>999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>
        <v>3.56</v>
      </c>
      <c r="O5" s="3">
        <v>2.9</v>
      </c>
      <c r="P5" s="3">
        <v>8.3</v>
      </c>
      <c r="Q5" s="3">
        <v>4.56</v>
      </c>
      <c r="R5" s="3"/>
      <c r="S5" s="3"/>
      <c r="T5" s="3">
        <v>1.16</v>
      </c>
      <c r="U5" s="3">
        <v>5.18</v>
      </c>
      <c r="V5" s="3"/>
      <c r="W5" s="3">
        <f t="shared" si="0"/>
        <v>25.66</v>
      </c>
    </row>
    <row r="6" spans="1:23">
      <c r="A6" s="1">
        <v>4005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14.56+2.08</f>
        <v>16.64</v>
      </c>
      <c r="N6" s="3">
        <f>23.96+17.16+16.24+20.64</f>
        <v>78</v>
      </c>
      <c r="O6" s="3">
        <f>16.98+17.26+17.94+18.72</f>
        <v>70.9</v>
      </c>
      <c r="P6" s="3">
        <f>14.8+18.48+16.54+16.1</f>
        <v>65.92</v>
      </c>
      <c r="Q6" s="3">
        <f>21.18+16.8/4+13.38+12.28+3.4</f>
        <v>54.44</v>
      </c>
      <c r="R6" s="3"/>
      <c r="S6" s="3">
        <v>6.5</v>
      </c>
      <c r="T6" s="3">
        <f>16.78+4</f>
        <v>20.78</v>
      </c>
      <c r="U6" s="3">
        <f>15.46+12.72</f>
        <v>28.18</v>
      </c>
      <c r="V6" s="3"/>
      <c r="W6" s="3">
        <f t="shared" si="0"/>
        <v>341.36</v>
      </c>
    </row>
    <row r="7" spans="1:23">
      <c r="A7" s="1">
        <v>478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>
        <v>11.62</v>
      </c>
      <c r="O7" s="3">
        <f>20.84+20.56</f>
        <v>41.4</v>
      </c>
      <c r="P7" s="3">
        <f>19.36+15.34+7.56</f>
        <v>42.26</v>
      </c>
      <c r="Q7" s="3">
        <v>16.24</v>
      </c>
      <c r="R7" s="3"/>
      <c r="S7" s="3">
        <v>15.28</v>
      </c>
      <c r="T7" s="3">
        <f>15.34+6.92</f>
        <v>22.26</v>
      </c>
      <c r="U7" s="3">
        <v>15.04</v>
      </c>
      <c r="V7" s="3"/>
      <c r="W7" s="3">
        <f t="shared" si="0"/>
        <v>164.1</v>
      </c>
    </row>
    <row r="8" spans="1:23">
      <c r="A8" s="1">
        <v>309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6.94</v>
      </c>
      <c r="N8" s="3">
        <f>13.38+17.94</f>
        <v>31.32</v>
      </c>
      <c r="O8" s="3">
        <f>16.94+13.82+16.34+21.02+7.02</f>
        <v>75.14</v>
      </c>
      <c r="P8" s="3">
        <f>15.8+14.24+19.62</f>
        <v>49.66</v>
      </c>
      <c r="Q8" s="3">
        <f>14.24+10.84+15.28</f>
        <v>40.36</v>
      </c>
      <c r="R8" s="3"/>
      <c r="S8" s="3">
        <f>16.78+9.48</f>
        <v>26.26</v>
      </c>
      <c r="T8" s="3">
        <f>16.8+16.8+22.52</f>
        <v>56.12</v>
      </c>
      <c r="U8" s="3">
        <f>15.3+17.98+21.32+10.26</f>
        <v>64.86</v>
      </c>
      <c r="V8" s="3"/>
      <c r="W8" s="3">
        <f t="shared" si="0"/>
        <v>350.66</v>
      </c>
    </row>
    <row r="9" spans="1:23">
      <c r="A9" s="1">
        <v>1792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v>4.78</v>
      </c>
      <c r="N9" s="3">
        <f>15.04+9.82+1.58</f>
        <v>26.44</v>
      </c>
      <c r="O9" s="3">
        <f>14.66+17.7+1.46</f>
        <v>33.82</v>
      </c>
      <c r="P9" s="3">
        <f>16.74+15.3+14.08+4.44</f>
        <v>50.56</v>
      </c>
      <c r="Q9" s="3">
        <f>14.06+9.2</f>
        <v>23.26</v>
      </c>
      <c r="R9" s="3"/>
      <c r="S9" s="3">
        <f>17.64+19.48</f>
        <v>37.12</v>
      </c>
      <c r="T9" s="3">
        <f>12.4+14.9+20.14</f>
        <v>47.44</v>
      </c>
      <c r="U9" s="3">
        <f>17.9+13.94+18.96</f>
        <v>50.8</v>
      </c>
      <c r="V9" s="3"/>
      <c r="W9" s="3">
        <f t="shared" si="0"/>
        <v>274.22</v>
      </c>
    </row>
    <row r="10" spans="1:23">
      <c r="A10" s="1">
        <v>4005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>
        <v>1.86</v>
      </c>
      <c r="O10" s="3">
        <v>4.48</v>
      </c>
      <c r="P10" s="3">
        <v>13.76</v>
      </c>
      <c r="Q10" s="3">
        <v>13.96</v>
      </c>
      <c r="R10" s="3"/>
      <c r="S10" s="3">
        <v>3.06</v>
      </c>
      <c r="T10" s="3">
        <f>18.88+1.48</f>
        <v>20.36</v>
      </c>
      <c r="U10" s="3">
        <v>18.48</v>
      </c>
      <c r="V10" s="3"/>
      <c r="W10" s="3">
        <f t="shared" si="0"/>
        <v>75.96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43.82</v>
      </c>
      <c r="N349" s="4">
        <f t="shared" si="6"/>
        <v>171.14</v>
      </c>
      <c r="O349" s="4">
        <f t="shared" si="6"/>
        <v>266.1</v>
      </c>
      <c r="P349" s="4">
        <f t="shared" si="6"/>
        <v>266.32</v>
      </c>
      <c r="Q349" s="4">
        <f t="shared" si="6"/>
        <v>167.74</v>
      </c>
      <c r="R349" s="4">
        <f t="shared" si="6"/>
        <v>0</v>
      </c>
      <c r="S349" s="4">
        <f t="shared" si="6"/>
        <v>109.08</v>
      </c>
      <c r="T349" s="4">
        <f t="shared" si="6"/>
        <v>200.5</v>
      </c>
      <c r="U349" s="4">
        <f t="shared" si="6"/>
        <v>195.98</v>
      </c>
      <c r="V349" s="4">
        <f t="shared" si="6"/>
        <v>0</v>
      </c>
      <c r="W349" s="4">
        <f>SUM(W2:W348)</f>
        <v>1420.68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4005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f>18.02+19.36+19.3+19.7+15.16+5.12</f>
        <v>96.66</v>
      </c>
      <c r="N2" s="3">
        <f>19.28+16.5+18.66+21.1+10.62</f>
        <v>86.16</v>
      </c>
      <c r="O2" s="3">
        <f>21.8+18.4+17.28+16.68+18.7+13.98</f>
        <v>106.84</v>
      </c>
      <c r="P2" s="3">
        <f>20.18+16.4+12.28+16.36+16.72</f>
        <v>81.94</v>
      </c>
      <c r="Q2" s="3">
        <f>14.32+16.56+16.28+13.94+3.42</f>
        <v>64.52</v>
      </c>
      <c r="R2" s="3"/>
      <c r="S2" s="3">
        <f>14.9+23.8+21.98+19.9+7.22+21.42</f>
        <v>109.22</v>
      </c>
      <c r="T2" s="3">
        <f>16.42+24.68+14.62+5.9</f>
        <v>61.62</v>
      </c>
      <c r="U2" s="3">
        <f>18.88+16.26+13.68+6.38</f>
        <v>55.2</v>
      </c>
      <c r="V2" s="3"/>
      <c r="W2" s="3">
        <f t="shared" ref="W2:W67" si="0">SUM(C2:V2)</f>
        <v>662.16</v>
      </c>
    </row>
    <row r="3" spans="1:23">
      <c r="A3" s="1">
        <v>478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16.62+7.1</f>
        <v>23.72</v>
      </c>
      <c r="N3" s="3">
        <f>15.74+14.2</f>
        <v>29.94</v>
      </c>
      <c r="O3" s="3">
        <f>13.38+15.62</f>
        <v>29</v>
      </c>
      <c r="P3" s="3">
        <f>20.92+16.6+11.24</f>
        <v>48.76</v>
      </c>
      <c r="Q3" s="3">
        <f>18+11.6</f>
        <v>29.6</v>
      </c>
      <c r="R3" s="3"/>
      <c r="S3" s="3">
        <f>15.44+5</f>
        <v>20.44</v>
      </c>
      <c r="T3" s="3">
        <v>16.74</v>
      </c>
      <c r="U3" s="3">
        <f>15.3+4.9</f>
        <v>20.2</v>
      </c>
      <c r="V3" s="3"/>
      <c r="W3" s="3">
        <f t="shared" si="0"/>
        <v>218.4</v>
      </c>
    </row>
    <row r="4" spans="1:23">
      <c r="A4" s="1">
        <v>309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17.82</v>
      </c>
      <c r="N4" s="3">
        <f>12.04+20.72+1.78</f>
        <v>34.54</v>
      </c>
      <c r="O4" s="3">
        <f>15.16+16.66+23.04+14+4.46</f>
        <v>73.32</v>
      </c>
      <c r="P4" s="3">
        <f>17.26+16.42+19.76+8.46</f>
        <v>61.9</v>
      </c>
      <c r="Q4" s="3">
        <f>15.1+21.16+8.7</f>
        <v>44.96</v>
      </c>
      <c r="R4" s="3"/>
      <c r="S4" s="3">
        <f>12.24+17.54+20.66</f>
        <v>50.44</v>
      </c>
      <c r="T4" s="3">
        <f>13.58+17+12.18+22.78+18.7+23.74+20.42</f>
        <v>128.4</v>
      </c>
      <c r="U4" s="3">
        <f>16.34+13.46+20.32+20.1+21.68+20.32</f>
        <v>112.22</v>
      </c>
      <c r="V4" s="3"/>
      <c r="W4" s="3">
        <f t="shared" si="0"/>
        <v>523.6</v>
      </c>
    </row>
    <row r="5" spans="1:23">
      <c r="A5" s="1">
        <v>2161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2.34</v>
      </c>
      <c r="N5" s="3">
        <v>5.14</v>
      </c>
      <c r="O5" s="3">
        <v>5.62</v>
      </c>
      <c r="P5" s="3">
        <v>1.08</v>
      </c>
      <c r="Q5" s="3">
        <v>0.8</v>
      </c>
      <c r="R5" s="3"/>
      <c r="S5" s="3"/>
      <c r="T5" s="3">
        <v>5.98</v>
      </c>
      <c r="U5" s="3">
        <v>3.6</v>
      </c>
      <c r="V5" s="3"/>
      <c r="W5" s="3">
        <f t="shared" si="0"/>
        <v>24.56</v>
      </c>
    </row>
    <row r="6" spans="1:23">
      <c r="A6" s="1">
        <v>1792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12.34</v>
      </c>
      <c r="N6" s="3">
        <f>16.12+11.12+5.28</f>
        <v>32.52</v>
      </c>
      <c r="O6" s="3">
        <f>12.82+23.78+11</f>
        <v>47.6</v>
      </c>
      <c r="P6" s="3">
        <f>13.8+20.02</f>
        <v>33.82</v>
      </c>
      <c r="Q6" s="3">
        <f>13.08+5.1</f>
        <v>18.18</v>
      </c>
      <c r="R6" s="3"/>
      <c r="S6" s="3">
        <v>15.1</v>
      </c>
      <c r="T6" s="3">
        <f>19.52+19.54+7.56</f>
        <v>46.62</v>
      </c>
      <c r="U6" s="3">
        <f>14.14+24.14</f>
        <v>38.28</v>
      </c>
      <c r="V6" s="3"/>
      <c r="W6" s="3">
        <f t="shared" si="0"/>
        <v>244.46</v>
      </c>
    </row>
    <row r="7" spans="1:23">
      <c r="A7" s="1">
        <v>444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2.54</v>
      </c>
      <c r="N7" s="3">
        <v>18.56</v>
      </c>
      <c r="O7" s="3">
        <v>17.7</v>
      </c>
      <c r="P7" s="3">
        <v>10.86</v>
      </c>
      <c r="Q7" s="3">
        <v>4.42</v>
      </c>
      <c r="R7" s="3"/>
      <c r="S7" s="3">
        <v>4.48</v>
      </c>
      <c r="T7" s="3">
        <v>14.46</v>
      </c>
      <c r="U7" s="3">
        <v>8.26</v>
      </c>
      <c r="V7" s="3"/>
      <c r="W7" s="3">
        <f t="shared" si="0"/>
        <v>81.28</v>
      </c>
    </row>
    <row r="8" spans="1:23">
      <c r="A8" s="1">
        <v>260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5.02</v>
      </c>
      <c r="N8" s="3">
        <v>6.86</v>
      </c>
      <c r="O8" s="3"/>
      <c r="P8" s="3">
        <v>2.24</v>
      </c>
      <c r="Q8" s="3">
        <v>7.12</v>
      </c>
      <c r="R8" s="3"/>
      <c r="S8" s="3">
        <v>10.68</v>
      </c>
      <c r="T8" s="3">
        <f>18.52+1.36</f>
        <v>19.88</v>
      </c>
      <c r="U8" s="3">
        <v>12.32</v>
      </c>
      <c r="V8" s="3"/>
      <c r="W8" s="3">
        <f t="shared" si="0"/>
        <v>64.12</v>
      </c>
    </row>
    <row r="9" spans="1:23">
      <c r="A9" s="1">
        <v>1006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>
        <v>9.16</v>
      </c>
      <c r="P9" s="3">
        <v>12.68</v>
      </c>
      <c r="Q9" s="3"/>
      <c r="R9" s="3"/>
      <c r="S9" s="3">
        <v>14.3</v>
      </c>
      <c r="T9" s="3">
        <f>15.1+4.8</f>
        <v>19.9</v>
      </c>
      <c r="U9" s="3">
        <v>17</v>
      </c>
      <c r="V9" s="3"/>
      <c r="W9" s="3">
        <f t="shared" si="0"/>
        <v>73.04</v>
      </c>
    </row>
    <row r="10" spans="1:23">
      <c r="A10" s="1">
        <v>999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>
        <v>10.66</v>
      </c>
      <c r="O10" s="3">
        <v>13.76</v>
      </c>
      <c r="P10" s="3">
        <v>13.5</v>
      </c>
      <c r="Q10" s="3"/>
      <c r="R10" s="3"/>
      <c r="S10" s="3">
        <v>7.5</v>
      </c>
      <c r="T10" s="3">
        <f>13.5+7.04</f>
        <v>20.54</v>
      </c>
      <c r="U10" s="3">
        <f>15.6+8.4</f>
        <v>24</v>
      </c>
      <c r="V10" s="3"/>
      <c r="W10" s="3">
        <f t="shared" si="0"/>
        <v>89.96</v>
      </c>
    </row>
    <row r="11" spans="1:23">
      <c r="A11" s="1">
        <v>560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>
        <v>2.26</v>
      </c>
      <c r="N11" s="3">
        <v>20.62</v>
      </c>
      <c r="O11" s="3">
        <v>16.84</v>
      </c>
      <c r="P11" s="3">
        <v>15.44</v>
      </c>
      <c r="Q11" s="3">
        <v>5.84</v>
      </c>
      <c r="R11" s="3"/>
      <c r="S11" s="3">
        <v>5.52</v>
      </c>
      <c r="T11" s="3">
        <v>4.78</v>
      </c>
      <c r="U11" s="3"/>
      <c r="V11" s="3"/>
      <c r="W11" s="3">
        <f t="shared" si="0"/>
        <v>71.3</v>
      </c>
    </row>
    <row r="12" spans="1:23">
      <c r="A12" s="1">
        <v>2475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2.54</v>
      </c>
      <c r="N12" s="3">
        <v>3.82</v>
      </c>
      <c r="O12" s="3">
        <v>5.82</v>
      </c>
      <c r="P12" s="3">
        <v>2.38</v>
      </c>
      <c r="Q12" s="3">
        <v>3.72</v>
      </c>
      <c r="R12" s="3"/>
      <c r="S12" s="3"/>
      <c r="T12" s="3">
        <v>1.36</v>
      </c>
      <c r="U12" s="3">
        <v>3.4</v>
      </c>
      <c r="V12" s="3"/>
      <c r="W12" s="3">
        <f t="shared" si="0"/>
        <v>23.04</v>
      </c>
    </row>
    <row r="13" spans="1:23">
      <c r="A13" s="1">
        <v>2475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>
        <v>1.52</v>
      </c>
      <c r="O13" s="3"/>
      <c r="P13" s="3">
        <v>4.86</v>
      </c>
      <c r="Q13" s="3">
        <v>0.72</v>
      </c>
      <c r="R13" s="3"/>
      <c r="S13" s="3"/>
      <c r="T13" s="3"/>
      <c r="U13" s="3"/>
      <c r="V13" s="3"/>
      <c r="W13" s="3">
        <f t="shared" si="0"/>
        <v>7.1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165.24</v>
      </c>
      <c r="N349" s="4">
        <f t="shared" si="6"/>
        <v>250.34</v>
      </c>
      <c r="O349" s="4">
        <f t="shared" si="6"/>
        <v>325.66</v>
      </c>
      <c r="P349" s="4">
        <f t="shared" si="6"/>
        <v>289.46</v>
      </c>
      <c r="Q349" s="4">
        <f t="shared" si="6"/>
        <v>179.88</v>
      </c>
      <c r="R349" s="4">
        <f t="shared" si="6"/>
        <v>0</v>
      </c>
      <c r="S349" s="4">
        <f t="shared" si="6"/>
        <v>237.68</v>
      </c>
      <c r="T349" s="4">
        <f t="shared" si="6"/>
        <v>340.28</v>
      </c>
      <c r="U349" s="4">
        <f t="shared" si="6"/>
        <v>294.48</v>
      </c>
      <c r="V349" s="4">
        <f t="shared" si="6"/>
        <v>0</v>
      </c>
      <c r="W349" s="4">
        <f>SUM(W2:W348)</f>
        <v>2083.02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444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>
        <v>1.62</v>
      </c>
      <c r="O2" s="3">
        <v>5.08</v>
      </c>
      <c r="P2" s="3">
        <v>10.78</v>
      </c>
      <c r="Q2" s="3">
        <v>2.42</v>
      </c>
      <c r="R2" s="3"/>
      <c r="S2" s="3"/>
      <c r="T2" s="3">
        <v>6.7</v>
      </c>
      <c r="U2" s="3">
        <v>3.66</v>
      </c>
      <c r="V2" s="3"/>
      <c r="W2" s="3">
        <f t="shared" ref="W2:W67" si="0">SUM(C2:V2)</f>
        <v>30.26</v>
      </c>
    </row>
    <row r="3" spans="1:23">
      <c r="A3" s="1">
        <v>478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7.56</v>
      </c>
      <c r="N3" s="3">
        <f>15.58+18.06</f>
        <v>33.64</v>
      </c>
      <c r="O3" s="3">
        <f>19.06+20.22</f>
        <v>39.28</v>
      </c>
      <c r="P3" s="3">
        <f>13.46+15.82+2.54</f>
        <v>31.82</v>
      </c>
      <c r="Q3" s="3">
        <f>13.4+4.96</f>
        <v>18.36</v>
      </c>
      <c r="R3" s="3"/>
      <c r="S3" s="3">
        <v>2.36</v>
      </c>
      <c r="T3" s="3">
        <v>9.44</v>
      </c>
      <c r="U3" s="3">
        <v>9.6</v>
      </c>
      <c r="V3" s="3"/>
      <c r="W3" s="3">
        <f t="shared" si="0"/>
        <v>152.06</v>
      </c>
    </row>
    <row r="4" spans="1:23">
      <c r="A4" s="1">
        <v>260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9.86</v>
      </c>
      <c r="N4" s="3">
        <v>6.96</v>
      </c>
      <c r="O4" s="3">
        <v>14.2</v>
      </c>
      <c r="P4" s="3">
        <v>9.84</v>
      </c>
      <c r="Q4" s="3">
        <v>5.06</v>
      </c>
      <c r="R4" s="3"/>
      <c r="S4" s="3">
        <v>4.98</v>
      </c>
      <c r="T4" s="3">
        <v>3.72</v>
      </c>
      <c r="U4" s="3">
        <v>8.34</v>
      </c>
      <c r="V4" s="3"/>
      <c r="W4" s="3">
        <f t="shared" si="0"/>
        <v>62.96</v>
      </c>
    </row>
    <row r="5" spans="1:23">
      <c r="A5" s="1">
        <v>4005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19.66+9.96</f>
        <v>29.62</v>
      </c>
      <c r="N5" s="3">
        <f>16.06+13.38</f>
        <v>29.44</v>
      </c>
      <c r="O5" s="3">
        <f>24.8+14.92</f>
        <v>39.72</v>
      </c>
      <c r="P5" s="3">
        <f>20.62+10.92</f>
        <v>31.54</v>
      </c>
      <c r="Q5" s="3">
        <f>18.26+6.48</f>
        <v>24.74</v>
      </c>
      <c r="R5" s="3"/>
      <c r="S5" s="3">
        <v>13.08</v>
      </c>
      <c r="T5" s="3">
        <v>9.62</v>
      </c>
      <c r="U5" s="3">
        <v>20.24</v>
      </c>
      <c r="V5" s="3"/>
      <c r="W5" s="3">
        <f t="shared" si="0"/>
        <v>198</v>
      </c>
    </row>
    <row r="6" spans="1:23">
      <c r="A6" s="1">
        <v>309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f>15.5+9.94</f>
        <v>25.44</v>
      </c>
      <c r="N6" s="3">
        <f>15.48+16.1+5.52</f>
        <v>37.1</v>
      </c>
      <c r="O6" s="3">
        <f>14.52+16.18+8.04</f>
        <v>38.74</v>
      </c>
      <c r="P6" s="3">
        <f>18.46+13.44+3.42</f>
        <v>35.32</v>
      </c>
      <c r="Q6" s="3">
        <f>13.12+7.2</f>
        <v>20.32</v>
      </c>
      <c r="R6" s="3"/>
      <c r="S6" s="3">
        <f>18.6+21.52+11.94</f>
        <v>52.06</v>
      </c>
      <c r="T6" s="3">
        <f>15.02+18.8+16.4+16.38+9.26</f>
        <v>75.86</v>
      </c>
      <c r="U6" s="3">
        <f>21.12+12.62</f>
        <v>33.74</v>
      </c>
      <c r="V6" s="3"/>
      <c r="W6" s="3">
        <f t="shared" si="0"/>
        <v>318.58</v>
      </c>
    </row>
    <row r="7" spans="1:23">
      <c r="A7" s="1">
        <v>2425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>
        <v>3.68</v>
      </c>
      <c r="O7" s="3">
        <v>1.5</v>
      </c>
      <c r="P7" s="3">
        <v>1.06</v>
      </c>
      <c r="Q7" s="3">
        <v>0.82</v>
      </c>
      <c r="R7" s="3"/>
      <c r="S7" s="3">
        <v>3.18</v>
      </c>
      <c r="T7" s="3">
        <v>1.3</v>
      </c>
      <c r="U7" s="3">
        <v>1.42</v>
      </c>
      <c r="V7" s="3"/>
      <c r="W7" s="3">
        <f t="shared" si="0"/>
        <v>12.96</v>
      </c>
    </row>
    <row r="8" spans="1:23">
      <c r="A8" s="1">
        <v>2161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6.78</v>
      </c>
      <c r="N8" s="3">
        <v>8.6</v>
      </c>
      <c r="O8" s="3">
        <v>13.98</v>
      </c>
      <c r="P8" s="3">
        <v>19.46</v>
      </c>
      <c r="Q8" s="3">
        <v>7.2</v>
      </c>
      <c r="R8" s="3"/>
      <c r="S8" s="3">
        <v>4.46</v>
      </c>
      <c r="T8" s="3">
        <v>9.98</v>
      </c>
      <c r="U8" s="3">
        <v>7.5</v>
      </c>
      <c r="V8" s="3"/>
      <c r="W8" s="3">
        <f t="shared" si="0"/>
        <v>77.96</v>
      </c>
    </row>
    <row r="9" spans="1:23">
      <c r="A9" s="1">
        <v>1006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>
        <v>5.26</v>
      </c>
      <c r="O9" s="3">
        <v>2.54</v>
      </c>
      <c r="P9" s="3">
        <v>7.88</v>
      </c>
      <c r="Q9" s="3">
        <v>2.6</v>
      </c>
      <c r="R9" s="3"/>
      <c r="S9" s="3">
        <v>9.72</v>
      </c>
      <c r="T9" s="3">
        <v>18.74</v>
      </c>
      <c r="U9" s="3">
        <v>10.18</v>
      </c>
      <c r="V9" s="3"/>
      <c r="W9" s="3">
        <f t="shared" si="0"/>
        <v>56.92</v>
      </c>
    </row>
    <row r="10" spans="1:23">
      <c r="A10" s="1">
        <v>999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4.16</v>
      </c>
      <c r="N10" s="3">
        <v>1.84</v>
      </c>
      <c r="O10" s="3">
        <v>5.54</v>
      </c>
      <c r="P10" s="3">
        <v>7.8</v>
      </c>
      <c r="Q10" s="3">
        <v>1.94</v>
      </c>
      <c r="R10" s="3"/>
      <c r="S10" s="3">
        <v>8.4</v>
      </c>
      <c r="T10" s="3">
        <v>6.74</v>
      </c>
      <c r="U10" s="3">
        <f>16.62+14.84</f>
        <v>31.46</v>
      </c>
      <c r="V10" s="3"/>
      <c r="W10" s="3">
        <f t="shared" si="0"/>
        <v>67.88</v>
      </c>
    </row>
    <row r="11" spans="1:23">
      <c r="A11" s="1">
        <v>2475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>
        <v>9.32</v>
      </c>
      <c r="Q11" s="3">
        <v>7.48</v>
      </c>
      <c r="R11" s="3"/>
      <c r="S11" s="3"/>
      <c r="T11" s="3"/>
      <c r="U11" s="3">
        <v>6.66</v>
      </c>
      <c r="V11" s="3"/>
      <c r="W11" s="3">
        <f t="shared" si="0"/>
        <v>23.46</v>
      </c>
    </row>
    <row r="12" spans="1:23">
      <c r="A12" s="1">
        <v>1792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2.06</v>
      </c>
      <c r="N12" s="3">
        <v>3.82</v>
      </c>
      <c r="O12" s="3">
        <v>9.04</v>
      </c>
      <c r="P12" s="3">
        <v>10.5</v>
      </c>
      <c r="Q12" s="3">
        <v>1.92</v>
      </c>
      <c r="R12" s="3"/>
      <c r="S12" s="3">
        <v>6.34</v>
      </c>
      <c r="T12" s="3">
        <f>18.14+17.38</f>
        <v>35.52</v>
      </c>
      <c r="U12" s="3">
        <v>15.24</v>
      </c>
      <c r="V12" s="3"/>
      <c r="W12" s="3">
        <f t="shared" si="0"/>
        <v>84.44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85.48</v>
      </c>
      <c r="N349" s="4">
        <f t="shared" si="6"/>
        <v>131.96</v>
      </c>
      <c r="O349" s="4">
        <f t="shared" si="6"/>
        <v>169.62</v>
      </c>
      <c r="P349" s="4">
        <f t="shared" si="6"/>
        <v>175.32</v>
      </c>
      <c r="Q349" s="4">
        <f t="shared" si="6"/>
        <v>92.86</v>
      </c>
      <c r="R349" s="4">
        <f t="shared" si="6"/>
        <v>0</v>
      </c>
      <c r="S349" s="4">
        <f t="shared" si="6"/>
        <v>104.58</v>
      </c>
      <c r="T349" s="4">
        <f t="shared" si="6"/>
        <v>177.62</v>
      </c>
      <c r="U349" s="4">
        <f t="shared" si="6"/>
        <v>148.04</v>
      </c>
      <c r="V349" s="4">
        <f t="shared" si="6"/>
        <v>0</v>
      </c>
      <c r="W349" s="4">
        <f>SUM(W2:W348)</f>
        <v>1085.48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2475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>
        <v>1.56</v>
      </c>
      <c r="O2" s="3">
        <v>8.06</v>
      </c>
      <c r="P2" s="3">
        <v>7.5</v>
      </c>
      <c r="Q2" s="3">
        <v>3.32</v>
      </c>
      <c r="R2" s="3"/>
      <c r="S2" s="3"/>
      <c r="T2" s="3">
        <v>1.48</v>
      </c>
      <c r="U2" s="3">
        <v>2.7</v>
      </c>
      <c r="V2" s="3"/>
      <c r="W2" s="3">
        <f t="shared" ref="W2:W67" si="0">SUM(C2:V2)</f>
        <v>24.62</v>
      </c>
    </row>
    <row r="3" spans="1:23">
      <c r="A3" s="1">
        <v>444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>
        <v>2.04</v>
      </c>
      <c r="Q3" s="3">
        <v>0.9</v>
      </c>
      <c r="R3" s="3"/>
      <c r="S3" s="3"/>
      <c r="T3" s="3">
        <v>5.82</v>
      </c>
      <c r="U3" s="3">
        <v>6.26</v>
      </c>
      <c r="V3" s="3"/>
      <c r="W3" s="3">
        <f t="shared" si="0"/>
        <v>15.02</v>
      </c>
    </row>
    <row r="4" spans="1:23">
      <c r="A4" s="1">
        <v>478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f>11.96+8.54</f>
        <v>20.5</v>
      </c>
      <c r="N4" s="3">
        <f>13.14+15.36+11.36</f>
        <v>39.86</v>
      </c>
      <c r="O4" s="3">
        <f>16.18+15+19.78+4.04</f>
        <v>55</v>
      </c>
      <c r="P4" s="3">
        <f>13.54+14.54+9.64</f>
        <v>37.72</v>
      </c>
      <c r="Q4" s="3">
        <v>15.26</v>
      </c>
      <c r="R4" s="3"/>
      <c r="S4" s="3">
        <v>7.78</v>
      </c>
      <c r="T4" s="3">
        <f>12.56+12</f>
        <v>24.56</v>
      </c>
      <c r="U4" s="3">
        <f>16.78+15.3</f>
        <v>32.08</v>
      </c>
      <c r="V4" s="3"/>
      <c r="W4" s="3">
        <f t="shared" si="0"/>
        <v>232.76</v>
      </c>
    </row>
    <row r="5" spans="1:23">
      <c r="A5" s="1">
        <v>4005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f>6.54+2.36</f>
        <v>8.9</v>
      </c>
      <c r="N5" s="3">
        <f>16.96+13.86+10.34+11.8</f>
        <v>52.96</v>
      </c>
      <c r="O5" s="3">
        <f>14.16+16.3+12.92</f>
        <v>43.38</v>
      </c>
      <c r="P5" s="3">
        <f>15.14+16.08+13.64</f>
        <v>44.86</v>
      </c>
      <c r="Q5" s="3">
        <f>20.74+14.08+17</f>
        <v>51.82</v>
      </c>
      <c r="R5" s="3"/>
      <c r="S5" s="3">
        <v>15.24</v>
      </c>
      <c r="T5" s="3">
        <v>7.96</v>
      </c>
      <c r="U5" s="3">
        <f>15.42+11.68</f>
        <v>27.1</v>
      </c>
      <c r="V5" s="3"/>
      <c r="W5" s="3">
        <f t="shared" si="0"/>
        <v>252.22</v>
      </c>
    </row>
    <row r="6" spans="1:23">
      <c r="A6" s="1">
        <v>309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4.3</v>
      </c>
      <c r="N6" s="3">
        <v>16.06</v>
      </c>
      <c r="O6" s="3">
        <f>17.24+7.2</f>
        <v>24.44</v>
      </c>
      <c r="P6" s="3">
        <f>16.2+13.1+2.12</f>
        <v>31.42</v>
      </c>
      <c r="Q6" s="3">
        <f>12.26+5.3</f>
        <v>17.56</v>
      </c>
      <c r="R6" s="3"/>
      <c r="S6" s="3">
        <f>18.74+6.5</f>
        <v>25.24</v>
      </c>
      <c r="T6" s="3">
        <f>18.24+13.74+16.58+12.76</f>
        <v>61.32</v>
      </c>
      <c r="U6" s="3">
        <f>18.56+18.12+11.38</f>
        <v>48.06</v>
      </c>
      <c r="V6" s="3"/>
      <c r="W6" s="3">
        <f t="shared" si="0"/>
        <v>228.4</v>
      </c>
    </row>
    <row r="7" spans="1:23">
      <c r="A7" s="1">
        <v>1006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>
        <v>5.22</v>
      </c>
      <c r="O7" s="3">
        <v>12.46</v>
      </c>
      <c r="P7" s="3">
        <v>4.48</v>
      </c>
      <c r="Q7" s="3">
        <v>5.34</v>
      </c>
      <c r="R7" s="3"/>
      <c r="S7" s="3">
        <v>8.96</v>
      </c>
      <c r="T7" s="3">
        <v>8.92</v>
      </c>
      <c r="U7" s="3">
        <v>2.62</v>
      </c>
      <c r="V7" s="3"/>
      <c r="W7" s="3">
        <f t="shared" si="0"/>
        <v>48</v>
      </c>
    </row>
    <row r="8" spans="1:23">
      <c r="A8" s="1">
        <v>1792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3</v>
      </c>
      <c r="N8" s="3">
        <v>18.6</v>
      </c>
      <c r="O8" s="3">
        <v>11.6</v>
      </c>
      <c r="P8" s="3">
        <v>9.86</v>
      </c>
      <c r="Q8" s="3">
        <v>13.54</v>
      </c>
      <c r="R8" s="3"/>
      <c r="S8" s="3">
        <v>4.56</v>
      </c>
      <c r="T8" s="3">
        <v>13.76</v>
      </c>
      <c r="U8" s="3">
        <v>12.68</v>
      </c>
      <c r="V8" s="3"/>
      <c r="W8" s="3">
        <f t="shared" si="0"/>
        <v>87.6</v>
      </c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36.7</v>
      </c>
      <c r="N349" s="4">
        <f t="shared" si="6"/>
        <v>134.26</v>
      </c>
      <c r="O349" s="4">
        <f t="shared" si="6"/>
        <v>154.94</v>
      </c>
      <c r="P349" s="4">
        <f t="shared" si="6"/>
        <v>137.88</v>
      </c>
      <c r="Q349" s="4">
        <f t="shared" si="6"/>
        <v>107.74</v>
      </c>
      <c r="R349" s="4">
        <f t="shared" si="6"/>
        <v>0</v>
      </c>
      <c r="S349" s="4">
        <f t="shared" si="6"/>
        <v>61.78</v>
      </c>
      <c r="T349" s="4">
        <f t="shared" si="6"/>
        <v>123.82</v>
      </c>
      <c r="U349" s="4">
        <f t="shared" si="6"/>
        <v>131.5</v>
      </c>
      <c r="V349" s="4">
        <f t="shared" si="6"/>
        <v>0</v>
      </c>
      <c r="W349" s="4">
        <f>SUM(W2:W348)</f>
        <v>888.62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1006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4.22</v>
      </c>
      <c r="N2" s="3">
        <v>6.3</v>
      </c>
      <c r="O2" s="3">
        <v>4.94</v>
      </c>
      <c r="P2" s="3">
        <v>4.04</v>
      </c>
      <c r="Q2" s="3">
        <v>3.24</v>
      </c>
      <c r="R2" s="3"/>
      <c r="S2" s="3">
        <v>7.34</v>
      </c>
      <c r="T2" s="3">
        <v>3.56</v>
      </c>
      <c r="U2" s="3">
        <v>2.24</v>
      </c>
      <c r="V2" s="3"/>
      <c r="W2" s="3">
        <f t="shared" ref="W2:W67" si="0">SUM(C2:V2)</f>
        <v>35.88</v>
      </c>
    </row>
    <row r="3" spans="1:23">
      <c r="A3" s="1">
        <v>309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4.1</v>
      </c>
      <c r="N3" s="3">
        <f>15.32+5.14</f>
        <v>20.46</v>
      </c>
      <c r="O3" s="3">
        <v>10.98</v>
      </c>
      <c r="P3" s="3">
        <v>10.06</v>
      </c>
      <c r="Q3" s="3">
        <v>1.92</v>
      </c>
      <c r="R3" s="3"/>
      <c r="S3" s="3">
        <v>6.82</v>
      </c>
      <c r="T3" s="3">
        <f>18.48+15.3</f>
        <v>33.78</v>
      </c>
      <c r="U3" s="3">
        <v>13.56</v>
      </c>
      <c r="V3" s="3"/>
      <c r="W3" s="3">
        <f t="shared" si="0"/>
        <v>101.68</v>
      </c>
    </row>
    <row r="4" spans="1:23">
      <c r="A4" s="1">
        <v>2161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>
        <v>4.2</v>
      </c>
      <c r="N4" s="3">
        <f>1.82+4.74</f>
        <v>6.56</v>
      </c>
      <c r="O4" s="3">
        <v>2.84</v>
      </c>
      <c r="P4" s="3">
        <v>2.18</v>
      </c>
      <c r="Q4" s="3"/>
      <c r="R4" s="3"/>
      <c r="S4" s="3">
        <v>3.34</v>
      </c>
      <c r="T4" s="3">
        <v>18.72</v>
      </c>
      <c r="U4" s="3">
        <v>2.08</v>
      </c>
      <c r="V4" s="3"/>
      <c r="W4" s="3">
        <f t="shared" si="0"/>
        <v>39.92</v>
      </c>
    </row>
    <row r="5" spans="1:23">
      <c r="A5" s="1">
        <v>478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8.96</v>
      </c>
      <c r="N5" s="3">
        <v>17.14</v>
      </c>
      <c r="O5" s="3">
        <f>20.38+6.98</f>
        <v>27.36</v>
      </c>
      <c r="P5" s="3">
        <f>21.56+3.16</f>
        <v>24.72</v>
      </c>
      <c r="Q5" s="3">
        <v>9.04</v>
      </c>
      <c r="R5" s="3"/>
      <c r="S5" s="3">
        <v>9.24</v>
      </c>
      <c r="T5" s="3">
        <v>6.58</v>
      </c>
      <c r="U5" s="3">
        <v>2.84</v>
      </c>
      <c r="V5" s="3"/>
      <c r="W5" s="3">
        <f t="shared" si="0"/>
        <v>105.88</v>
      </c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f t="shared" si="0"/>
        <v>0</v>
      </c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f t="shared" si="0"/>
        <v>0</v>
      </c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f t="shared" si="0"/>
        <v>0</v>
      </c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f t="shared" si="0"/>
        <v>0</v>
      </c>
    </row>
    <row r="13" spans="1:23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 t="shared" si="0"/>
        <v>0</v>
      </c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21.48</v>
      </c>
      <c r="N349" s="4">
        <f t="shared" si="6"/>
        <v>50.46</v>
      </c>
      <c r="O349" s="4">
        <f t="shared" si="6"/>
        <v>46.12</v>
      </c>
      <c r="P349" s="4">
        <f t="shared" si="6"/>
        <v>41</v>
      </c>
      <c r="Q349" s="4">
        <f t="shared" si="6"/>
        <v>14.2</v>
      </c>
      <c r="R349" s="4">
        <f t="shared" si="6"/>
        <v>0</v>
      </c>
      <c r="S349" s="4">
        <f t="shared" si="6"/>
        <v>26.74</v>
      </c>
      <c r="T349" s="4">
        <f t="shared" si="6"/>
        <v>62.64</v>
      </c>
      <c r="U349" s="4">
        <f t="shared" si="6"/>
        <v>20.72</v>
      </c>
      <c r="V349" s="4">
        <f t="shared" si="6"/>
        <v>0</v>
      </c>
      <c r="W349" s="4">
        <f>SUM(W2:W348)</f>
        <v>283.36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9"/>
  <sheetViews>
    <sheetView workbookViewId="0">
      <pane ySplit="1" topLeftCell="A2" activePane="bottomLeft" state="frozen"/>
      <selection/>
      <selection pane="bottomLeft" activeCell="M1" sqref="M1"/>
    </sheetView>
  </sheetViews>
  <sheetFormatPr defaultColWidth="11" defaultRowHeight="14.25"/>
  <cols>
    <col min="1" max="1" width="9.56923076923077" customWidth="1"/>
    <col min="2" max="12" width="11" hidden="1" customWidth="1"/>
    <col min="13" max="14" width="7.85641025641026" customWidth="1"/>
    <col min="15" max="15" width="7.42564102564103" customWidth="1"/>
    <col min="16" max="16" width="8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8.13846153846154" customWidth="1"/>
  </cols>
  <sheetData>
    <row r="1" spans="1:2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">
        <v>364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1.96</v>
      </c>
      <c r="N2" s="3"/>
      <c r="O2" s="3"/>
      <c r="P2" s="3"/>
      <c r="Q2" s="3"/>
      <c r="R2" s="3"/>
      <c r="S2" s="3"/>
      <c r="T2" s="3"/>
      <c r="U2" s="3"/>
      <c r="V2" s="3"/>
      <c r="W2" s="3">
        <f t="shared" ref="W2:W67" si="0">SUM(C2:V2)</f>
        <v>1.96</v>
      </c>
    </row>
    <row r="3" spans="1:23">
      <c r="A3" s="1">
        <v>1038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f>15.82+20.66+18.25+6.8</f>
        <v>61.53</v>
      </c>
      <c r="N3" s="3">
        <f>13.54+19.97+21.56+7.7</f>
        <v>62.77</v>
      </c>
      <c r="O3" s="3">
        <f>16.86+12.24</f>
        <v>29.1</v>
      </c>
      <c r="P3" s="3">
        <f>15.8+9.38</f>
        <v>25.18</v>
      </c>
      <c r="Q3" s="3">
        <f>14.17+2.09</f>
        <v>16.26</v>
      </c>
      <c r="R3" s="3"/>
      <c r="S3" s="3">
        <v>18.79</v>
      </c>
      <c r="T3" s="3"/>
      <c r="U3" s="3">
        <v>7.11</v>
      </c>
      <c r="V3" s="3"/>
      <c r="W3" s="3">
        <f t="shared" si="0"/>
        <v>220.74</v>
      </c>
    </row>
    <row r="4" spans="1:23">
      <c r="A4" s="1">
        <v>979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>
        <v>5.5</v>
      </c>
      <c r="O4" s="3">
        <v>1.51</v>
      </c>
      <c r="P4" s="3"/>
      <c r="Q4" s="3"/>
      <c r="R4" s="3"/>
      <c r="S4" s="3">
        <v>2.8</v>
      </c>
      <c r="T4" s="3">
        <v>2.6</v>
      </c>
      <c r="U4" s="3">
        <v>0.92</v>
      </c>
      <c r="V4" s="3"/>
      <c r="W4" s="3">
        <f t="shared" si="0"/>
        <v>13.33</v>
      </c>
    </row>
    <row r="5" spans="1:23">
      <c r="A5" s="1">
        <v>266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2.19</v>
      </c>
      <c r="N5" s="3"/>
      <c r="O5" s="3">
        <v>1.31</v>
      </c>
      <c r="P5" s="3">
        <v>1.08</v>
      </c>
      <c r="Q5" s="3">
        <v>2.46</v>
      </c>
      <c r="R5" s="3"/>
      <c r="S5" s="3"/>
      <c r="T5" s="3">
        <v>2.53</v>
      </c>
      <c r="U5" s="3"/>
      <c r="V5" s="3"/>
      <c r="W5" s="3">
        <f t="shared" si="0"/>
        <v>9.57</v>
      </c>
    </row>
    <row r="6" spans="1:23">
      <c r="A6" s="1">
        <v>345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>
        <v>2.76</v>
      </c>
      <c r="N6" s="3">
        <v>1.75</v>
      </c>
      <c r="O6" s="3"/>
      <c r="P6" s="3"/>
      <c r="Q6" s="3">
        <v>1.78</v>
      </c>
      <c r="R6" s="3"/>
      <c r="S6" s="3"/>
      <c r="T6" s="3">
        <v>1.55</v>
      </c>
      <c r="U6" s="3">
        <v>0.68</v>
      </c>
      <c r="V6" s="3"/>
      <c r="W6" s="3">
        <f t="shared" si="0"/>
        <v>8.52</v>
      </c>
    </row>
    <row r="7" spans="1:23">
      <c r="A7" s="1">
        <v>987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>
        <v>4.5</v>
      </c>
      <c r="N7" s="3">
        <v>3.61</v>
      </c>
      <c r="O7" s="3"/>
      <c r="P7" s="3"/>
      <c r="Q7" s="3"/>
      <c r="R7" s="3"/>
      <c r="S7" s="3"/>
      <c r="T7" s="3"/>
      <c r="U7" s="3"/>
      <c r="V7" s="3"/>
      <c r="W7" s="3">
        <f t="shared" si="0"/>
        <v>8.11</v>
      </c>
    </row>
    <row r="8" spans="1:23">
      <c r="A8" s="1">
        <v>4005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>
        <v>16.55</v>
      </c>
      <c r="N8" s="3">
        <v>10.35</v>
      </c>
      <c r="O8" s="3">
        <v>4.38</v>
      </c>
      <c r="P8" s="3">
        <v>10.41</v>
      </c>
      <c r="Q8" s="3">
        <v>2.01</v>
      </c>
      <c r="R8" s="3"/>
      <c r="S8" s="3">
        <v>2.11</v>
      </c>
      <c r="T8" s="3">
        <v>11.04</v>
      </c>
      <c r="U8" s="3">
        <v>6.12</v>
      </c>
      <c r="V8" s="3"/>
      <c r="W8" s="3">
        <f t="shared" si="0"/>
        <v>62.97</v>
      </c>
    </row>
    <row r="9" spans="1:23">
      <c r="A9" s="1">
        <v>478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>
        <f>16.59+7.18</f>
        <v>23.77</v>
      </c>
      <c r="N9" s="3">
        <f>20.64+7.7</f>
        <v>28.34</v>
      </c>
      <c r="O9" s="3">
        <f>19.69+5.56</f>
        <v>25.25</v>
      </c>
      <c r="P9" s="3">
        <f>20.82+4.9</f>
        <v>25.72</v>
      </c>
      <c r="Q9" s="3">
        <f>16.09+1.69</f>
        <v>17.78</v>
      </c>
      <c r="R9" s="3"/>
      <c r="S9" s="3"/>
      <c r="T9" s="3">
        <v>3.13</v>
      </c>
      <c r="U9" s="3">
        <v>3.46</v>
      </c>
      <c r="V9" s="3"/>
      <c r="W9" s="3">
        <f t="shared" si="0"/>
        <v>127.45</v>
      </c>
    </row>
    <row r="10" spans="1:23">
      <c r="A10" s="1">
        <v>1795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>
        <v>6.4</v>
      </c>
      <c r="N10" s="3">
        <v>5.36</v>
      </c>
      <c r="O10" s="3">
        <v>8.54</v>
      </c>
      <c r="P10" s="3">
        <v>1.04</v>
      </c>
      <c r="Q10" s="3">
        <v>2.68</v>
      </c>
      <c r="R10" s="3"/>
      <c r="S10" s="3">
        <v>3.27</v>
      </c>
      <c r="T10" s="3">
        <v>5.77</v>
      </c>
      <c r="U10" s="3">
        <v>1.52</v>
      </c>
      <c r="V10" s="3"/>
      <c r="W10" s="3">
        <f t="shared" si="0"/>
        <v>34.58</v>
      </c>
    </row>
    <row r="11" spans="1:23">
      <c r="A11" s="1">
        <v>444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>
        <v>13.1</v>
      </c>
      <c r="O11" s="3"/>
      <c r="P11" s="3">
        <v>5.82</v>
      </c>
      <c r="Q11" s="3">
        <v>0.92</v>
      </c>
      <c r="R11" s="3"/>
      <c r="S11" s="3">
        <v>7.7</v>
      </c>
      <c r="T11" s="3"/>
      <c r="U11" s="3"/>
      <c r="V11" s="3"/>
      <c r="W11" s="3">
        <f t="shared" si="0"/>
        <v>27.54</v>
      </c>
    </row>
    <row r="12" spans="1:23">
      <c r="A12" s="1">
        <v>1036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3">
        <v>2.18</v>
      </c>
      <c r="N12" s="3">
        <v>3.47</v>
      </c>
      <c r="O12" s="3"/>
      <c r="P12" s="3"/>
      <c r="Q12" s="3"/>
      <c r="R12" s="3"/>
      <c r="S12" s="3"/>
      <c r="T12" s="3"/>
      <c r="U12" s="3"/>
      <c r="V12" s="3"/>
      <c r="W12" s="3">
        <f t="shared" si="0"/>
        <v>5.65</v>
      </c>
    </row>
    <row r="13" spans="1:23">
      <c r="A13" s="1">
        <v>560</v>
      </c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3">
        <v>2.17</v>
      </c>
      <c r="N13" s="3">
        <v>3.36</v>
      </c>
      <c r="O13" s="3">
        <v>3.08</v>
      </c>
      <c r="P13" s="3"/>
      <c r="Q13" s="3">
        <v>1.8</v>
      </c>
      <c r="R13" s="3"/>
      <c r="S13" s="3">
        <v>4.21</v>
      </c>
      <c r="T13" s="3">
        <v>11.27</v>
      </c>
      <c r="U13" s="3"/>
      <c r="V13" s="3"/>
      <c r="W13" s="3">
        <f t="shared" si="0"/>
        <v>25.89</v>
      </c>
    </row>
    <row r="14" spans="1:23">
      <c r="A14" s="1">
        <v>641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>
        <f>20.21+4.58</f>
        <v>24.79</v>
      </c>
      <c r="N14" s="3">
        <v>11.68</v>
      </c>
      <c r="O14" s="3">
        <v>11.77</v>
      </c>
      <c r="P14" s="3">
        <v>4.9</v>
      </c>
      <c r="Q14" s="3">
        <v>2.03</v>
      </c>
      <c r="R14" s="3"/>
      <c r="S14" s="3">
        <v>4.81</v>
      </c>
      <c r="T14" s="3">
        <v>7.62</v>
      </c>
      <c r="U14" s="3"/>
      <c r="V14" s="3"/>
      <c r="W14" s="3">
        <f t="shared" si="0"/>
        <v>67.6</v>
      </c>
    </row>
    <row r="15" spans="1:23">
      <c r="A15" s="1">
        <v>260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>
        <v>19.28</v>
      </c>
      <c r="N15" s="3">
        <f>16.02+19.95+9.43</f>
        <v>45.4</v>
      </c>
      <c r="O15" s="3">
        <v>16</v>
      </c>
      <c r="P15" s="3">
        <f>17.77+14.55</f>
        <v>32.32</v>
      </c>
      <c r="Q15" s="3">
        <v>6.9</v>
      </c>
      <c r="R15" s="3"/>
      <c r="S15" s="3">
        <v>2.48</v>
      </c>
      <c r="T15" s="3">
        <v>12.39</v>
      </c>
      <c r="U15" s="3">
        <v>0.98</v>
      </c>
      <c r="V15" s="3"/>
      <c r="W15" s="3">
        <f t="shared" si="0"/>
        <v>135.75</v>
      </c>
    </row>
    <row r="16" spans="1:23">
      <c r="A16" s="1">
        <v>672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>
        <v>16.38</v>
      </c>
      <c r="N16" s="3">
        <v>17.74</v>
      </c>
      <c r="O16" s="3">
        <v>10.63</v>
      </c>
      <c r="P16" s="3">
        <v>9.97</v>
      </c>
      <c r="Q16" s="3">
        <v>9.24</v>
      </c>
      <c r="R16" s="3"/>
      <c r="S16" s="3">
        <v>8.67</v>
      </c>
      <c r="T16" s="3">
        <v>15.03</v>
      </c>
      <c r="U16" s="3">
        <v>8.44</v>
      </c>
      <c r="V16" s="3"/>
      <c r="W16" s="3">
        <f t="shared" si="0"/>
        <v>96.1</v>
      </c>
    </row>
    <row r="17" spans="1:23">
      <c r="A17" s="1">
        <v>1006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>
        <v>7.09</v>
      </c>
      <c r="N17" s="3">
        <v>5.58</v>
      </c>
      <c r="O17" s="3">
        <v>7.53</v>
      </c>
      <c r="P17" s="3">
        <v>6.19</v>
      </c>
      <c r="Q17" s="3">
        <v>0.94</v>
      </c>
      <c r="R17" s="3"/>
      <c r="S17" s="3"/>
      <c r="T17" s="3"/>
      <c r="U17" s="3"/>
      <c r="V17" s="3"/>
      <c r="W17" s="3">
        <f t="shared" si="0"/>
        <v>27.33</v>
      </c>
    </row>
    <row r="18" spans="1:23">
      <c r="A18" s="1">
        <v>2358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>
        <v>6.64</v>
      </c>
      <c r="N18" s="3"/>
      <c r="O18" s="3">
        <v>4.36</v>
      </c>
      <c r="P18" s="3"/>
      <c r="Q18" s="3">
        <v>2.49</v>
      </c>
      <c r="R18" s="3"/>
      <c r="S18" s="3"/>
      <c r="T18" s="3">
        <v>1.67</v>
      </c>
      <c r="U18" s="3"/>
      <c r="V18" s="3"/>
      <c r="W18" s="3">
        <f t="shared" si="0"/>
        <v>15.16</v>
      </c>
    </row>
    <row r="19" spans="1:23">
      <c r="A19" s="1">
        <v>1791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>
        <v>7.54</v>
      </c>
      <c r="N19" s="3">
        <f>13.65+19.42+20.33+1.62</f>
        <v>55.02</v>
      </c>
      <c r="O19" s="3">
        <f>15.4+11.07</f>
        <v>26.47</v>
      </c>
      <c r="P19" s="3">
        <f>17.5+12.74</f>
        <v>30.24</v>
      </c>
      <c r="Q19" s="3">
        <f>13.66+7.14</f>
        <v>20.8</v>
      </c>
      <c r="R19" s="3"/>
      <c r="S19" s="3">
        <v>14.05</v>
      </c>
      <c r="T19" s="3">
        <f>25.75+23.23+20.73+17.11+11.99</f>
        <v>98.81</v>
      </c>
      <c r="U19" s="3">
        <f>21.82+19.88+1.98</f>
        <v>43.68</v>
      </c>
      <c r="V19" s="3"/>
      <c r="W19" s="3">
        <f t="shared" si="0"/>
        <v>296.61</v>
      </c>
    </row>
    <row r="20" spans="1:23">
      <c r="A20" s="1">
        <v>1792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>
        <v>9.34</v>
      </c>
      <c r="P20" s="3">
        <v>2.45</v>
      </c>
      <c r="Q20" s="3">
        <v>2.9</v>
      </c>
      <c r="R20" s="3"/>
      <c r="S20" s="3">
        <v>4.25</v>
      </c>
      <c r="T20" s="3">
        <v>11.21</v>
      </c>
      <c r="U20" s="3">
        <v>2.84</v>
      </c>
      <c r="V20" s="3"/>
      <c r="W20" s="3">
        <f t="shared" si="0"/>
        <v>32.99</v>
      </c>
    </row>
    <row r="21" spans="1:23">
      <c r="A21" s="1">
        <v>342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>
        <v>2.29</v>
      </c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2.29</v>
      </c>
    </row>
    <row r="22" spans="1:23">
      <c r="A22" s="1">
        <v>2358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>
        <v>3.84</v>
      </c>
      <c r="O22" s="3"/>
      <c r="P22" s="3"/>
      <c r="Q22" s="3"/>
      <c r="R22" s="3"/>
      <c r="S22" s="3"/>
      <c r="T22" s="3"/>
      <c r="U22" s="3"/>
      <c r="V22" s="3"/>
      <c r="W22" s="3">
        <f t="shared" si="0"/>
        <v>3.84</v>
      </c>
    </row>
    <row r="23" spans="1: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>
        <v>2.05</v>
      </c>
      <c r="N23" s="3">
        <v>3.16</v>
      </c>
      <c r="O23" s="3"/>
      <c r="P23" s="3">
        <v>3.79</v>
      </c>
      <c r="Q23" s="3">
        <v>4</v>
      </c>
      <c r="R23" s="3"/>
      <c r="S23" s="3"/>
      <c r="T23" s="3">
        <v>8.43</v>
      </c>
      <c r="U23" s="3">
        <v>1.67</v>
      </c>
      <c r="V23" s="3"/>
      <c r="W23" s="3">
        <f t="shared" si="0"/>
        <v>23.1</v>
      </c>
    </row>
    <row r="24" spans="1:23">
      <c r="A24" s="1">
        <v>444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>
        <v>4.52</v>
      </c>
      <c r="T24" s="3"/>
      <c r="U24" s="3"/>
      <c r="V24" s="3"/>
      <c r="W24" s="3">
        <f t="shared" si="0"/>
        <v>4.52</v>
      </c>
    </row>
    <row r="25" spans="1:23">
      <c r="A25" s="1">
        <v>2161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>
        <v>5.01</v>
      </c>
      <c r="N25" s="3">
        <v>5.14</v>
      </c>
      <c r="O25" s="3">
        <v>3.97</v>
      </c>
      <c r="P25" s="3">
        <v>1.22</v>
      </c>
      <c r="Q25" s="3">
        <v>5.26</v>
      </c>
      <c r="R25" s="3"/>
      <c r="S25" s="3"/>
      <c r="T25" s="3">
        <v>6.24</v>
      </c>
      <c r="U25" s="3"/>
      <c r="V25" s="3"/>
      <c r="W25" s="3">
        <f t="shared" si="0"/>
        <v>26.84</v>
      </c>
    </row>
    <row r="26" spans="1:23">
      <c r="A26" s="1">
        <v>309</v>
      </c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>
        <f>15.36+4.53</f>
        <v>19.89</v>
      </c>
      <c r="N26" s="3">
        <f>18.22+18.73+7.47</f>
        <v>44.42</v>
      </c>
      <c r="O26" s="3">
        <f>18.26+18.43+1.39</f>
        <v>38.08</v>
      </c>
      <c r="P26" s="3">
        <f>17.66+17.61+9.14</f>
        <v>44.41</v>
      </c>
      <c r="Q26" s="3">
        <v>12.81</v>
      </c>
      <c r="R26" s="3"/>
      <c r="S26" s="3">
        <v>4.71</v>
      </c>
      <c r="T26" s="3">
        <f>17.97+16.3</f>
        <v>34.27</v>
      </c>
      <c r="U26" s="3">
        <v>13.21</v>
      </c>
      <c r="V26" s="3"/>
      <c r="W26" s="3">
        <f t="shared" si="0"/>
        <v>211.8</v>
      </c>
    </row>
    <row r="27" spans="1:23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f t="shared" si="0"/>
        <v>0</v>
      </c>
    </row>
    <row r="29" spans="1:23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 t="shared" si="0"/>
        <v>0</v>
      </c>
    </row>
    <row r="33" spans="1:2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0</v>
      </c>
    </row>
    <row r="34" spans="1:23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f t="shared" si="0"/>
        <v>0</v>
      </c>
    </row>
    <row r="35" spans="1:23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f t="shared" si="0"/>
        <v>0</v>
      </c>
    </row>
    <row r="36" spans="1:23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f t="shared" si="0"/>
        <v>0</v>
      </c>
    </row>
    <row r="37" spans="1:2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f t="shared" si="0"/>
        <v>0</v>
      </c>
    </row>
    <row r="38" spans="1:23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f t="shared" si="0"/>
        <v>0</v>
      </c>
    </row>
    <row r="39" spans="1:23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f t="shared" si="0"/>
        <v>0</v>
      </c>
    </row>
    <row r="40" spans="1:23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f t="shared" si="0"/>
        <v>0</v>
      </c>
    </row>
    <row r="41" spans="1:23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f t="shared" si="0"/>
        <v>0</v>
      </c>
    </row>
    <row r="42" spans="1:23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f t="shared" si="0"/>
        <v>0</v>
      </c>
    </row>
    <row r="43" spans="1:2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f t="shared" si="0"/>
        <v>0</v>
      </c>
    </row>
    <row r="44" spans="1:23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f t="shared" si="0"/>
        <v>0</v>
      </c>
    </row>
    <row r="45" spans="1:23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f t="shared" si="0"/>
        <v>0</v>
      </c>
    </row>
    <row r="46" spans="1:23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f t="shared" si="0"/>
        <v>0</v>
      </c>
    </row>
    <row r="47" spans="1:23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f t="shared" si="0"/>
        <v>0</v>
      </c>
    </row>
    <row r="48" spans="1:23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f t="shared" si="0"/>
        <v>0</v>
      </c>
    </row>
    <row r="49" spans="1:23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f t="shared" si="0"/>
        <v>0</v>
      </c>
    </row>
    <row r="50" spans="1:23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f t="shared" si="0"/>
        <v>0</v>
      </c>
    </row>
    <row r="51" spans="1:23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f t="shared" si="0"/>
        <v>0</v>
      </c>
    </row>
    <row r="52" spans="1:23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f t="shared" si="0"/>
        <v>0</v>
      </c>
    </row>
    <row r="53" spans="1:23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f t="shared" si="0"/>
        <v>0</v>
      </c>
    </row>
    <row r="54" spans="1:23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f t="shared" si="0"/>
        <v>0</v>
      </c>
    </row>
    <row r="55" spans="1:23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f t="shared" si="0"/>
        <v>0</v>
      </c>
    </row>
    <row r="56" spans="1:23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f t="shared" si="0"/>
        <v>0</v>
      </c>
    </row>
    <row r="57" spans="1:23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f t="shared" si="0"/>
        <v>0</v>
      </c>
    </row>
    <row r="58" spans="1:23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f t="shared" si="0"/>
        <v>0</v>
      </c>
    </row>
    <row r="59" spans="1:23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f t="shared" si="0"/>
        <v>0</v>
      </c>
    </row>
    <row r="60" spans="1:2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f t="shared" si="0"/>
        <v>0</v>
      </c>
    </row>
    <row r="61" spans="1:2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f t="shared" si="0"/>
        <v>0</v>
      </c>
    </row>
    <row r="62" spans="1:2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f t="shared" si="0"/>
        <v>0</v>
      </c>
    </row>
    <row r="63" spans="1:2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f t="shared" si="0"/>
        <v>0</v>
      </c>
    </row>
    <row r="64" spans="1:2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f t="shared" si="0"/>
        <v>0</v>
      </c>
    </row>
    <row r="65" spans="1:2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f t="shared" si="0"/>
        <v>0</v>
      </c>
    </row>
    <row r="66" spans="1:2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f t="shared" si="0"/>
        <v>0</v>
      </c>
    </row>
    <row r="67" spans="1:2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f t="shared" si="0"/>
        <v>0</v>
      </c>
    </row>
    <row r="68" spans="1:2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f t="shared" ref="W68:W131" si="1">SUM(C68:V68)</f>
        <v>0</v>
      </c>
    </row>
    <row r="69" spans="1:2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f t="shared" si="1"/>
        <v>0</v>
      </c>
    </row>
    <row r="70" spans="1:2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f t="shared" si="1"/>
        <v>0</v>
      </c>
    </row>
    <row r="71" spans="1:2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f t="shared" si="1"/>
        <v>0</v>
      </c>
    </row>
    <row r="72" spans="1:2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f t="shared" si="1"/>
        <v>0</v>
      </c>
    </row>
    <row r="73" spans="1:2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f t="shared" si="1"/>
        <v>0</v>
      </c>
    </row>
    <row r="74" spans="1:2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f t="shared" si="1"/>
        <v>0</v>
      </c>
    </row>
    <row r="75" spans="1:2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f t="shared" si="1"/>
        <v>0</v>
      </c>
    </row>
    <row r="76" spans="1:2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f t="shared" si="1"/>
        <v>0</v>
      </c>
    </row>
    <row r="77" spans="1:2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f t="shared" si="1"/>
        <v>0</v>
      </c>
    </row>
    <row r="78" spans="1:2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f t="shared" si="1"/>
        <v>0</v>
      </c>
    </row>
    <row r="79" spans="1:2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f t="shared" si="1"/>
        <v>0</v>
      </c>
    </row>
    <row r="80" spans="1:2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f t="shared" si="1"/>
        <v>0</v>
      </c>
    </row>
    <row r="81" spans="1:2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f t="shared" si="1"/>
        <v>0</v>
      </c>
    </row>
    <row r="82" spans="1:2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f t="shared" si="1"/>
        <v>0</v>
      </c>
    </row>
    <row r="83" spans="1:2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f t="shared" si="1"/>
        <v>0</v>
      </c>
    </row>
    <row r="84" spans="1:2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f t="shared" si="1"/>
        <v>0</v>
      </c>
    </row>
    <row r="85" spans="1:2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f t="shared" si="1"/>
        <v>0</v>
      </c>
    </row>
    <row r="86" spans="1:2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f t="shared" si="1"/>
        <v>0</v>
      </c>
    </row>
    <row r="87" spans="1:2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f t="shared" si="1"/>
        <v>0</v>
      </c>
    </row>
    <row r="88" spans="1:2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f t="shared" si="1"/>
        <v>0</v>
      </c>
    </row>
    <row r="89" spans="1:2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f t="shared" si="1"/>
        <v>0</v>
      </c>
    </row>
    <row r="90" spans="1:2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f t="shared" si="1"/>
        <v>0</v>
      </c>
    </row>
    <row r="91" spans="1:2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f t="shared" si="1"/>
        <v>0</v>
      </c>
    </row>
    <row r="92" spans="1:2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f t="shared" si="1"/>
        <v>0</v>
      </c>
    </row>
    <row r="93" spans="1:2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f t="shared" si="1"/>
        <v>0</v>
      </c>
    </row>
    <row r="94" spans="1:2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f t="shared" si="1"/>
        <v>0</v>
      </c>
    </row>
    <row r="95" spans="1:2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f t="shared" si="1"/>
        <v>0</v>
      </c>
    </row>
    <row r="96" spans="1:2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f t="shared" si="1"/>
        <v>0</v>
      </c>
    </row>
    <row r="97" spans="1:2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f t="shared" si="1"/>
        <v>0</v>
      </c>
    </row>
    <row r="98" spans="1:2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f t="shared" si="1"/>
        <v>0</v>
      </c>
    </row>
    <row r="99" spans="1:2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f t="shared" si="1"/>
        <v>0</v>
      </c>
    </row>
    <row r="100" spans="1:2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f t="shared" si="1"/>
        <v>0</v>
      </c>
    </row>
    <row r="101" spans="1:2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f t="shared" si="1"/>
        <v>0</v>
      </c>
    </row>
    <row r="102" spans="1:2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f t="shared" si="1"/>
        <v>0</v>
      </c>
    </row>
    <row r="103" spans="1:2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f t="shared" si="1"/>
        <v>0</v>
      </c>
    </row>
    <row r="104" spans="1:2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f t="shared" si="1"/>
        <v>0</v>
      </c>
    </row>
    <row r="105" spans="1:2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f t="shared" si="1"/>
        <v>0</v>
      </c>
    </row>
    <row r="106" spans="1:2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f t="shared" si="1"/>
        <v>0</v>
      </c>
    </row>
    <row r="107" spans="1:2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f t="shared" si="1"/>
        <v>0</v>
      </c>
    </row>
    <row r="108" spans="1:2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f t="shared" si="1"/>
        <v>0</v>
      </c>
    </row>
    <row r="109" spans="1:2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f t="shared" si="1"/>
        <v>0</v>
      </c>
    </row>
    <row r="110" spans="1:2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f t="shared" si="1"/>
        <v>0</v>
      </c>
    </row>
    <row r="111" spans="1:2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f t="shared" si="1"/>
        <v>0</v>
      </c>
    </row>
    <row r="112" spans="1:2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f t="shared" si="1"/>
        <v>0</v>
      </c>
    </row>
    <row r="113" spans="1:2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f t="shared" si="1"/>
        <v>0</v>
      </c>
    </row>
    <row r="114" spans="1:2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f t="shared" si="1"/>
        <v>0</v>
      </c>
    </row>
    <row r="115" spans="1:2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f t="shared" si="1"/>
        <v>0</v>
      </c>
    </row>
    <row r="116" spans="1:2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f t="shared" si="1"/>
        <v>0</v>
      </c>
    </row>
    <row r="117" spans="1:2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f t="shared" si="1"/>
        <v>0</v>
      </c>
    </row>
    <row r="118" spans="1:2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f t="shared" si="1"/>
        <v>0</v>
      </c>
    </row>
    <row r="119" spans="1:2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f t="shared" si="1"/>
        <v>0</v>
      </c>
    </row>
    <row r="120" spans="1:2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f t="shared" si="1"/>
        <v>0</v>
      </c>
    </row>
    <row r="121" spans="1:2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f t="shared" si="1"/>
        <v>0</v>
      </c>
    </row>
    <row r="122" spans="1:2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f t="shared" si="1"/>
        <v>0</v>
      </c>
    </row>
    <row r="123" spans="1: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f t="shared" si="1"/>
        <v>0</v>
      </c>
    </row>
    <row r="124" spans="1:2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f t="shared" si="1"/>
        <v>0</v>
      </c>
    </row>
    <row r="125" spans="1:2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 t="shared" si="1"/>
        <v>0</v>
      </c>
    </row>
    <row r="126" spans="1:2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 t="shared" si="1"/>
        <v>0</v>
      </c>
    </row>
    <row r="127" spans="1:2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 t="shared" si="1"/>
        <v>0</v>
      </c>
    </row>
    <row r="128" spans="1:2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f t="shared" si="1"/>
        <v>0</v>
      </c>
    </row>
    <row r="129" spans="1:2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f t="shared" si="1"/>
        <v>0</v>
      </c>
    </row>
    <row r="130" spans="1:2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f t="shared" si="1"/>
        <v>0</v>
      </c>
    </row>
    <row r="131" spans="1:2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f t="shared" si="1"/>
        <v>0</v>
      </c>
    </row>
    <row r="132" spans="1:2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f t="shared" ref="W132:W195" si="2">SUM(C132:V132)</f>
        <v>0</v>
      </c>
    </row>
    <row r="133" spans="1:2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f t="shared" si="2"/>
        <v>0</v>
      </c>
    </row>
    <row r="134" spans="1:2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f t="shared" si="2"/>
        <v>0</v>
      </c>
    </row>
    <row r="135" spans="1:2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f t="shared" si="2"/>
        <v>0</v>
      </c>
    </row>
    <row r="136" spans="1:2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f t="shared" si="2"/>
        <v>0</v>
      </c>
    </row>
    <row r="137" spans="1:2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f t="shared" si="2"/>
        <v>0</v>
      </c>
    </row>
    <row r="138" spans="1:2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f t="shared" si="2"/>
        <v>0</v>
      </c>
    </row>
    <row r="139" spans="1:2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f t="shared" si="2"/>
        <v>0</v>
      </c>
    </row>
    <row r="140" spans="1:2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f t="shared" si="2"/>
        <v>0</v>
      </c>
    </row>
    <row r="141" spans="1:2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f t="shared" si="2"/>
        <v>0</v>
      </c>
    </row>
    <row r="142" spans="1:2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f t="shared" si="2"/>
        <v>0</v>
      </c>
    </row>
    <row r="143" spans="1:2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f t="shared" si="2"/>
        <v>0</v>
      </c>
    </row>
    <row r="144" spans="1:2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f t="shared" si="2"/>
        <v>0</v>
      </c>
    </row>
    <row r="145" spans="1:2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f t="shared" si="2"/>
        <v>0</v>
      </c>
    </row>
    <row r="146" spans="1:2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f t="shared" si="2"/>
        <v>0</v>
      </c>
    </row>
    <row r="147" spans="1:2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f t="shared" si="2"/>
        <v>0</v>
      </c>
    </row>
    <row r="148" spans="1:2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f t="shared" si="2"/>
        <v>0</v>
      </c>
    </row>
    <row r="149" spans="1:2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f t="shared" si="2"/>
        <v>0</v>
      </c>
    </row>
    <row r="150" spans="1:2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f t="shared" si="2"/>
        <v>0</v>
      </c>
    </row>
    <row r="151" spans="1:2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f t="shared" si="2"/>
        <v>0</v>
      </c>
    </row>
    <row r="152" spans="1:2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f t="shared" si="2"/>
        <v>0</v>
      </c>
    </row>
    <row r="153" spans="1:2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f t="shared" si="2"/>
        <v>0</v>
      </c>
    </row>
    <row r="154" spans="1:2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f t="shared" si="2"/>
        <v>0</v>
      </c>
    </row>
    <row r="155" spans="1:2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f t="shared" si="2"/>
        <v>0</v>
      </c>
    </row>
    <row r="156" spans="1:2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f t="shared" si="2"/>
        <v>0</v>
      </c>
    </row>
    <row r="157" spans="1:2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f t="shared" si="2"/>
        <v>0</v>
      </c>
    </row>
    <row r="158" spans="1:2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f t="shared" si="2"/>
        <v>0</v>
      </c>
    </row>
    <row r="159" spans="1:2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f t="shared" si="2"/>
        <v>0</v>
      </c>
    </row>
    <row r="160" spans="1:2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f t="shared" si="2"/>
        <v>0</v>
      </c>
    </row>
    <row r="161" spans="1:2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f t="shared" si="2"/>
        <v>0</v>
      </c>
    </row>
    <row r="162" spans="1:2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f t="shared" si="2"/>
        <v>0</v>
      </c>
    </row>
    <row r="163" spans="1:2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f t="shared" si="2"/>
        <v>0</v>
      </c>
    </row>
    <row r="164" spans="1:2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f t="shared" si="2"/>
        <v>0</v>
      </c>
    </row>
    <row r="165" spans="1:23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 t="shared" si="2"/>
        <v>0</v>
      </c>
    </row>
    <row r="166" spans="1:23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 t="shared" si="2"/>
        <v>0</v>
      </c>
    </row>
    <row r="167" spans="1:23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 t="shared" si="2"/>
        <v>0</v>
      </c>
    </row>
    <row r="168" spans="1:23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f t="shared" si="2"/>
        <v>0</v>
      </c>
    </row>
    <row r="169" spans="1:23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f t="shared" si="2"/>
        <v>0</v>
      </c>
    </row>
    <row r="170" spans="1:23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f t="shared" si="2"/>
        <v>0</v>
      </c>
    </row>
    <row r="171" spans="1:23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f t="shared" si="2"/>
        <v>0</v>
      </c>
    </row>
    <row r="172" spans="1:23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f t="shared" si="2"/>
        <v>0</v>
      </c>
    </row>
    <row r="173" spans="1:2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f t="shared" si="2"/>
        <v>0</v>
      </c>
    </row>
    <row r="174" spans="1:23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f t="shared" si="2"/>
        <v>0</v>
      </c>
    </row>
    <row r="175" spans="1:23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f t="shared" si="2"/>
        <v>0</v>
      </c>
    </row>
    <row r="176" spans="1:23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f t="shared" si="2"/>
        <v>0</v>
      </c>
    </row>
    <row r="177" spans="1:23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f t="shared" si="2"/>
        <v>0</v>
      </c>
    </row>
    <row r="178" spans="1:23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f t="shared" si="2"/>
        <v>0</v>
      </c>
    </row>
    <row r="179" spans="1:23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f t="shared" si="2"/>
        <v>0</v>
      </c>
    </row>
    <row r="180" spans="1:23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f t="shared" si="2"/>
        <v>0</v>
      </c>
    </row>
    <row r="181" spans="1:23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f t="shared" si="2"/>
        <v>0</v>
      </c>
    </row>
    <row r="182" spans="1:23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f t="shared" si="2"/>
        <v>0</v>
      </c>
    </row>
    <row r="183" spans="1:2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f t="shared" si="2"/>
        <v>0</v>
      </c>
    </row>
    <row r="184" spans="1:23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f t="shared" si="2"/>
        <v>0</v>
      </c>
    </row>
    <row r="185" spans="1:23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f t="shared" si="2"/>
        <v>0</v>
      </c>
    </row>
    <row r="186" spans="1:23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f t="shared" si="2"/>
        <v>0</v>
      </c>
    </row>
    <row r="187" spans="1:23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f t="shared" si="2"/>
        <v>0</v>
      </c>
    </row>
    <row r="188" spans="1:23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f t="shared" si="2"/>
        <v>0</v>
      </c>
    </row>
    <row r="189" spans="1:23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f t="shared" si="2"/>
        <v>0</v>
      </c>
    </row>
    <row r="190" spans="1:23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f t="shared" si="2"/>
        <v>0</v>
      </c>
    </row>
    <row r="191" spans="1:23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f t="shared" si="2"/>
        <v>0</v>
      </c>
    </row>
    <row r="192" spans="1:23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f t="shared" si="2"/>
        <v>0</v>
      </c>
    </row>
    <row r="193" spans="1:2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f t="shared" si="2"/>
        <v>0</v>
      </c>
    </row>
    <row r="194" spans="1:23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f t="shared" si="2"/>
        <v>0</v>
      </c>
    </row>
    <row r="195" spans="1:23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f t="shared" si="2"/>
        <v>0</v>
      </c>
    </row>
    <row r="196" spans="1:23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f t="shared" ref="W196:W259" si="3">SUM(C196:V196)</f>
        <v>0</v>
      </c>
    </row>
    <row r="197" spans="1:23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f t="shared" si="3"/>
        <v>0</v>
      </c>
    </row>
    <row r="198" spans="1:23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f t="shared" si="3"/>
        <v>0</v>
      </c>
    </row>
    <row r="199" spans="1:23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f t="shared" si="3"/>
        <v>0</v>
      </c>
    </row>
    <row r="200" spans="1:23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f t="shared" si="3"/>
        <v>0</v>
      </c>
    </row>
    <row r="201" spans="1:23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f t="shared" si="3"/>
        <v>0</v>
      </c>
    </row>
    <row r="202" spans="1:23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f t="shared" si="3"/>
        <v>0</v>
      </c>
    </row>
    <row r="203" spans="1:2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f t="shared" si="3"/>
        <v>0</v>
      </c>
    </row>
    <row r="204" spans="1:23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f t="shared" si="3"/>
        <v>0</v>
      </c>
    </row>
    <row r="205" spans="1:23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f t="shared" si="3"/>
        <v>0</v>
      </c>
    </row>
    <row r="206" spans="1:23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f t="shared" si="3"/>
        <v>0</v>
      </c>
    </row>
    <row r="207" spans="1:23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f t="shared" si="3"/>
        <v>0</v>
      </c>
    </row>
    <row r="208" spans="1:23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f t="shared" si="3"/>
        <v>0</v>
      </c>
    </row>
    <row r="209" spans="1:23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f t="shared" si="3"/>
        <v>0</v>
      </c>
    </row>
    <row r="210" spans="1:23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f t="shared" si="3"/>
        <v>0</v>
      </c>
    </row>
    <row r="211" spans="1:23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f t="shared" si="3"/>
        <v>0</v>
      </c>
    </row>
    <row r="212" spans="1:23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f t="shared" si="3"/>
        <v>0</v>
      </c>
    </row>
    <row r="213" spans="1:2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f t="shared" si="3"/>
        <v>0</v>
      </c>
    </row>
    <row r="214" spans="1:23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f t="shared" si="3"/>
        <v>0</v>
      </c>
    </row>
    <row r="215" spans="1:23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f t="shared" si="3"/>
        <v>0</v>
      </c>
    </row>
    <row r="216" spans="1:23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f t="shared" si="3"/>
        <v>0</v>
      </c>
    </row>
    <row r="217" spans="1:23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f t="shared" si="3"/>
        <v>0</v>
      </c>
    </row>
    <row r="218" spans="1:23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f t="shared" si="3"/>
        <v>0</v>
      </c>
    </row>
    <row r="219" spans="1:23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f t="shared" si="3"/>
        <v>0</v>
      </c>
    </row>
    <row r="220" spans="1:23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f t="shared" si="3"/>
        <v>0</v>
      </c>
    </row>
    <row r="221" spans="1:23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f t="shared" si="3"/>
        <v>0</v>
      </c>
    </row>
    <row r="222" spans="1:23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f t="shared" si="3"/>
        <v>0</v>
      </c>
    </row>
    <row r="223" spans="1: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f t="shared" si="3"/>
        <v>0</v>
      </c>
    </row>
    <row r="224" spans="1:23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f t="shared" si="3"/>
        <v>0</v>
      </c>
    </row>
    <row r="225" spans="1:23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f t="shared" si="3"/>
        <v>0</v>
      </c>
    </row>
    <row r="226" spans="1:23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f t="shared" si="3"/>
        <v>0</v>
      </c>
    </row>
    <row r="227" spans="1:23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f t="shared" si="3"/>
        <v>0</v>
      </c>
    </row>
    <row r="228" spans="1:23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f t="shared" si="3"/>
        <v>0</v>
      </c>
    </row>
    <row r="229" spans="1:23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f t="shared" si="3"/>
        <v>0</v>
      </c>
    </row>
    <row r="230" spans="1:23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f t="shared" si="3"/>
        <v>0</v>
      </c>
    </row>
    <row r="231" spans="1:23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f t="shared" si="3"/>
        <v>0</v>
      </c>
    </row>
    <row r="232" spans="1:23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f t="shared" si="3"/>
        <v>0</v>
      </c>
    </row>
    <row r="233" spans="1:2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f t="shared" si="3"/>
        <v>0</v>
      </c>
    </row>
    <row r="234" spans="1:23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f t="shared" si="3"/>
        <v>0</v>
      </c>
    </row>
    <row r="235" spans="1:23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f t="shared" si="3"/>
        <v>0</v>
      </c>
    </row>
    <row r="236" spans="1:23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f t="shared" si="3"/>
        <v>0</v>
      </c>
    </row>
    <row r="237" spans="1:23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f t="shared" si="3"/>
        <v>0</v>
      </c>
    </row>
    <row r="238" spans="1:23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f t="shared" si="3"/>
        <v>0</v>
      </c>
    </row>
    <row r="239" spans="1:23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f t="shared" si="3"/>
        <v>0</v>
      </c>
    </row>
    <row r="240" spans="1:23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f t="shared" si="3"/>
        <v>0</v>
      </c>
    </row>
    <row r="241" spans="1:23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f t="shared" si="3"/>
        <v>0</v>
      </c>
    </row>
    <row r="242" spans="1:23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f t="shared" si="3"/>
        <v>0</v>
      </c>
    </row>
    <row r="243" spans="1:2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f t="shared" si="3"/>
        <v>0</v>
      </c>
    </row>
    <row r="244" spans="1:23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f t="shared" si="3"/>
        <v>0</v>
      </c>
    </row>
    <row r="245" spans="1:23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f t="shared" si="3"/>
        <v>0</v>
      </c>
    </row>
    <row r="246" spans="1:23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f t="shared" si="3"/>
        <v>0</v>
      </c>
    </row>
    <row r="247" spans="1:23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f t="shared" si="3"/>
        <v>0</v>
      </c>
    </row>
    <row r="248" spans="1:23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f t="shared" si="3"/>
        <v>0</v>
      </c>
    </row>
    <row r="249" spans="1:23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f t="shared" si="3"/>
        <v>0</v>
      </c>
    </row>
    <row r="250" spans="1:23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f t="shared" si="3"/>
        <v>0</v>
      </c>
    </row>
    <row r="251" spans="1:23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f t="shared" si="3"/>
        <v>0</v>
      </c>
    </row>
    <row r="252" spans="1:23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f t="shared" si="3"/>
        <v>0</v>
      </c>
    </row>
    <row r="253" spans="1:2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f t="shared" si="3"/>
        <v>0</v>
      </c>
    </row>
    <row r="254" spans="1:23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f t="shared" si="3"/>
        <v>0</v>
      </c>
    </row>
    <row r="255" spans="1:23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f t="shared" si="3"/>
        <v>0</v>
      </c>
    </row>
    <row r="256" spans="1:23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f t="shared" si="3"/>
        <v>0</v>
      </c>
    </row>
    <row r="257" spans="1:23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f t="shared" si="3"/>
        <v>0</v>
      </c>
    </row>
    <row r="258" spans="1:23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f t="shared" si="3"/>
        <v>0</v>
      </c>
    </row>
    <row r="259" spans="1:23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f t="shared" si="3"/>
        <v>0</v>
      </c>
    </row>
    <row r="260" spans="1:23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f t="shared" ref="W260:W323" si="4">SUM(C260:V260)</f>
        <v>0</v>
      </c>
    </row>
    <row r="261" spans="1:23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f t="shared" si="4"/>
        <v>0</v>
      </c>
    </row>
    <row r="262" spans="1:23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f t="shared" si="4"/>
        <v>0</v>
      </c>
    </row>
    <row r="263" spans="1:2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f t="shared" si="4"/>
        <v>0</v>
      </c>
    </row>
    <row r="264" spans="1:23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f t="shared" si="4"/>
        <v>0</v>
      </c>
    </row>
    <row r="265" spans="1:23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f t="shared" si="4"/>
        <v>0</v>
      </c>
    </row>
    <row r="266" spans="1:23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f t="shared" si="4"/>
        <v>0</v>
      </c>
    </row>
    <row r="267" spans="1:23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f t="shared" si="4"/>
        <v>0</v>
      </c>
    </row>
    <row r="268" spans="1:23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f t="shared" si="4"/>
        <v>0</v>
      </c>
    </row>
    <row r="269" spans="1:23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f t="shared" si="4"/>
        <v>0</v>
      </c>
    </row>
    <row r="270" spans="1:23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f t="shared" si="4"/>
        <v>0</v>
      </c>
    </row>
    <row r="271" spans="1:23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f t="shared" si="4"/>
        <v>0</v>
      </c>
    </row>
    <row r="272" spans="1:23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f t="shared" si="4"/>
        <v>0</v>
      </c>
    </row>
    <row r="273" spans="1:2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f t="shared" si="4"/>
        <v>0</v>
      </c>
    </row>
    <row r="274" spans="1:23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f t="shared" si="4"/>
        <v>0</v>
      </c>
    </row>
    <row r="275" spans="1:23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f t="shared" si="4"/>
        <v>0</v>
      </c>
    </row>
    <row r="276" spans="1:23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f t="shared" si="4"/>
        <v>0</v>
      </c>
    </row>
    <row r="277" spans="1:23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f t="shared" si="4"/>
        <v>0</v>
      </c>
    </row>
    <row r="278" spans="1:23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f t="shared" si="4"/>
        <v>0</v>
      </c>
    </row>
    <row r="279" spans="1:23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f t="shared" si="4"/>
        <v>0</v>
      </c>
    </row>
    <row r="280" spans="1:23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f t="shared" si="4"/>
        <v>0</v>
      </c>
    </row>
    <row r="281" spans="1:23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f t="shared" si="4"/>
        <v>0</v>
      </c>
    </row>
    <row r="282" spans="1:23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f t="shared" si="4"/>
        <v>0</v>
      </c>
    </row>
    <row r="283" spans="1:2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f t="shared" si="4"/>
        <v>0</v>
      </c>
    </row>
    <row r="284" spans="1:23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f t="shared" si="4"/>
        <v>0</v>
      </c>
    </row>
    <row r="285" spans="1:23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f t="shared" si="4"/>
        <v>0</v>
      </c>
    </row>
    <row r="286" spans="1:23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f t="shared" si="4"/>
        <v>0</v>
      </c>
    </row>
    <row r="287" spans="1:23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f t="shared" si="4"/>
        <v>0</v>
      </c>
    </row>
    <row r="288" spans="1:23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f t="shared" si="4"/>
        <v>0</v>
      </c>
    </row>
    <row r="289" spans="1:23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f t="shared" si="4"/>
        <v>0</v>
      </c>
    </row>
    <row r="290" spans="1:23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f t="shared" si="4"/>
        <v>0</v>
      </c>
    </row>
    <row r="291" spans="1:23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f t="shared" si="4"/>
        <v>0</v>
      </c>
    </row>
    <row r="292" spans="1:23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f t="shared" si="4"/>
        <v>0</v>
      </c>
    </row>
    <row r="293" spans="1:2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f t="shared" si="4"/>
        <v>0</v>
      </c>
    </row>
    <row r="294" spans="1:23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f t="shared" si="4"/>
        <v>0</v>
      </c>
    </row>
    <row r="295" spans="1:23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f t="shared" si="4"/>
        <v>0</v>
      </c>
    </row>
    <row r="296" spans="1:23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f t="shared" si="4"/>
        <v>0</v>
      </c>
    </row>
    <row r="297" spans="1:23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f t="shared" si="4"/>
        <v>0</v>
      </c>
    </row>
    <row r="298" spans="1:23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f t="shared" si="4"/>
        <v>0</v>
      </c>
    </row>
    <row r="299" spans="1:23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f t="shared" si="4"/>
        <v>0</v>
      </c>
    </row>
    <row r="300" spans="1:23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f t="shared" si="4"/>
        <v>0</v>
      </c>
    </row>
    <row r="301" spans="1:23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f t="shared" si="4"/>
        <v>0</v>
      </c>
    </row>
    <row r="302" spans="1:23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f t="shared" si="4"/>
        <v>0</v>
      </c>
    </row>
    <row r="303" spans="1:2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f t="shared" si="4"/>
        <v>0</v>
      </c>
    </row>
    <row r="304" spans="1:23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f t="shared" si="4"/>
        <v>0</v>
      </c>
    </row>
    <row r="305" spans="1:23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f t="shared" si="4"/>
        <v>0</v>
      </c>
    </row>
    <row r="306" spans="1:23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f t="shared" si="4"/>
        <v>0</v>
      </c>
    </row>
    <row r="307" spans="1:23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f t="shared" si="4"/>
        <v>0</v>
      </c>
    </row>
    <row r="308" spans="1:23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f t="shared" si="4"/>
        <v>0</v>
      </c>
    </row>
    <row r="309" spans="1:23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f t="shared" si="4"/>
        <v>0</v>
      </c>
    </row>
    <row r="310" spans="1:23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f t="shared" si="4"/>
        <v>0</v>
      </c>
    </row>
    <row r="311" spans="1:23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f t="shared" si="4"/>
        <v>0</v>
      </c>
    </row>
    <row r="312" spans="1:23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f t="shared" si="4"/>
        <v>0</v>
      </c>
    </row>
    <row r="313" spans="1:2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f t="shared" si="4"/>
        <v>0</v>
      </c>
    </row>
    <row r="314" spans="1:23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f t="shared" si="4"/>
        <v>0</v>
      </c>
    </row>
    <row r="315" spans="1:23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f t="shared" si="4"/>
        <v>0</v>
      </c>
    </row>
    <row r="316" spans="1:23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f t="shared" si="4"/>
        <v>0</v>
      </c>
    </row>
    <row r="317" spans="1:23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f t="shared" si="4"/>
        <v>0</v>
      </c>
    </row>
    <row r="318" spans="1:23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f t="shared" si="4"/>
        <v>0</v>
      </c>
    </row>
    <row r="319" spans="1:23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f t="shared" si="4"/>
        <v>0</v>
      </c>
    </row>
    <row r="320" spans="1:23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f t="shared" si="4"/>
        <v>0</v>
      </c>
    </row>
    <row r="321" spans="1:23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f t="shared" si="4"/>
        <v>0</v>
      </c>
    </row>
    <row r="322" spans="1:23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f t="shared" si="4"/>
        <v>0</v>
      </c>
    </row>
    <row r="323" spans="1: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f t="shared" si="4"/>
        <v>0</v>
      </c>
    </row>
    <row r="324" spans="1:23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f t="shared" ref="W324:W348" si="5">SUM(C324:V324)</f>
        <v>0</v>
      </c>
    </row>
    <row r="325" spans="1:23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f t="shared" si="5"/>
        <v>0</v>
      </c>
    </row>
    <row r="326" spans="1:23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f t="shared" si="5"/>
        <v>0</v>
      </c>
    </row>
    <row r="327" spans="1:23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f t="shared" si="5"/>
        <v>0</v>
      </c>
    </row>
    <row r="328" spans="1:23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f t="shared" si="5"/>
        <v>0</v>
      </c>
    </row>
    <row r="329" spans="1:23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f t="shared" si="5"/>
        <v>0</v>
      </c>
    </row>
    <row r="330" spans="1:23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f t="shared" si="5"/>
        <v>0</v>
      </c>
    </row>
    <row r="331" spans="1:23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f t="shared" si="5"/>
        <v>0</v>
      </c>
    </row>
    <row r="332" spans="1:23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f t="shared" si="5"/>
        <v>0</v>
      </c>
    </row>
    <row r="333" spans="1:2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f t="shared" si="5"/>
        <v>0</v>
      </c>
    </row>
    <row r="334" spans="1:23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f t="shared" si="5"/>
        <v>0</v>
      </c>
    </row>
    <row r="335" spans="1:23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f t="shared" si="5"/>
        <v>0</v>
      </c>
    </row>
    <row r="336" spans="1:23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f t="shared" si="5"/>
        <v>0</v>
      </c>
    </row>
    <row r="337" spans="1:23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f t="shared" si="5"/>
        <v>0</v>
      </c>
    </row>
    <row r="338" spans="1:23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f t="shared" si="5"/>
        <v>0</v>
      </c>
    </row>
    <row r="339" spans="1:23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f t="shared" si="5"/>
        <v>0</v>
      </c>
    </row>
    <row r="340" spans="1:23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f t="shared" si="5"/>
        <v>0</v>
      </c>
    </row>
    <row r="341" spans="1:23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f t="shared" si="5"/>
        <v>0</v>
      </c>
    </row>
    <row r="342" spans="1:23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f t="shared" si="5"/>
        <v>0</v>
      </c>
    </row>
    <row r="343" spans="1:2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f t="shared" si="5"/>
        <v>0</v>
      </c>
    </row>
    <row r="344" spans="1:23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f t="shared" si="5"/>
        <v>0</v>
      </c>
    </row>
    <row r="345" spans="1:23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f t="shared" si="5"/>
        <v>0</v>
      </c>
    </row>
    <row r="346" spans="1:23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f t="shared" si="5"/>
        <v>0</v>
      </c>
    </row>
    <row r="347" spans="1:23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f t="shared" si="5"/>
        <v>0</v>
      </c>
    </row>
    <row r="348" spans="1:23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f t="shared" si="5"/>
        <v>0</v>
      </c>
    </row>
    <row r="349" spans="3:23">
      <c r="C349" s="4">
        <f t="shared" ref="C349:V349" si="6">SUM(C1:C348)</f>
        <v>0</v>
      </c>
      <c r="D349" s="4">
        <f t="shared" si="6"/>
        <v>0</v>
      </c>
      <c r="E349" s="4">
        <f t="shared" si="6"/>
        <v>0</v>
      </c>
      <c r="F349" s="4">
        <f t="shared" si="6"/>
        <v>0</v>
      </c>
      <c r="G349" s="4">
        <f t="shared" si="6"/>
        <v>0</v>
      </c>
      <c r="H349" s="4">
        <f t="shared" si="6"/>
        <v>0</v>
      </c>
      <c r="I349" s="4">
        <f t="shared" si="6"/>
        <v>0</v>
      </c>
      <c r="J349" s="4">
        <f t="shared" si="6"/>
        <v>0</v>
      </c>
      <c r="K349" s="4">
        <f t="shared" si="6"/>
        <v>0</v>
      </c>
      <c r="L349" s="4">
        <f t="shared" si="6"/>
        <v>0</v>
      </c>
      <c r="M349" s="4">
        <f t="shared" si="6"/>
        <v>234.97</v>
      </c>
      <c r="N349" s="4">
        <f t="shared" si="6"/>
        <v>329.59</v>
      </c>
      <c r="O349" s="4">
        <f t="shared" si="6"/>
        <v>201.32</v>
      </c>
      <c r="P349" s="4">
        <f t="shared" si="6"/>
        <v>204.74</v>
      </c>
      <c r="Q349" s="4">
        <f t="shared" si="6"/>
        <v>113.06</v>
      </c>
      <c r="R349" s="4">
        <f t="shared" si="6"/>
        <v>0</v>
      </c>
      <c r="S349" s="4">
        <f t="shared" si="6"/>
        <v>82.37</v>
      </c>
      <c r="T349" s="4">
        <f t="shared" si="6"/>
        <v>233.56</v>
      </c>
      <c r="U349" s="4">
        <f t="shared" si="6"/>
        <v>90.63</v>
      </c>
      <c r="V349" s="4">
        <f t="shared" si="6"/>
        <v>0</v>
      </c>
      <c r="W349" s="4">
        <f>SUM(W2:W348)</f>
        <v>1490.24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workbookViewId="0">
      <pane ySplit="1" topLeftCell="A2" activePane="bottomLeft" state="frozen"/>
      <selection/>
      <selection pane="bottomLeft" activeCell="M8" sqref="M8"/>
    </sheetView>
  </sheetViews>
  <sheetFormatPr defaultColWidth="11" defaultRowHeight="14.25"/>
  <cols>
    <col min="1" max="1" width="9.56923076923077" customWidth="1"/>
    <col min="2" max="12" width="11" hidden="1" customWidth="1"/>
    <col min="13" max="13" width="8.56923076923077" customWidth="1"/>
    <col min="14" max="14" width="8.85641025641026" customWidth="1"/>
    <col min="15" max="15" width="8.28717948717949" customWidth="1"/>
    <col min="16" max="16" width="9.13846153846154" customWidth="1"/>
    <col min="17" max="17" width="8.85641025641026" customWidth="1"/>
    <col min="18" max="18" width="7.85641025641026" customWidth="1"/>
    <col min="19" max="19" width="10" customWidth="1"/>
    <col min="20" max="20" width="8.42564102564103" customWidth="1"/>
    <col min="21" max="21" width="9.42564102564103" customWidth="1"/>
    <col min="23" max="23" width="9.42564102564103" customWidth="1"/>
  </cols>
  <sheetData>
    <row r="1" spans="1:23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>
        <f t="shared" ref="W1:W32" si="0">SUM(C1:V1)</f>
        <v>0</v>
      </c>
    </row>
    <row r="2" spans="1:25">
      <c r="A2" s="1">
        <v>2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>
        <v>3464.7</v>
      </c>
      <c r="N2" s="3">
        <v>4946.933</v>
      </c>
      <c r="O2" s="3">
        <v>3694.058</v>
      </c>
      <c r="P2" s="3">
        <v>2638.14</v>
      </c>
      <c r="Q2" s="3">
        <v>1075.8</v>
      </c>
      <c r="R2" s="3">
        <v>0</v>
      </c>
      <c r="S2" s="3">
        <v>4304.4</v>
      </c>
      <c r="T2" s="3">
        <v>4293.15</v>
      </c>
      <c r="U2" s="3">
        <v>1401.904</v>
      </c>
      <c r="V2" s="3">
        <v>0</v>
      </c>
      <c r="W2" s="3">
        <f t="shared" si="0"/>
        <v>25819.085</v>
      </c>
      <c r="Y2" s="9"/>
    </row>
    <row r="3" spans="1:25">
      <c r="A3" s="1">
        <v>3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>
        <v>4254.2</v>
      </c>
      <c r="N3" s="3">
        <v>5944.9</v>
      </c>
      <c r="O3" s="3">
        <v>4180.6</v>
      </c>
      <c r="P3" s="3">
        <v>2871.46</v>
      </c>
      <c r="Q3" s="3">
        <v>815.6</v>
      </c>
      <c r="R3" s="3">
        <v>0</v>
      </c>
      <c r="S3" s="3">
        <v>3551.88</v>
      </c>
      <c r="T3" s="3">
        <v>2867.5</v>
      </c>
      <c r="U3" s="3">
        <v>1366.05</v>
      </c>
      <c r="V3" s="3">
        <v>0</v>
      </c>
      <c r="W3" s="3">
        <f t="shared" si="0"/>
        <v>25852.19</v>
      </c>
      <c r="Y3" s="9"/>
    </row>
    <row r="4" spans="1:25">
      <c r="A4" s="1">
        <v>4</v>
      </c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5">
        <v>3653.15</v>
      </c>
      <c r="N4" s="6">
        <v>5274.98</v>
      </c>
      <c r="O4" s="6">
        <v>3952.03</v>
      </c>
      <c r="P4" s="6">
        <v>2733.5</v>
      </c>
      <c r="Q4" s="6">
        <v>663.9</v>
      </c>
      <c r="R4" s="6">
        <v>0</v>
      </c>
      <c r="S4" s="6">
        <v>2611.65</v>
      </c>
      <c r="T4" s="6">
        <v>1468.46</v>
      </c>
      <c r="U4" s="6">
        <v>591.7</v>
      </c>
      <c r="V4" s="6">
        <v>0</v>
      </c>
      <c r="W4" s="3">
        <f t="shared" si="0"/>
        <v>20949.37</v>
      </c>
      <c r="Y4" s="9"/>
    </row>
    <row r="5" spans="1:25">
      <c r="A5" s="1">
        <v>5</v>
      </c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>
        <v>2215.66</v>
      </c>
      <c r="N5" s="3">
        <v>3210.1</v>
      </c>
      <c r="O5" s="3">
        <v>2818.75</v>
      </c>
      <c r="P5" s="3">
        <v>2209.6</v>
      </c>
      <c r="Q5" s="3">
        <v>640.05</v>
      </c>
      <c r="R5" s="3">
        <v>0</v>
      </c>
      <c r="S5" s="3">
        <v>1660.85</v>
      </c>
      <c r="T5" s="3">
        <v>1669.6</v>
      </c>
      <c r="U5" s="3">
        <v>829.85</v>
      </c>
      <c r="V5" s="3">
        <v>0</v>
      </c>
      <c r="W5" s="3">
        <f t="shared" si="0"/>
        <v>15254.46</v>
      </c>
      <c r="Y5" s="10"/>
    </row>
    <row r="6" spans="1:25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f t="shared" si="0"/>
        <v>0</v>
      </c>
      <c r="Y6" s="10"/>
    </row>
    <row r="7" spans="1:25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f t="shared" si="0"/>
        <v>0</v>
      </c>
      <c r="Y7" s="10"/>
    </row>
    <row r="8" spans="1:25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f t="shared" si="0"/>
        <v>0</v>
      </c>
      <c r="Y8" s="10"/>
    </row>
    <row r="9" spans="1:25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 t="shared" si="0"/>
        <v>0</v>
      </c>
      <c r="Y9" s="10"/>
    </row>
    <row r="10" spans="1:25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f t="shared" si="0"/>
        <v>0</v>
      </c>
      <c r="Y10" s="10"/>
    </row>
    <row r="11" spans="1:25">
      <c r="A11" s="1">
        <v>11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f t="shared" si="0"/>
        <v>0</v>
      </c>
      <c r="Y11" s="10"/>
    </row>
    <row r="12" spans="1:25">
      <c r="A12" s="1">
        <v>12</v>
      </c>
      <c r="B12" s="2"/>
      <c r="C12" s="1"/>
      <c r="D12" s="1"/>
      <c r="E12" s="1"/>
      <c r="F12" s="1"/>
      <c r="G12" s="1"/>
      <c r="H12" s="1"/>
      <c r="I12" s="1"/>
      <c r="J12" s="1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3">
        <f t="shared" si="0"/>
        <v>0</v>
      </c>
      <c r="Y12" s="10"/>
    </row>
    <row r="13" spans="1:23">
      <c r="A13" s="1">
        <v>13</v>
      </c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 t="shared" si="0"/>
        <v>0</v>
      </c>
    </row>
    <row r="14" spans="1:23">
      <c r="A14" s="1">
        <v>14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7"/>
      <c r="N14" s="7"/>
      <c r="O14" s="7"/>
      <c r="P14" s="7"/>
      <c r="Q14" s="7"/>
      <c r="R14" s="7"/>
      <c r="S14" s="7"/>
      <c r="T14" s="7"/>
      <c r="U14" s="7"/>
      <c r="V14" s="7"/>
      <c r="W14" s="3">
        <f t="shared" si="0"/>
        <v>0</v>
      </c>
    </row>
    <row r="15" spans="1:23">
      <c r="A15" s="1">
        <v>15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f t="shared" si="0"/>
        <v>0</v>
      </c>
    </row>
    <row r="16" spans="1:23">
      <c r="A16" s="1">
        <v>16</v>
      </c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>
        <f t="shared" si="0"/>
        <v>0</v>
      </c>
    </row>
    <row r="17" spans="1:23">
      <c r="A17" s="1">
        <v>17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 t="shared" si="0"/>
        <v>0</v>
      </c>
    </row>
    <row r="18" spans="1:23">
      <c r="A18" s="1">
        <v>18</v>
      </c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f t="shared" si="0"/>
        <v>0</v>
      </c>
    </row>
    <row r="19" spans="1:23">
      <c r="A19" s="1">
        <v>19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0</v>
      </c>
    </row>
    <row r="20" spans="1:23">
      <c r="A20" s="1">
        <v>20</v>
      </c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f t="shared" si="0"/>
        <v>0</v>
      </c>
    </row>
    <row r="21" spans="1:23">
      <c r="A21" s="1">
        <v>21</v>
      </c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f t="shared" si="0"/>
        <v>0</v>
      </c>
    </row>
    <row r="22" spans="1:23">
      <c r="A22" s="1">
        <v>22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f t="shared" si="0"/>
        <v>0</v>
      </c>
    </row>
    <row r="23" spans="1:23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f t="shared" si="0"/>
        <v>0</v>
      </c>
    </row>
    <row r="24" spans="1:25">
      <c r="A24" s="1">
        <v>24</v>
      </c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f t="shared" si="0"/>
        <v>0</v>
      </c>
      <c r="Y24" s="9"/>
    </row>
    <row r="25" spans="1:23">
      <c r="A25" s="1">
        <v>25</v>
      </c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f t="shared" si="0"/>
        <v>0</v>
      </c>
    </row>
    <row r="26" spans="1:25">
      <c r="A26" s="1">
        <v>26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f t="shared" si="0"/>
        <v>0</v>
      </c>
      <c r="Y26" s="4"/>
    </row>
    <row r="27" spans="1:23">
      <c r="A27" s="1">
        <v>27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f t="shared" si="0"/>
        <v>0</v>
      </c>
    </row>
    <row r="28" spans="1:23">
      <c r="A28" s="1">
        <v>28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7"/>
      <c r="N28" s="7"/>
      <c r="O28" s="7"/>
      <c r="P28" s="7"/>
      <c r="Q28" s="7"/>
      <c r="R28" s="7"/>
      <c r="S28" s="7"/>
      <c r="T28" s="7"/>
      <c r="U28" s="7"/>
      <c r="V28" s="7"/>
      <c r="W28" s="3">
        <f t="shared" si="0"/>
        <v>0</v>
      </c>
    </row>
    <row r="29" spans="1:23">
      <c r="A29" s="1">
        <v>29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 t="shared" si="0"/>
        <v>0</v>
      </c>
    </row>
    <row r="30" spans="1:23">
      <c r="A30" s="1">
        <v>30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f t="shared" si="0"/>
        <v>0</v>
      </c>
    </row>
    <row r="31" spans="1:23">
      <c r="A31" s="1">
        <v>31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f t="shared" si="0"/>
        <v>0</v>
      </c>
    </row>
    <row r="32" spans="1:23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3">
        <f t="shared" si="0"/>
        <v>0</v>
      </c>
    </row>
    <row r="33" spans="1:23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ref="W33" si="1">SUM(C33:V33)</f>
        <v>0</v>
      </c>
    </row>
    <row r="34" spans="3:23">
      <c r="C34" s="4">
        <f t="shared" ref="C34:W34" si="2">SUM(C1:C33)</f>
        <v>0</v>
      </c>
      <c r="D34" s="4">
        <f t="shared" si="2"/>
        <v>0</v>
      </c>
      <c r="E34" s="4">
        <f t="shared" si="2"/>
        <v>0</v>
      </c>
      <c r="F34" s="4">
        <f t="shared" si="2"/>
        <v>0</v>
      </c>
      <c r="G34" s="4">
        <f t="shared" si="2"/>
        <v>0</v>
      </c>
      <c r="H34" s="4">
        <f t="shared" si="2"/>
        <v>0</v>
      </c>
      <c r="I34" s="4">
        <f t="shared" si="2"/>
        <v>0</v>
      </c>
      <c r="J34" s="4">
        <f t="shared" si="2"/>
        <v>0</v>
      </c>
      <c r="K34" s="4">
        <f t="shared" si="2"/>
        <v>0</v>
      </c>
      <c r="L34" s="4">
        <f t="shared" si="2"/>
        <v>0</v>
      </c>
      <c r="M34" s="4">
        <f t="shared" si="2"/>
        <v>13587.71</v>
      </c>
      <c r="N34" s="4">
        <f t="shared" si="2"/>
        <v>19376.913</v>
      </c>
      <c r="O34" s="4">
        <f t="shared" si="2"/>
        <v>14645.438</v>
      </c>
      <c r="P34" s="4">
        <f t="shared" si="2"/>
        <v>10452.7</v>
      </c>
      <c r="Q34" s="4">
        <f t="shared" si="2"/>
        <v>3195.35</v>
      </c>
      <c r="R34" s="4">
        <f t="shared" si="2"/>
        <v>0</v>
      </c>
      <c r="S34" s="4">
        <f t="shared" si="2"/>
        <v>12128.78</v>
      </c>
      <c r="T34" s="4">
        <f t="shared" si="2"/>
        <v>10298.71</v>
      </c>
      <c r="U34" s="4">
        <f t="shared" si="2"/>
        <v>4189.504</v>
      </c>
      <c r="V34" s="4">
        <f t="shared" si="2"/>
        <v>0</v>
      </c>
      <c r="W34" s="4">
        <f t="shared" si="2"/>
        <v>87875.105</v>
      </c>
    </row>
    <row r="41" spans="13:13">
      <c r="M41" s="8"/>
    </row>
  </sheetData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 Juillet</vt:lpstr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2014-10-22T10:40:00Z</dcterms:created>
  <cp:lastPrinted>2018-08-01T11:16:00Z</cp:lastPrinted>
  <dcterms:modified xsi:type="dcterms:W3CDTF">2022-09-07T11:09:50Z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