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90" windowHeight="9870" firstSheet="27" activeTab="30"/>
  </bookViews>
  <sheets>
    <sheet name="1" sheetId="16" r:id="rId1"/>
    <sheet name="2" sheetId="17" r:id="rId2"/>
    <sheet name="3" sheetId="18" r:id="rId3"/>
    <sheet name="4" sheetId="19" r:id="rId4"/>
    <sheet name="5" sheetId="20" r:id="rId5"/>
    <sheet name="6" sheetId="21" r:id="rId6"/>
    <sheet name="7" sheetId="22" r:id="rId7"/>
    <sheet name="8" sheetId="23" r:id="rId8"/>
    <sheet name="9" sheetId="24" r:id="rId9"/>
    <sheet name="10" sheetId="25" r:id="rId10"/>
    <sheet name="11" sheetId="26" r:id="rId11"/>
    <sheet name="12" sheetId="27" r:id="rId12"/>
    <sheet name="13" sheetId="28" r:id="rId13"/>
    <sheet name="14" sheetId="29" r:id="rId14"/>
    <sheet name="15" sheetId="30" r:id="rId15"/>
    <sheet name="16" sheetId="31" r:id="rId16"/>
    <sheet name="17" sheetId="7" r:id="rId17"/>
    <sheet name="18" sheetId="15" r:id="rId18"/>
    <sheet name="19" sheetId="2" r:id="rId19"/>
    <sheet name="20" sheetId="3" r:id="rId20"/>
    <sheet name="21" sheetId="4" r:id="rId21"/>
    <sheet name="22" sheetId="5" r:id="rId22"/>
    <sheet name="23" sheetId="6" r:id="rId23"/>
    <sheet name="24" sheetId="8" r:id="rId24"/>
    <sheet name="25" sheetId="9" r:id="rId25"/>
    <sheet name="26" sheetId="10" r:id="rId26"/>
    <sheet name="27" sheetId="11" r:id="rId27"/>
    <sheet name="28" sheetId="12" r:id="rId28"/>
    <sheet name="29" sheetId="13" r:id="rId29"/>
    <sheet name="30" sheetId="14" r:id="rId30"/>
    <sheet name="Sept." sheetId="33" r:id="rId31"/>
    <sheet name="Feuil1" sheetId="34" r:id="rId32"/>
  </sheets>
  <calcPr calcId="144525"/>
</workbook>
</file>

<file path=xl/sharedStrings.xml><?xml version="1.0" encoding="utf-8"?>
<sst xmlns="http://schemas.openxmlformats.org/spreadsheetml/2006/main" count="716" uniqueCount="26">
  <si>
    <t>N° CPT</t>
  </si>
  <si>
    <t>FOURNISSEUR</t>
  </si>
  <si>
    <t>T1</t>
  </si>
  <si>
    <t>T2</t>
  </si>
  <si>
    <t>T3</t>
  </si>
  <si>
    <t>T4</t>
  </si>
  <si>
    <t>T5</t>
  </si>
  <si>
    <t>T6</t>
  </si>
  <si>
    <t>T7</t>
  </si>
  <si>
    <t>T8</t>
  </si>
  <si>
    <t>T01</t>
  </si>
  <si>
    <t>T02</t>
  </si>
  <si>
    <t>T03</t>
  </si>
  <si>
    <t>T04</t>
  </si>
  <si>
    <t>T05</t>
  </si>
  <si>
    <t>T06</t>
  </si>
  <si>
    <t>T07</t>
  </si>
  <si>
    <t>T08</t>
  </si>
  <si>
    <t>PR1</t>
  </si>
  <si>
    <t>PR2</t>
  </si>
  <si>
    <t>PR3</t>
  </si>
  <si>
    <t>PR</t>
  </si>
  <si>
    <t>TOTAL</t>
  </si>
  <si>
    <t>Chikh</t>
  </si>
  <si>
    <t>Chekh Mad</t>
  </si>
  <si>
    <t>Cheikh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</si>
</sst>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0"/>
      <name val="MS Sans Serif"/>
      <charset val="134"/>
    </font>
    <font>
      <b/>
      <sz val="10"/>
      <name val="MS Sans Serif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5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5" borderId="9" applyNumberFormat="0" applyFont="0" applyAlignment="0" applyProtection="0">
      <alignment vertical="center"/>
    </xf>
    <xf numFmtId="0" fontId="20" fillId="29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58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  <xf numFmtId="0" fontId="0" fillId="2" borderId="0" xfId="0" applyFill="1"/>
    <xf numFmtId="2" fontId="0" fillId="2" borderId="1" xfId="0" applyNumberFormat="1" applyFill="1" applyBorder="1"/>
    <xf numFmtId="2" fontId="0" fillId="0" borderId="2" xfId="0" applyNumberForma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2198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>
        <v>1.9</v>
      </c>
      <c r="O2" s="5">
        <v>2.95</v>
      </c>
      <c r="P2" s="5">
        <v>13.5</v>
      </c>
      <c r="Q2" s="5">
        <v>0.75</v>
      </c>
      <c r="R2" s="5"/>
      <c r="S2" s="5"/>
      <c r="T2" s="5"/>
      <c r="U2" s="5">
        <v>0.6</v>
      </c>
      <c r="V2" s="5"/>
      <c r="W2" s="5">
        <f t="shared" ref="W2:W67" si="0">SUM(C2:V2)</f>
        <v>19.7</v>
      </c>
    </row>
    <row r="3" spans="1:23">
      <c r="A3" s="3">
        <v>2425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>
        <v>3.85</v>
      </c>
      <c r="O3" s="5">
        <v>12.3</v>
      </c>
      <c r="P3" s="5">
        <v>14.15</v>
      </c>
      <c r="Q3" s="5">
        <v>5.95</v>
      </c>
      <c r="R3" s="5"/>
      <c r="S3" s="5"/>
      <c r="T3" s="5">
        <v>11.5</v>
      </c>
      <c r="U3" s="5">
        <v>5.25</v>
      </c>
      <c r="V3" s="5"/>
      <c r="W3" s="5">
        <f t="shared" si="0"/>
        <v>53</v>
      </c>
    </row>
    <row r="4" spans="1:23">
      <c r="A4" s="3" t="s">
        <v>23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>
        <v>1.4</v>
      </c>
      <c r="P4" s="5">
        <v>6.2</v>
      </c>
      <c r="Q4" s="5">
        <v>4.95</v>
      </c>
      <c r="R4" s="5"/>
      <c r="S4" s="5"/>
      <c r="T4" s="5">
        <v>2.8</v>
      </c>
      <c r="U4" s="5">
        <v>2.2</v>
      </c>
      <c r="V4" s="5"/>
      <c r="W4" s="5">
        <f t="shared" si="0"/>
        <v>17.55</v>
      </c>
    </row>
    <row r="5" spans="1:23">
      <c r="A5" s="3">
        <v>309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f>14.95+9.9</f>
        <v>24.85</v>
      </c>
      <c r="N5" s="5">
        <f>15.2+21.3+26.05+13.3</f>
        <v>75.85</v>
      </c>
      <c r="O5" s="5">
        <f>16.5+20.7+20.7+18.65+14.4+13.5+17</f>
        <v>121.45</v>
      </c>
      <c r="P5" s="5">
        <f>15.15+16.6+16.4+18.85+16.75+23.8+14.8+16.35+2.35</f>
        <v>141.05</v>
      </c>
      <c r="Q5" s="5">
        <f>14.75+15.2+12.9+11.5+4.6</f>
        <v>58.95</v>
      </c>
      <c r="R5" s="5"/>
      <c r="S5" s="5">
        <v>14.7</v>
      </c>
      <c r="T5" s="5">
        <f>15.65+14.25+16.4+17.25+21.95+12.6+25.3+22.45+2.7</f>
        <v>148.55</v>
      </c>
      <c r="U5" s="5">
        <f>11.6+23.65+15.25+14.55+16.35+22.05</f>
        <v>103.45</v>
      </c>
      <c r="V5" s="5"/>
      <c r="W5" s="5">
        <f t="shared" si="0"/>
        <v>688.85</v>
      </c>
    </row>
    <row r="6" spans="1:23">
      <c r="A6" s="3">
        <v>2161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v>2.1</v>
      </c>
      <c r="N6" s="5">
        <v>12.1</v>
      </c>
      <c r="O6" s="5">
        <f>15.95+13.5</f>
        <v>29.45</v>
      </c>
      <c r="P6" s="5">
        <f>20.1+17.35</f>
        <v>37.45</v>
      </c>
      <c r="Q6" s="5">
        <v>2.75</v>
      </c>
      <c r="R6" s="5"/>
      <c r="S6" s="5"/>
      <c r="T6" s="5">
        <v>12</v>
      </c>
      <c r="U6" s="5">
        <v>2.9</v>
      </c>
      <c r="V6" s="5"/>
      <c r="W6" s="5">
        <f t="shared" si="0"/>
        <v>98.75</v>
      </c>
    </row>
    <row r="7" spans="1:23">
      <c r="A7" s="3">
        <v>2425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v>4.7</v>
      </c>
      <c r="N7" s="5"/>
      <c r="O7" s="5">
        <f>20.7+3.05</f>
        <v>23.75</v>
      </c>
      <c r="P7" s="5">
        <f>18.35+18.75+8.05</f>
        <v>45.15</v>
      </c>
      <c r="Q7" s="5">
        <v>17.5</v>
      </c>
      <c r="R7" s="5"/>
      <c r="S7" s="5"/>
      <c r="T7" s="5">
        <v>17.1</v>
      </c>
      <c r="U7" s="5">
        <f>21+9.3</f>
        <v>30.3</v>
      </c>
      <c r="V7" s="5"/>
      <c r="W7" s="5">
        <f t="shared" si="0"/>
        <v>138.5</v>
      </c>
    </row>
    <row r="8" spans="1:23">
      <c r="A8" s="3">
        <v>1030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v>2.05</v>
      </c>
      <c r="N8" s="5"/>
      <c r="O8" s="5">
        <v>1.45</v>
      </c>
      <c r="P8" s="5">
        <v>3.35</v>
      </c>
      <c r="Q8" s="5"/>
      <c r="R8" s="5"/>
      <c r="S8" s="5"/>
      <c r="T8" s="5">
        <f>23.25+7.6</f>
        <v>30.85</v>
      </c>
      <c r="U8" s="5">
        <v>8.95</v>
      </c>
      <c r="V8" s="5"/>
      <c r="W8" s="5">
        <f t="shared" si="0"/>
        <v>46.65</v>
      </c>
    </row>
    <row r="9" spans="1:23">
      <c r="A9" s="3">
        <v>1005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>
        <v>7.35</v>
      </c>
      <c r="P9" s="5">
        <v>5.4</v>
      </c>
      <c r="Q9" s="5">
        <v>0.95</v>
      </c>
      <c r="R9" s="5"/>
      <c r="S9" s="5">
        <v>2.15</v>
      </c>
      <c r="T9" s="5">
        <v>2.1</v>
      </c>
      <c r="U9" s="5">
        <v>3.35</v>
      </c>
      <c r="V9" s="5"/>
      <c r="W9" s="5">
        <f t="shared" si="0"/>
        <v>21.3</v>
      </c>
    </row>
    <row r="10" spans="1:23">
      <c r="A10" s="3">
        <v>1006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>
        <v>9.85</v>
      </c>
      <c r="O10" s="5">
        <v>17.15</v>
      </c>
      <c r="P10" s="5">
        <f>17.05+2.25</f>
        <v>19.3</v>
      </c>
      <c r="Q10" s="5">
        <v>7.35</v>
      </c>
      <c r="R10" s="5"/>
      <c r="S10" s="5"/>
      <c r="T10" s="5">
        <v>4.85</v>
      </c>
      <c r="U10" s="5">
        <v>2.8</v>
      </c>
      <c r="V10" s="5"/>
      <c r="W10" s="5">
        <f t="shared" si="0"/>
        <v>61.3</v>
      </c>
    </row>
    <row r="11" spans="1:23">
      <c r="A11" s="3">
        <v>999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v>6.25</v>
      </c>
      <c r="N11" s="5">
        <v>7</v>
      </c>
      <c r="O11" s="5">
        <v>9.6</v>
      </c>
      <c r="P11" s="5">
        <v>11.05</v>
      </c>
      <c r="Q11" s="5">
        <v>3</v>
      </c>
      <c r="R11" s="5"/>
      <c r="S11" s="5"/>
      <c r="T11" s="5">
        <v>2.7</v>
      </c>
      <c r="U11" s="5">
        <v>9</v>
      </c>
      <c r="V11" s="5"/>
      <c r="W11" s="5">
        <f t="shared" si="0"/>
        <v>48.6</v>
      </c>
    </row>
    <row r="12" spans="1:23">
      <c r="A12" s="3">
        <v>1013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>
        <v>5</v>
      </c>
      <c r="N12" s="5">
        <f>18.25+4.8</f>
        <v>23.05</v>
      </c>
      <c r="O12" s="5">
        <v>15.55</v>
      </c>
      <c r="P12" s="5">
        <f>14.25+15.25+8.65</f>
        <v>38.15</v>
      </c>
      <c r="Q12" s="5">
        <v>13.5</v>
      </c>
      <c r="R12" s="5"/>
      <c r="S12" s="5">
        <v>8.5</v>
      </c>
      <c r="T12" s="5">
        <f>15.3+1.75</f>
        <v>17.05</v>
      </c>
      <c r="U12" s="5">
        <v>8.6</v>
      </c>
      <c r="V12" s="5"/>
      <c r="W12" s="5">
        <f t="shared" si="0"/>
        <v>129.4</v>
      </c>
    </row>
    <row r="13" spans="1:23">
      <c r="A13" s="3">
        <v>1017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>
        <v>2.1</v>
      </c>
      <c r="N13" s="5">
        <v>6.3</v>
      </c>
      <c r="O13" s="5">
        <v>4.05</v>
      </c>
      <c r="P13" s="5">
        <v>8.15</v>
      </c>
      <c r="Q13" s="5">
        <v>3.5</v>
      </c>
      <c r="R13" s="5"/>
      <c r="S13" s="5"/>
      <c r="T13" s="5"/>
      <c r="U13" s="5">
        <v>3.95</v>
      </c>
      <c r="V13" s="5"/>
      <c r="W13" s="5">
        <f t="shared" si="0"/>
        <v>28.05</v>
      </c>
    </row>
    <row r="14" spans="1:23">
      <c r="A14" s="3">
        <v>1009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>
        <v>16.35</v>
      </c>
      <c r="N14" s="5">
        <f>17.1+17.95+15.65</f>
        <v>50.7</v>
      </c>
      <c r="O14" s="5">
        <f>15.5+6.7</f>
        <v>22.2</v>
      </c>
      <c r="P14" s="5">
        <f>14+17.9+16.35</f>
        <v>48.25</v>
      </c>
      <c r="Q14" s="5">
        <v>12.3</v>
      </c>
      <c r="R14" s="5"/>
      <c r="S14" s="5">
        <v>2.65</v>
      </c>
      <c r="T14" s="5">
        <v>9.45</v>
      </c>
      <c r="U14" s="5">
        <v>18.35</v>
      </c>
      <c r="V14" s="5"/>
      <c r="W14" s="5">
        <f t="shared" si="0"/>
        <v>180.25</v>
      </c>
    </row>
    <row r="15" spans="1:23">
      <c r="A15" s="3">
        <v>429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>
        <v>22</v>
      </c>
      <c r="P15" s="5"/>
      <c r="Q15" s="5"/>
      <c r="R15" s="5"/>
      <c r="S15" s="5"/>
      <c r="T15" s="5"/>
      <c r="U15" s="5"/>
      <c r="V15" s="5"/>
      <c r="W15" s="5">
        <f t="shared" si="0"/>
        <v>22</v>
      </c>
    </row>
    <row r="16" spans="1:23">
      <c r="A16" s="3">
        <v>354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>
        <f>21.35+12.6</f>
        <v>33.95</v>
      </c>
      <c r="N16" s="5">
        <f>19.2+19.75+17.5+20.35+16.9</f>
        <v>93.7</v>
      </c>
      <c r="O16" s="5">
        <f>17.5+6.95</f>
        <v>24.45</v>
      </c>
      <c r="P16" s="5">
        <f>16.05+16.1+18.45+16.3+16.3</f>
        <v>83.2</v>
      </c>
      <c r="Q16" s="5">
        <f>11.35+15.7</f>
        <v>27.05</v>
      </c>
      <c r="R16" s="5"/>
      <c r="S16" s="5">
        <v>6.95</v>
      </c>
      <c r="T16" s="5">
        <v>17.8</v>
      </c>
      <c r="U16" s="5">
        <f>14.25+3.9</f>
        <v>18.15</v>
      </c>
      <c r="V16" s="5"/>
      <c r="W16" s="5">
        <f t="shared" si="0"/>
        <v>305.25</v>
      </c>
    </row>
    <row r="17" spans="1:23">
      <c r="A17" s="3">
        <v>1791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>
        <v>2.45</v>
      </c>
      <c r="N17" s="5">
        <f>15.55+1.8</f>
        <v>17.35</v>
      </c>
      <c r="O17" s="5">
        <f>16.4+16.45</f>
        <v>32.85</v>
      </c>
      <c r="P17" s="5">
        <f>16.1+3.5</f>
        <v>19.6</v>
      </c>
      <c r="Q17" s="5">
        <v>6.45</v>
      </c>
      <c r="R17" s="5"/>
      <c r="S17" s="5">
        <v>4.9</v>
      </c>
      <c r="T17" s="5">
        <f>24.55+2.35</f>
        <v>26.9</v>
      </c>
      <c r="U17" s="5">
        <f>15.15+1.95</f>
        <v>17.1</v>
      </c>
      <c r="V17" s="5"/>
      <c r="W17" s="5">
        <f t="shared" si="0"/>
        <v>127.6</v>
      </c>
    </row>
    <row r="18" spans="1:23">
      <c r="A18" s="3">
        <v>342</v>
      </c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>
        <v>6.45</v>
      </c>
      <c r="O18" s="5">
        <v>25.15</v>
      </c>
      <c r="P18" s="5"/>
      <c r="Q18" s="5"/>
      <c r="R18" s="5"/>
      <c r="S18" s="5">
        <v>4.4</v>
      </c>
      <c r="T18" s="5">
        <v>7.05</v>
      </c>
      <c r="U18" s="5"/>
      <c r="V18" s="5"/>
      <c r="W18" s="5">
        <f t="shared" si="0"/>
        <v>43.05</v>
      </c>
    </row>
    <row r="19" spans="1:23">
      <c r="A19" s="3">
        <v>1036</v>
      </c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>
        <v>3.2</v>
      </c>
      <c r="O19" s="5">
        <f>22.95+17.05+12.35</f>
        <v>52.35</v>
      </c>
      <c r="P19" s="5"/>
      <c r="Q19" s="5"/>
      <c r="R19" s="5"/>
      <c r="S19" s="5"/>
      <c r="T19" s="5">
        <v>2.9</v>
      </c>
      <c r="U19" s="5"/>
      <c r="V19" s="5"/>
      <c r="W19" s="5">
        <f t="shared" si="0"/>
        <v>58.45</v>
      </c>
    </row>
    <row r="20" spans="1:23">
      <c r="A20" s="3">
        <v>451</v>
      </c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>
        <v>4.95</v>
      </c>
      <c r="N20" s="5">
        <v>8.9</v>
      </c>
      <c r="O20" s="5">
        <v>9.5</v>
      </c>
      <c r="P20" s="5">
        <v>11.9</v>
      </c>
      <c r="Q20" s="5">
        <v>3.3</v>
      </c>
      <c r="R20" s="5"/>
      <c r="S20" s="5"/>
      <c r="T20" s="5">
        <v>3.45</v>
      </c>
      <c r="U20" s="5">
        <v>5.15</v>
      </c>
      <c r="V20" s="5"/>
      <c r="W20" s="5">
        <f t="shared" si="0"/>
        <v>47.15</v>
      </c>
    </row>
    <row r="21" spans="1:23">
      <c r="A21" s="3">
        <v>260</v>
      </c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>
        <f>21.1+13.5</f>
        <v>34.6</v>
      </c>
      <c r="N21" s="5">
        <f>14.35+13.5+22.6+12.35</f>
        <v>62.8</v>
      </c>
      <c r="O21" s="5">
        <f>15.9+19.1+22.1+17.05</f>
        <v>74.15</v>
      </c>
      <c r="P21" s="5">
        <f>16.75+17.1+18.4+18.45+17.95+20.65+17.65</f>
        <v>126.95</v>
      </c>
      <c r="Q21" s="5">
        <f>17.15+21.3</f>
        <v>38.45</v>
      </c>
      <c r="R21" s="5"/>
      <c r="S21" s="5">
        <v>11.3</v>
      </c>
      <c r="T21" s="5">
        <f>21.8+22.05+2.85</f>
        <v>46.7</v>
      </c>
      <c r="U21" s="5">
        <f>26.4+1.85</f>
        <v>28.25</v>
      </c>
      <c r="V21" s="5"/>
      <c r="W21" s="5">
        <f t="shared" si="0"/>
        <v>423.2</v>
      </c>
    </row>
    <row r="22" spans="1:23">
      <c r="A22" s="3">
        <v>2425</v>
      </c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>
        <v>5.25</v>
      </c>
      <c r="N22" s="5">
        <v>7.2</v>
      </c>
      <c r="O22" s="5">
        <v>9.9</v>
      </c>
      <c r="P22" s="5">
        <f>13.4+19.6</f>
        <v>33</v>
      </c>
      <c r="Q22" s="5">
        <v>12.35</v>
      </c>
      <c r="R22" s="5"/>
      <c r="S22" s="5"/>
      <c r="T22" s="5">
        <v>13.15</v>
      </c>
      <c r="U22" s="5">
        <v>9.05</v>
      </c>
      <c r="V22" s="5"/>
      <c r="W22" s="5">
        <f t="shared" si="0"/>
        <v>89.9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144.6</v>
      </c>
      <c r="N349" s="6">
        <f t="shared" si="6"/>
        <v>390.2</v>
      </c>
      <c r="O349" s="6">
        <f t="shared" si="6"/>
        <v>519</v>
      </c>
      <c r="P349" s="6">
        <f t="shared" si="6"/>
        <v>665.8</v>
      </c>
      <c r="Q349" s="6">
        <f t="shared" si="6"/>
        <v>219.05</v>
      </c>
      <c r="R349" s="6">
        <f t="shared" si="6"/>
        <v>0</v>
      </c>
      <c r="S349" s="6">
        <f t="shared" si="6"/>
        <v>55.55</v>
      </c>
      <c r="T349" s="6">
        <f t="shared" si="6"/>
        <v>376.9</v>
      </c>
      <c r="U349" s="6">
        <f t="shared" si="6"/>
        <v>277.4</v>
      </c>
      <c r="V349" s="6">
        <f t="shared" si="6"/>
        <v>0</v>
      </c>
      <c r="W349" s="6">
        <f>SUM(W2:W348)</f>
        <v>2648.5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1651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>
        <v>6.95</v>
      </c>
      <c r="O2" s="5">
        <v>7</v>
      </c>
      <c r="P2" s="5">
        <v>6.35</v>
      </c>
      <c r="Q2" s="5">
        <v>3.25</v>
      </c>
      <c r="R2" s="5"/>
      <c r="S2" s="5"/>
      <c r="T2" s="5"/>
      <c r="U2" s="5"/>
      <c r="V2" s="5"/>
      <c r="W2" s="5">
        <f t="shared" ref="W2:W67" si="0">SUM(C2:V2)</f>
        <v>23.55</v>
      </c>
    </row>
    <row r="3" spans="1:23">
      <c r="A3" s="3">
        <v>996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>
        <f>7.4+3.3</f>
        <v>10.7</v>
      </c>
      <c r="O3" s="5"/>
      <c r="P3" s="5"/>
      <c r="Q3" s="5"/>
      <c r="R3" s="5"/>
      <c r="S3" s="5"/>
      <c r="T3" s="5">
        <v>3.25</v>
      </c>
      <c r="U3" s="5"/>
      <c r="V3" s="5"/>
      <c r="W3" s="5">
        <f t="shared" si="0"/>
        <v>13.95</v>
      </c>
    </row>
    <row r="4" spans="1:23">
      <c r="A4" s="3">
        <v>2425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2.2</v>
      </c>
      <c r="N4" s="5">
        <v>3.7</v>
      </c>
      <c r="O4" s="5">
        <v>5.65</v>
      </c>
      <c r="P4" s="5">
        <v>6.7</v>
      </c>
      <c r="Q4" s="5">
        <v>1.5</v>
      </c>
      <c r="R4" s="5"/>
      <c r="S4" s="5"/>
      <c r="T4" s="5">
        <v>2.85</v>
      </c>
      <c r="U4" s="5">
        <v>6.5</v>
      </c>
      <c r="V4" s="5"/>
      <c r="W4" s="5">
        <f t="shared" si="0"/>
        <v>29.1</v>
      </c>
    </row>
    <row r="5" spans="1:23">
      <c r="A5" s="3">
        <v>260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v>9.9</v>
      </c>
      <c r="N5" s="5">
        <v>19.3</v>
      </c>
      <c r="O5" s="5">
        <f>19.6+5.6</f>
        <v>25.2</v>
      </c>
      <c r="P5" s="5">
        <f>21.3+17.15</f>
        <v>38.45</v>
      </c>
      <c r="Q5" s="5">
        <f>20.95+6.8</f>
        <v>27.75</v>
      </c>
      <c r="R5" s="5"/>
      <c r="S5" s="5">
        <v>5.75</v>
      </c>
      <c r="T5" s="5">
        <f>20.15+23.25+1</f>
        <v>44.4</v>
      </c>
      <c r="U5" s="5">
        <f>11.35+18.6+17.15</f>
        <v>47.1</v>
      </c>
      <c r="V5" s="5"/>
      <c r="W5" s="5">
        <f t="shared" si="0"/>
        <v>217.85</v>
      </c>
    </row>
    <row r="6" spans="1:23">
      <c r="A6" s="3">
        <v>451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v>9.7</v>
      </c>
      <c r="N6" s="5">
        <f>17.9+17.55</f>
        <v>35.45</v>
      </c>
      <c r="O6" s="5">
        <f>17.65+8.45</f>
        <v>26.1</v>
      </c>
      <c r="P6" s="5">
        <f>23.1+11.6</f>
        <v>34.7</v>
      </c>
      <c r="Q6" s="5">
        <v>20</v>
      </c>
      <c r="R6" s="5"/>
      <c r="S6" s="5">
        <v>10.4</v>
      </c>
      <c r="T6" s="5">
        <v>8.25</v>
      </c>
      <c r="U6" s="5">
        <v>5.1</v>
      </c>
      <c r="V6" s="5"/>
      <c r="W6" s="5">
        <f t="shared" si="0"/>
        <v>149.7</v>
      </c>
    </row>
    <row r="7" spans="1:25">
      <c r="A7" s="3">
        <v>2167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v>24.75</v>
      </c>
      <c r="N7" s="5">
        <f>26.7+3.55</f>
        <v>30.25</v>
      </c>
      <c r="O7" s="5">
        <f>16.6+21.7+2.8</f>
        <v>41.1</v>
      </c>
      <c r="P7" s="5">
        <f>12.25+18.5</f>
        <v>30.75</v>
      </c>
      <c r="Q7" s="5">
        <v>9.6</v>
      </c>
      <c r="R7" s="5"/>
      <c r="S7" s="5"/>
      <c r="T7" s="5">
        <v>5.8</v>
      </c>
      <c r="U7" s="5">
        <v>2.4</v>
      </c>
      <c r="V7" s="5"/>
      <c r="W7" s="5">
        <f t="shared" si="0"/>
        <v>144.65</v>
      </c>
      <c r="X7" s="9"/>
      <c r="Y7" s="9"/>
    </row>
    <row r="8" spans="1:23">
      <c r="A8" s="3">
        <v>354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v>4.55</v>
      </c>
      <c r="N8" s="5">
        <v>6.7</v>
      </c>
      <c r="O8" s="5">
        <f>16.75+20.85+14.2</f>
        <v>51.8</v>
      </c>
      <c r="P8" s="5">
        <f>13.75+8.3</f>
        <v>22.05</v>
      </c>
      <c r="Q8" s="5">
        <v>6.05</v>
      </c>
      <c r="R8" s="5"/>
      <c r="S8" s="5"/>
      <c r="T8" s="5">
        <v>14.8</v>
      </c>
      <c r="U8" s="5">
        <v>8.45</v>
      </c>
      <c r="V8" s="5"/>
      <c r="W8" s="5">
        <f t="shared" si="0"/>
        <v>114.4</v>
      </c>
    </row>
    <row r="9" spans="1:23">
      <c r="A9" s="3">
        <v>1791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v>2.05</v>
      </c>
      <c r="N9" s="5">
        <f>12.2+1.65</f>
        <v>13.85</v>
      </c>
      <c r="O9" s="5">
        <v>13.3</v>
      </c>
      <c r="P9" s="5">
        <v>11.5</v>
      </c>
      <c r="Q9" s="5">
        <v>5.05</v>
      </c>
      <c r="R9" s="5"/>
      <c r="S9" s="5">
        <v>2.8</v>
      </c>
      <c r="T9" s="5">
        <v>5.6</v>
      </c>
      <c r="U9" s="5">
        <v>6.55</v>
      </c>
      <c r="V9" s="5"/>
      <c r="W9" s="5">
        <f t="shared" si="0"/>
        <v>60.7</v>
      </c>
    </row>
    <row r="10" spans="1:23">
      <c r="A10" s="3">
        <v>342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>
        <v>2.05</v>
      </c>
      <c r="N10" s="5">
        <v>9.35</v>
      </c>
      <c r="O10" s="5">
        <v>15.95</v>
      </c>
      <c r="P10" s="5">
        <v>1.1</v>
      </c>
      <c r="Q10" s="5"/>
      <c r="R10" s="5"/>
      <c r="S10" s="5"/>
      <c r="T10" s="5">
        <v>2.7</v>
      </c>
      <c r="U10" s="5"/>
      <c r="V10" s="5"/>
      <c r="W10" s="5">
        <f t="shared" si="0"/>
        <v>31.15</v>
      </c>
    </row>
    <row r="11" spans="1:23">
      <c r="A11" s="3">
        <v>1017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f>2.25+2</f>
        <v>4.25</v>
      </c>
      <c r="N11" s="5"/>
      <c r="O11" s="5">
        <v>1.45</v>
      </c>
      <c r="P11" s="5">
        <v>2.35</v>
      </c>
      <c r="Q11" s="5">
        <v>3.15</v>
      </c>
      <c r="R11" s="5"/>
      <c r="S11" s="5"/>
      <c r="T11" s="5">
        <v>1.3</v>
      </c>
      <c r="U11" s="5">
        <v>0.6</v>
      </c>
      <c r="V11" s="5"/>
      <c r="W11" s="5">
        <f t="shared" si="0"/>
        <v>13.1</v>
      </c>
    </row>
    <row r="12" spans="1:23">
      <c r="A12" s="3">
        <v>1009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>
        <f>15+9.1</f>
        <v>24.1</v>
      </c>
      <c r="N12" s="5">
        <f>14.85+14.3+10.2</f>
        <v>39.35</v>
      </c>
      <c r="O12" s="5">
        <f>15.55+6.7</f>
        <v>22.25</v>
      </c>
      <c r="P12" s="5">
        <f>16.2+21.4+1.9</f>
        <v>39.5</v>
      </c>
      <c r="Q12" s="5">
        <v>12.5</v>
      </c>
      <c r="R12" s="5"/>
      <c r="S12" s="5">
        <v>5.4</v>
      </c>
      <c r="T12" s="5">
        <v>15.55</v>
      </c>
      <c r="U12" s="5">
        <v>7.9</v>
      </c>
      <c r="V12" s="5"/>
      <c r="W12" s="5">
        <f t="shared" si="0"/>
        <v>166.55</v>
      </c>
    </row>
    <row r="13" spans="1:23">
      <c r="A13" s="3">
        <v>342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>
        <v>1.85</v>
      </c>
      <c r="O13" s="5"/>
      <c r="P13" s="5">
        <v>5.6</v>
      </c>
      <c r="Q13" s="5">
        <v>2.45</v>
      </c>
      <c r="R13" s="5"/>
      <c r="S13" s="5"/>
      <c r="T13" s="5"/>
      <c r="U13" s="5">
        <v>0.55</v>
      </c>
      <c r="V13" s="5"/>
      <c r="W13" s="5">
        <f t="shared" si="0"/>
        <v>10.45</v>
      </c>
    </row>
    <row r="14" spans="1:23">
      <c r="A14" s="3">
        <v>1005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>
        <v>1.35</v>
      </c>
      <c r="P14" s="5"/>
      <c r="Q14" s="5">
        <v>0.8</v>
      </c>
      <c r="R14" s="5"/>
      <c r="S14" s="5"/>
      <c r="T14" s="5"/>
      <c r="U14" s="5">
        <v>0.55</v>
      </c>
      <c r="V14" s="5"/>
      <c r="W14" s="5">
        <f t="shared" si="0"/>
        <v>2.7</v>
      </c>
    </row>
    <row r="15" spans="1:23">
      <c r="A15" s="3">
        <v>999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>
        <v>9.65</v>
      </c>
      <c r="O15" s="5">
        <v>7.05</v>
      </c>
      <c r="P15" s="5">
        <v>11.3</v>
      </c>
      <c r="Q15" s="5">
        <v>3.5</v>
      </c>
      <c r="R15" s="5"/>
      <c r="S15" s="5"/>
      <c r="T15" s="5">
        <v>5.75</v>
      </c>
      <c r="U15" s="5">
        <v>8.5</v>
      </c>
      <c r="V15" s="5"/>
      <c r="W15" s="5">
        <f t="shared" si="0"/>
        <v>45.75</v>
      </c>
    </row>
    <row r="16" spans="1:23">
      <c r="A16" s="3">
        <v>309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>
        <f>7.4+2.15</f>
        <v>9.55</v>
      </c>
      <c r="N16" s="5">
        <f>13.75+16.1+17.1</f>
        <v>46.95</v>
      </c>
      <c r="O16" s="5">
        <f>18+15.45+21+8.3</f>
        <v>62.75</v>
      </c>
      <c r="P16" s="5">
        <f>17.05+18.05+16.65+18.45+23.85+25.6+18.75+10.35</f>
        <v>148.75</v>
      </c>
      <c r="Q16" s="5">
        <f>19.15+16.15+24.3+12.2</f>
        <v>71.8</v>
      </c>
      <c r="R16" s="5"/>
      <c r="S16" s="5">
        <v>3.05</v>
      </c>
      <c r="T16" s="5">
        <f>21.3+18.95+5.4</f>
        <v>45.65</v>
      </c>
      <c r="U16" s="5">
        <f>17.6+24.3+5.55</f>
        <v>47.45</v>
      </c>
      <c r="V16" s="5"/>
      <c r="W16" s="5">
        <f t="shared" si="0"/>
        <v>435.95</v>
      </c>
    </row>
    <row r="17" spans="1:23">
      <c r="A17" s="3">
        <v>1013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>
        <v>2.2</v>
      </c>
      <c r="N17" s="5">
        <v>18</v>
      </c>
      <c r="O17" s="5">
        <f>23.45+17.4+2.9</f>
        <v>43.75</v>
      </c>
      <c r="P17" s="5">
        <f>18.85+14.75</f>
        <v>33.6</v>
      </c>
      <c r="Q17" s="5">
        <v>15.85</v>
      </c>
      <c r="R17" s="5"/>
      <c r="S17" s="5"/>
      <c r="T17" s="5">
        <v>8.45</v>
      </c>
      <c r="U17" s="5">
        <v>4.85</v>
      </c>
      <c r="V17" s="5"/>
      <c r="W17" s="5">
        <f t="shared" si="0"/>
        <v>126.7</v>
      </c>
    </row>
    <row r="18" spans="1:23">
      <c r="A18" s="3">
        <v>260</v>
      </c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>
        <v>11.55</v>
      </c>
      <c r="N18" s="5">
        <v>3.3</v>
      </c>
      <c r="O18" s="5">
        <f>16.8+15.7+4.45</f>
        <v>36.95</v>
      </c>
      <c r="P18" s="5">
        <f>21.15+5.85</f>
        <v>27</v>
      </c>
      <c r="Q18" s="5">
        <v>7.7</v>
      </c>
      <c r="R18" s="5"/>
      <c r="S18" s="5"/>
      <c r="T18" s="5">
        <f>21.05+18.4</f>
        <v>39.45</v>
      </c>
      <c r="U18" s="5">
        <v>9.05</v>
      </c>
      <c r="V18" s="5"/>
      <c r="W18" s="5">
        <f t="shared" si="0"/>
        <v>135</v>
      </c>
    </row>
    <row r="19" spans="1:23">
      <c r="A19" s="3">
        <v>2425</v>
      </c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>
        <v>2.3</v>
      </c>
      <c r="N19" s="5"/>
      <c r="O19" s="5">
        <v>15.5</v>
      </c>
      <c r="P19" s="5">
        <f>17.6+6.65</f>
        <v>24.25</v>
      </c>
      <c r="Q19" s="5">
        <v>4.65</v>
      </c>
      <c r="R19" s="5"/>
      <c r="S19" s="5"/>
      <c r="T19" s="5">
        <v>12.35</v>
      </c>
      <c r="U19" s="5">
        <v>9.5</v>
      </c>
      <c r="V19" s="5"/>
      <c r="W19" s="5">
        <f t="shared" si="0"/>
        <v>68.55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109.15</v>
      </c>
      <c r="N349" s="6">
        <f t="shared" si="6"/>
        <v>255.35</v>
      </c>
      <c r="O349" s="6">
        <f t="shared" si="6"/>
        <v>377.15</v>
      </c>
      <c r="P349" s="6">
        <f t="shared" si="6"/>
        <v>443.95</v>
      </c>
      <c r="Q349" s="6">
        <f t="shared" si="6"/>
        <v>195.6</v>
      </c>
      <c r="R349" s="6">
        <f t="shared" si="6"/>
        <v>0</v>
      </c>
      <c r="S349" s="6">
        <f t="shared" si="6"/>
        <v>27.4</v>
      </c>
      <c r="T349" s="6">
        <f t="shared" si="6"/>
        <v>216.15</v>
      </c>
      <c r="U349" s="6">
        <f t="shared" si="6"/>
        <v>165.05</v>
      </c>
      <c r="V349" s="6">
        <f t="shared" si="6"/>
        <v>0</v>
      </c>
      <c r="W349" s="6">
        <f>SUM(W2:W348)</f>
        <v>1789.8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2198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>
        <v>1.45</v>
      </c>
      <c r="P2" s="5">
        <v>2.3</v>
      </c>
      <c r="Q2" s="5">
        <v>1.25</v>
      </c>
      <c r="R2" s="5"/>
      <c r="S2" s="5"/>
      <c r="T2" s="5"/>
      <c r="U2" s="5"/>
      <c r="V2" s="5"/>
      <c r="W2" s="5">
        <f t="shared" ref="W2:W67" si="0">SUM(C2:V2)</f>
        <v>5</v>
      </c>
    </row>
    <row r="3" spans="1:23">
      <c r="A3" s="3">
        <v>1651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v>2.3</v>
      </c>
      <c r="N3" s="5">
        <v>5.05</v>
      </c>
      <c r="O3" s="5">
        <v>1.35</v>
      </c>
      <c r="P3" s="5">
        <v>5.15</v>
      </c>
      <c r="Q3" s="5">
        <v>3</v>
      </c>
      <c r="R3" s="5"/>
      <c r="S3" s="5"/>
      <c r="T3" s="5"/>
      <c r="U3" s="5"/>
      <c r="V3" s="5"/>
      <c r="W3" s="5">
        <f t="shared" si="0"/>
        <v>16.85</v>
      </c>
    </row>
    <row r="4" spans="1:23">
      <c r="A4" s="3">
        <v>2167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8.9</v>
      </c>
      <c r="N4" s="5">
        <f>22.1+16.5</f>
        <v>38.6</v>
      </c>
      <c r="O4" s="5">
        <f>22.6+14.55+22.1</f>
        <v>59.25</v>
      </c>
      <c r="P4" s="5">
        <f>10.8+20.2</f>
        <v>31</v>
      </c>
      <c r="Q4" s="5">
        <v>0.85</v>
      </c>
      <c r="R4" s="5"/>
      <c r="S4" s="5"/>
      <c r="T4" s="5">
        <v>2.7</v>
      </c>
      <c r="U4" s="5"/>
      <c r="V4" s="5"/>
      <c r="W4" s="5">
        <f t="shared" si="0"/>
        <v>141.3</v>
      </c>
    </row>
    <row r="5" spans="1:23">
      <c r="A5" s="3">
        <v>260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v>10.15</v>
      </c>
      <c r="N5" s="5">
        <v>16.4</v>
      </c>
      <c r="O5" s="5">
        <f>19.35+18.9</f>
        <v>38.25</v>
      </c>
      <c r="P5" s="5">
        <f>16.35+18.2+27.25</f>
        <v>61.8</v>
      </c>
      <c r="Q5" s="5">
        <f>18.55+18.45+18.65</f>
        <v>55.65</v>
      </c>
      <c r="R5" s="5"/>
      <c r="S5" s="5">
        <v>7.15</v>
      </c>
      <c r="T5" s="5">
        <v>5.95</v>
      </c>
      <c r="U5" s="5">
        <v>27</v>
      </c>
      <c r="V5" s="5"/>
      <c r="W5" s="5">
        <f t="shared" si="0"/>
        <v>222.35</v>
      </c>
    </row>
    <row r="6" spans="1:23">
      <c r="A6" s="3">
        <v>451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v>9.2</v>
      </c>
      <c r="N6" s="5">
        <f>17.8+5.5</f>
        <v>23.3</v>
      </c>
      <c r="O6" s="5">
        <v>20</v>
      </c>
      <c r="P6" s="5">
        <v>16.1</v>
      </c>
      <c r="Q6" s="5">
        <v>16.45</v>
      </c>
      <c r="R6" s="5"/>
      <c r="S6" s="5">
        <v>2.25</v>
      </c>
      <c r="T6" s="5"/>
      <c r="U6" s="5">
        <v>6.85</v>
      </c>
      <c r="V6" s="5"/>
      <c r="W6" s="5">
        <f t="shared" si="0"/>
        <v>94.15</v>
      </c>
    </row>
    <row r="7" spans="1:23">
      <c r="A7" s="3">
        <v>1017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>
        <v>4.15</v>
      </c>
      <c r="P7" s="5">
        <v>3.7</v>
      </c>
      <c r="Q7" s="5">
        <v>4.45</v>
      </c>
      <c r="R7" s="5"/>
      <c r="S7" s="5"/>
      <c r="T7" s="5">
        <v>1.1</v>
      </c>
      <c r="U7" s="5"/>
      <c r="V7" s="5"/>
      <c r="W7" s="5">
        <f t="shared" si="0"/>
        <v>13.4</v>
      </c>
    </row>
    <row r="8" spans="1:23">
      <c r="A8" s="3">
        <v>1009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v>4.35</v>
      </c>
      <c r="N8" s="5">
        <f>17.55+17.35</f>
        <v>34.9</v>
      </c>
      <c r="O8" s="5">
        <f>17.3+20.3+4.65</f>
        <v>42.25</v>
      </c>
      <c r="P8" s="5">
        <f>18.15+20.45+10.5</f>
        <v>49.1</v>
      </c>
      <c r="Q8" s="5">
        <f>18.5+12.65</f>
        <v>31.15</v>
      </c>
      <c r="R8" s="5"/>
      <c r="S8" s="5"/>
      <c r="T8" s="5">
        <v>14.95</v>
      </c>
      <c r="U8" s="5">
        <v>18.55</v>
      </c>
      <c r="V8" s="5"/>
      <c r="W8" s="5">
        <f t="shared" si="0"/>
        <v>195.25</v>
      </c>
    </row>
    <row r="9" spans="1:23">
      <c r="A9" s="3">
        <v>999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>
        <v>7.05</v>
      </c>
      <c r="O9" s="5">
        <v>8.25</v>
      </c>
      <c r="P9" s="5">
        <v>17.7</v>
      </c>
      <c r="Q9" s="5">
        <v>12.5</v>
      </c>
      <c r="R9" s="5"/>
      <c r="S9" s="5"/>
      <c r="T9" s="5">
        <v>2.3</v>
      </c>
      <c r="U9" s="5">
        <v>10.3</v>
      </c>
      <c r="V9" s="5"/>
      <c r="W9" s="5">
        <f t="shared" si="0"/>
        <v>58.1</v>
      </c>
    </row>
    <row r="10" spans="1:23">
      <c r="A10" s="3">
        <v>2425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>
        <v>2.2</v>
      </c>
      <c r="N10" s="5"/>
      <c r="O10" s="5">
        <v>8.4</v>
      </c>
      <c r="P10" s="5">
        <f>24.05+19.05+17.3</f>
        <v>60.4</v>
      </c>
      <c r="Q10" s="5">
        <f>19+15</f>
        <v>34</v>
      </c>
      <c r="R10" s="5"/>
      <c r="S10" s="5"/>
      <c r="T10" s="5">
        <v>17.2</v>
      </c>
      <c r="U10" s="5">
        <v>15.75</v>
      </c>
      <c r="V10" s="5"/>
      <c r="W10" s="5">
        <f t="shared" si="0"/>
        <v>137.95</v>
      </c>
    </row>
    <row r="11" spans="1:23">
      <c r="A11" s="3">
        <v>2167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v>2.1</v>
      </c>
      <c r="N11" s="5">
        <v>5.65</v>
      </c>
      <c r="O11" s="5">
        <v>8</v>
      </c>
      <c r="P11" s="5">
        <v>23.25</v>
      </c>
      <c r="Q11" s="5">
        <v>0.8</v>
      </c>
      <c r="R11" s="5"/>
      <c r="S11" s="5"/>
      <c r="T11" s="5">
        <v>27.8</v>
      </c>
      <c r="U11" s="5">
        <v>9.05</v>
      </c>
      <c r="V11" s="5"/>
      <c r="W11" s="5">
        <f t="shared" si="0"/>
        <v>76.65</v>
      </c>
    </row>
    <row r="12" spans="1:23">
      <c r="A12" s="3">
        <v>1791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>
        <v>6.9</v>
      </c>
      <c r="O12" s="5">
        <v>2.8</v>
      </c>
      <c r="P12" s="5">
        <v>10.35</v>
      </c>
      <c r="Q12" s="5">
        <v>6.5</v>
      </c>
      <c r="R12" s="5"/>
      <c r="S12" s="5"/>
      <c r="T12" s="5"/>
      <c r="U12" s="5">
        <v>2.15</v>
      </c>
      <c r="V12" s="5"/>
      <c r="W12" s="5">
        <f t="shared" si="0"/>
        <v>28.7</v>
      </c>
    </row>
    <row r="13" spans="1:23">
      <c r="A13" s="3">
        <v>354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>
        <v>2</v>
      </c>
      <c r="N13" s="5">
        <v>15.65</v>
      </c>
      <c r="O13" s="5">
        <f>22.9+5.5</f>
        <v>28.4</v>
      </c>
      <c r="P13" s="5">
        <v>6.25</v>
      </c>
      <c r="Q13" s="5">
        <v>1.5</v>
      </c>
      <c r="R13" s="5"/>
      <c r="S13" s="5"/>
      <c r="T13" s="5">
        <v>6.5</v>
      </c>
      <c r="U13" s="5">
        <v>0.7</v>
      </c>
      <c r="V13" s="5"/>
      <c r="W13" s="5">
        <f t="shared" si="0"/>
        <v>61</v>
      </c>
    </row>
    <row r="14" spans="1:23">
      <c r="A14" s="3">
        <v>342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>
        <v>6.75</v>
      </c>
      <c r="Q14" s="5"/>
      <c r="R14" s="5"/>
      <c r="S14" s="5"/>
      <c r="T14" s="5">
        <v>3.05</v>
      </c>
      <c r="U14" s="5">
        <v>10.4</v>
      </c>
      <c r="V14" s="5"/>
      <c r="W14" s="5">
        <f t="shared" si="0"/>
        <v>20.2</v>
      </c>
    </row>
    <row r="15" spans="1:23">
      <c r="A15" s="3">
        <v>1009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>
        <v>1.6</v>
      </c>
      <c r="O15" s="5"/>
      <c r="P15" s="5">
        <v>5.55</v>
      </c>
      <c r="Q15" s="5">
        <v>3.4</v>
      </c>
      <c r="R15" s="5"/>
      <c r="S15" s="5"/>
      <c r="T15" s="5">
        <v>9.6</v>
      </c>
      <c r="U15" s="5">
        <v>0.85</v>
      </c>
      <c r="V15" s="5"/>
      <c r="W15" s="5">
        <f t="shared" si="0"/>
        <v>21</v>
      </c>
    </row>
    <row r="16" spans="1:23">
      <c r="A16" s="3">
        <v>1013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>
        <v>4.9</v>
      </c>
      <c r="N16" s="5">
        <v>18.6</v>
      </c>
      <c r="O16" s="5">
        <f>19.3+15.9+18.25</f>
        <v>53.45</v>
      </c>
      <c r="P16" s="5">
        <f>18.1+24.55+9.3</f>
        <v>51.95</v>
      </c>
      <c r="Q16" s="5">
        <f>16.25+6.8</f>
        <v>23.05</v>
      </c>
      <c r="R16" s="5"/>
      <c r="S16" s="5"/>
      <c r="T16" s="5">
        <v>3.95</v>
      </c>
      <c r="U16" s="5">
        <v>8.2</v>
      </c>
      <c r="V16" s="5"/>
      <c r="W16" s="5">
        <f t="shared" si="0"/>
        <v>164.1</v>
      </c>
    </row>
    <row r="17" spans="1:23">
      <c r="A17" s="3">
        <v>2161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>
        <v>1.75</v>
      </c>
      <c r="O17" s="5">
        <v>2.9</v>
      </c>
      <c r="P17" s="5">
        <v>9</v>
      </c>
      <c r="Q17" s="5">
        <v>6.95</v>
      </c>
      <c r="R17" s="5"/>
      <c r="S17" s="5"/>
      <c r="T17" s="5">
        <v>2.75</v>
      </c>
      <c r="U17" s="5">
        <v>0.7</v>
      </c>
      <c r="V17" s="5"/>
      <c r="W17" s="5">
        <f t="shared" si="0"/>
        <v>24.05</v>
      </c>
    </row>
    <row r="18" spans="1:23">
      <c r="A18" s="3">
        <v>309</v>
      </c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>
        <v>13.9</v>
      </c>
      <c r="N18" s="5">
        <f>16.7+18.4+19.9</f>
        <v>55</v>
      </c>
      <c r="O18" s="5">
        <f>17.75+16.75+16.4+14.6+19.75</f>
        <v>85.25</v>
      </c>
      <c r="P18" s="5">
        <f>16.3+17.1+19.7+15.9+14.95+19.05+20.2+9.15</f>
        <v>132.35</v>
      </c>
      <c r="Q18" s="5">
        <f>14.75+17.4+23.55+1.7</f>
        <v>57.4</v>
      </c>
      <c r="R18" s="5"/>
      <c r="S18" s="5">
        <v>5.3</v>
      </c>
      <c r="T18" s="5">
        <f>16.8+25.65+9.5</f>
        <v>51.95</v>
      </c>
      <c r="U18" s="5">
        <f>18.05+21+18.75+13.1</f>
        <v>70.9</v>
      </c>
      <c r="V18" s="5"/>
      <c r="W18" s="5">
        <f t="shared" si="0"/>
        <v>472.05</v>
      </c>
    </row>
    <row r="19" spans="1:23">
      <c r="A19" s="3">
        <v>260</v>
      </c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>
        <v>3.4</v>
      </c>
      <c r="O19" s="5">
        <v>1.35</v>
      </c>
      <c r="P19" s="5">
        <v>28.5</v>
      </c>
      <c r="Q19" s="5"/>
      <c r="R19" s="5"/>
      <c r="S19" s="5"/>
      <c r="T19" s="5">
        <f>17.55+24.45</f>
        <v>42</v>
      </c>
      <c r="U19" s="5">
        <v>18.05</v>
      </c>
      <c r="V19" s="5"/>
      <c r="W19" s="5">
        <f t="shared" si="0"/>
        <v>93.3</v>
      </c>
    </row>
    <row r="20" spans="1:23">
      <c r="A20" s="3">
        <v>309</v>
      </c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>
        <v>4.4</v>
      </c>
      <c r="P20" s="5">
        <v>11.7</v>
      </c>
      <c r="Q20" s="5"/>
      <c r="R20" s="5"/>
      <c r="S20" s="5"/>
      <c r="T20" s="5">
        <v>17.8</v>
      </c>
      <c r="U20" s="5">
        <v>8.05</v>
      </c>
      <c r="V20" s="5"/>
      <c r="W20" s="5">
        <f t="shared" si="0"/>
        <v>41.95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60</v>
      </c>
      <c r="N349" s="6">
        <f t="shared" si="6"/>
        <v>233.85</v>
      </c>
      <c r="O349" s="6">
        <f t="shared" si="6"/>
        <v>369.9</v>
      </c>
      <c r="P349" s="6">
        <f t="shared" si="6"/>
        <v>532.9</v>
      </c>
      <c r="Q349" s="6">
        <f t="shared" si="6"/>
        <v>258.9</v>
      </c>
      <c r="R349" s="6">
        <f t="shared" si="6"/>
        <v>0</v>
      </c>
      <c r="S349" s="6">
        <f t="shared" si="6"/>
        <v>14.7</v>
      </c>
      <c r="T349" s="6">
        <f t="shared" si="6"/>
        <v>209.6</v>
      </c>
      <c r="U349" s="6">
        <f t="shared" si="6"/>
        <v>207.5</v>
      </c>
      <c r="V349" s="6">
        <f t="shared" si="6"/>
        <v>0</v>
      </c>
      <c r="W349" s="6">
        <f>SUM(W2:W348)</f>
        <v>1887.35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999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>
        <v>3.75</v>
      </c>
      <c r="O2" s="5">
        <v>4.2</v>
      </c>
      <c r="P2" s="5">
        <v>14.5</v>
      </c>
      <c r="Q2" s="5">
        <v>8.25</v>
      </c>
      <c r="R2" s="5"/>
      <c r="S2" s="5"/>
      <c r="T2" s="5">
        <v>1.15</v>
      </c>
      <c r="U2" s="5">
        <v>4.25</v>
      </c>
      <c r="V2" s="5"/>
      <c r="W2" s="5">
        <f t="shared" ref="W2:W67" si="0">SUM(C2:V2)</f>
        <v>36.1</v>
      </c>
    </row>
    <row r="3" spans="1:23">
      <c r="A3" s="3">
        <v>2167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v>11.95</v>
      </c>
      <c r="N3" s="5">
        <f>21.85+12.9</f>
        <v>34.75</v>
      </c>
      <c r="O3" s="5">
        <f>20.5+23.05</f>
        <v>43.55</v>
      </c>
      <c r="P3" s="5">
        <f>19.7+18.35</f>
        <v>38.05</v>
      </c>
      <c r="Q3" s="5">
        <v>6.7</v>
      </c>
      <c r="R3" s="5"/>
      <c r="S3" s="5">
        <v>2.35</v>
      </c>
      <c r="T3" s="5">
        <v>2.5</v>
      </c>
      <c r="U3" s="5">
        <v>2.5</v>
      </c>
      <c r="V3" s="5"/>
      <c r="W3" s="5">
        <f t="shared" si="0"/>
        <v>142.35</v>
      </c>
    </row>
    <row r="4" spans="1:23">
      <c r="A4" s="3">
        <v>1013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2.4</v>
      </c>
      <c r="N4" s="5">
        <v>11.95</v>
      </c>
      <c r="O4" s="5">
        <v>17</v>
      </c>
      <c r="P4" s="5">
        <v>21.3</v>
      </c>
      <c r="Q4" s="5">
        <v>2.45</v>
      </c>
      <c r="R4" s="5"/>
      <c r="S4" s="5"/>
      <c r="T4" s="5">
        <v>4.05</v>
      </c>
      <c r="U4" s="5">
        <v>2.05</v>
      </c>
      <c r="V4" s="5"/>
      <c r="W4" s="5">
        <f t="shared" si="0"/>
        <v>61.2</v>
      </c>
    </row>
    <row r="5" spans="1:23">
      <c r="A5" s="3">
        <v>260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v>5.15</v>
      </c>
      <c r="N5" s="5">
        <v>13.2</v>
      </c>
      <c r="O5" s="5">
        <f>16.6+16.75+7.9</f>
        <v>41.25</v>
      </c>
      <c r="P5" s="5">
        <f>18.9+13.75</f>
        <v>32.65</v>
      </c>
      <c r="Q5" s="5"/>
      <c r="R5" s="5"/>
      <c r="S5" s="5"/>
      <c r="T5" s="5">
        <f>19.9+20.95</f>
        <v>40.85</v>
      </c>
      <c r="U5" s="5">
        <f>17.6+13.9</f>
        <v>31.5</v>
      </c>
      <c r="V5" s="5"/>
      <c r="W5" s="5">
        <f t="shared" si="0"/>
        <v>164.6</v>
      </c>
    </row>
    <row r="6" spans="1:23">
      <c r="A6" s="3">
        <v>2425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>
        <v>10.05</v>
      </c>
      <c r="P6" s="5">
        <v>26.8</v>
      </c>
      <c r="Q6" s="5">
        <v>9.05</v>
      </c>
      <c r="R6" s="5"/>
      <c r="S6" s="5">
        <f>2.05+2.7</f>
        <v>4.75</v>
      </c>
      <c r="T6" s="5">
        <v>16.95</v>
      </c>
      <c r="U6" s="5">
        <v>11.65</v>
      </c>
      <c r="V6" s="5"/>
      <c r="W6" s="5">
        <f t="shared" si="0"/>
        <v>79.25</v>
      </c>
    </row>
    <row r="7" spans="1:23">
      <c r="A7" s="3">
        <v>1017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>
        <v>1.65</v>
      </c>
      <c r="O7" s="5">
        <v>1.3</v>
      </c>
      <c r="P7" s="5">
        <v>1.15</v>
      </c>
      <c r="Q7" s="5"/>
      <c r="R7" s="5"/>
      <c r="S7" s="5"/>
      <c r="T7" s="5"/>
      <c r="U7" s="5">
        <v>2.6</v>
      </c>
      <c r="V7" s="5"/>
      <c r="W7" s="5">
        <f t="shared" si="0"/>
        <v>6.7</v>
      </c>
    </row>
    <row r="8" spans="1:23">
      <c r="A8" s="3">
        <v>1009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v>8.65</v>
      </c>
      <c r="N8" s="5">
        <v>10.35</v>
      </c>
      <c r="O8" s="5">
        <f>23.3+24.2</f>
        <v>47.5</v>
      </c>
      <c r="P8" s="5">
        <f>16.55+17.8+15.95</f>
        <v>50.3</v>
      </c>
      <c r="Q8" s="5">
        <v>17.15</v>
      </c>
      <c r="R8" s="5"/>
      <c r="S8" s="5"/>
      <c r="T8" s="5">
        <v>6.9</v>
      </c>
      <c r="U8" s="5">
        <v>17.05</v>
      </c>
      <c r="V8" s="5"/>
      <c r="W8" s="5">
        <f t="shared" si="0"/>
        <v>157.9</v>
      </c>
    </row>
    <row r="9" spans="1:23">
      <c r="A9" s="3">
        <v>354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v>6.55</v>
      </c>
      <c r="N9" s="5">
        <v>15.9</v>
      </c>
      <c r="O9" s="5">
        <f>20.2+2.95</f>
        <v>23.15</v>
      </c>
      <c r="P9" s="5">
        <v>4.05</v>
      </c>
      <c r="Q9" s="5"/>
      <c r="R9" s="5"/>
      <c r="S9" s="5"/>
      <c r="T9" s="5">
        <v>1.75</v>
      </c>
      <c r="U9" s="5"/>
      <c r="V9" s="5"/>
      <c r="W9" s="5">
        <f t="shared" si="0"/>
        <v>51.4</v>
      </c>
    </row>
    <row r="10" spans="1:23">
      <c r="A10" s="3">
        <v>1791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>
        <v>1.75</v>
      </c>
      <c r="O10" s="5">
        <v>5.9</v>
      </c>
      <c r="P10" s="5">
        <v>8.2</v>
      </c>
      <c r="Q10" s="5">
        <v>4.6</v>
      </c>
      <c r="R10" s="5"/>
      <c r="S10" s="5"/>
      <c r="T10" s="5">
        <v>1.55</v>
      </c>
      <c r="U10" s="5">
        <v>3.65</v>
      </c>
      <c r="V10" s="5"/>
      <c r="W10" s="5">
        <f t="shared" si="0"/>
        <v>25.65</v>
      </c>
    </row>
    <row r="11" spans="1:23">
      <c r="A11" s="3">
        <v>342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>
        <v>4.5</v>
      </c>
      <c r="P11" s="5">
        <v>1</v>
      </c>
      <c r="Q11" s="5"/>
      <c r="R11" s="5"/>
      <c r="S11" s="5"/>
      <c r="T11" s="5">
        <v>1.45</v>
      </c>
      <c r="U11" s="5"/>
      <c r="V11" s="5"/>
      <c r="W11" s="5">
        <f t="shared" si="0"/>
        <v>6.95</v>
      </c>
    </row>
    <row r="12" spans="1:23">
      <c r="A12" s="3">
        <v>309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>
        <v>9.75</v>
      </c>
      <c r="N12" s="5">
        <f>15.75+19.4</f>
        <v>35.15</v>
      </c>
      <c r="O12" s="5">
        <f>13.85+15+21.8+19.1</f>
        <v>69.75</v>
      </c>
      <c r="P12" s="5">
        <f>13.9+18.2+16.25+18.7+15+23.15+18.4+24.05+17.9</f>
        <v>165.55</v>
      </c>
      <c r="Q12" s="5">
        <f>17.05+16.9+18.4</f>
        <v>52.35</v>
      </c>
      <c r="R12" s="5"/>
      <c r="S12" s="5">
        <v>7</v>
      </c>
      <c r="T12" s="5">
        <f>15.15+17.8+15.6+21.65+23+8.9</f>
        <v>102.1</v>
      </c>
      <c r="U12" s="5">
        <f>18.05+18.6+21.2+13.9+24.1+21.9</f>
        <v>117.75</v>
      </c>
      <c r="V12" s="5"/>
      <c r="W12" s="5">
        <f t="shared" si="0"/>
        <v>559.4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44.45</v>
      </c>
      <c r="N349" s="6">
        <f t="shared" si="6"/>
        <v>128.45</v>
      </c>
      <c r="O349" s="6">
        <f t="shared" si="6"/>
        <v>268.15</v>
      </c>
      <c r="P349" s="6">
        <f t="shared" si="6"/>
        <v>363.55</v>
      </c>
      <c r="Q349" s="6">
        <f t="shared" si="6"/>
        <v>100.55</v>
      </c>
      <c r="R349" s="6">
        <f t="shared" si="6"/>
        <v>0</v>
      </c>
      <c r="S349" s="6">
        <f t="shared" si="6"/>
        <v>14.1</v>
      </c>
      <c r="T349" s="6">
        <f t="shared" si="6"/>
        <v>179.25</v>
      </c>
      <c r="U349" s="6">
        <f t="shared" si="6"/>
        <v>193</v>
      </c>
      <c r="V349" s="6">
        <f t="shared" si="6"/>
        <v>0</v>
      </c>
      <c r="W349" s="6">
        <f>SUM(W2:W348)</f>
        <v>1291.5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2167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>
        <v>11.7</v>
      </c>
      <c r="N2" s="5">
        <f>20.55+16.4</f>
        <v>36.95</v>
      </c>
      <c r="O2" s="5">
        <f>17.8+20.8</f>
        <v>38.6</v>
      </c>
      <c r="P2" s="5">
        <f>18.05+15.55</f>
        <v>33.6</v>
      </c>
      <c r="Q2" s="5">
        <v>8.3</v>
      </c>
      <c r="R2" s="5"/>
      <c r="S2" s="5">
        <v>2.4</v>
      </c>
      <c r="T2" s="5">
        <v>7.55</v>
      </c>
      <c r="U2" s="5">
        <v>0.7</v>
      </c>
      <c r="V2" s="5"/>
      <c r="W2" s="5">
        <f t="shared" ref="W2:W67" si="0">SUM(C2:V2)</f>
        <v>139.8</v>
      </c>
    </row>
    <row r="3" spans="1:23">
      <c r="A3" s="3">
        <v>1013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v>2.25</v>
      </c>
      <c r="N3" s="5">
        <v>12.65</v>
      </c>
      <c r="O3" s="5">
        <v>14.35</v>
      </c>
      <c r="P3" s="5">
        <v>13.7</v>
      </c>
      <c r="Q3" s="5">
        <v>4.95</v>
      </c>
      <c r="R3" s="5"/>
      <c r="S3" s="5"/>
      <c r="T3" s="5">
        <v>5.35</v>
      </c>
      <c r="U3" s="5">
        <v>0.7</v>
      </c>
      <c r="V3" s="5"/>
      <c r="W3" s="5">
        <f t="shared" si="0"/>
        <v>53.95</v>
      </c>
    </row>
    <row r="4" spans="1:23">
      <c r="A4" s="3">
        <v>2425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>
        <v>1.8</v>
      </c>
      <c r="O4" s="5">
        <v>2.8</v>
      </c>
      <c r="P4" s="5">
        <v>3.4</v>
      </c>
      <c r="Q4" s="5">
        <v>0.9</v>
      </c>
      <c r="R4" s="5"/>
      <c r="S4" s="5"/>
      <c r="T4" s="5">
        <v>1.4</v>
      </c>
      <c r="U4" s="5">
        <v>7.5</v>
      </c>
      <c r="V4" s="5"/>
      <c r="W4" s="5">
        <f t="shared" si="0"/>
        <v>17.8</v>
      </c>
    </row>
    <row r="5" spans="1:23">
      <c r="A5" s="3">
        <v>1006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>
        <v>1.75</v>
      </c>
      <c r="O5" s="5"/>
      <c r="P5" s="5">
        <v>2.15</v>
      </c>
      <c r="Q5" s="5">
        <v>1.7</v>
      </c>
      <c r="R5" s="5"/>
      <c r="S5" s="5"/>
      <c r="T5" s="5">
        <v>2.1</v>
      </c>
      <c r="U5" s="5">
        <v>1.5</v>
      </c>
      <c r="V5" s="5"/>
      <c r="W5" s="5">
        <f t="shared" si="0"/>
        <v>9.2</v>
      </c>
    </row>
    <row r="6" spans="1:23">
      <c r="A6" s="3">
        <v>1651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v>6.2</v>
      </c>
      <c r="N6" s="5">
        <v>23.25</v>
      </c>
      <c r="O6" s="5">
        <v>6.95</v>
      </c>
      <c r="P6" s="5">
        <v>11.15</v>
      </c>
      <c r="Q6" s="5">
        <v>10.35</v>
      </c>
      <c r="R6" s="5"/>
      <c r="S6" s="5"/>
      <c r="T6" s="5"/>
      <c r="U6" s="5">
        <v>4.1</v>
      </c>
      <c r="V6" s="5"/>
      <c r="W6" s="5">
        <f t="shared" si="0"/>
        <v>62</v>
      </c>
    </row>
    <row r="7" spans="1:23">
      <c r="A7" s="3">
        <v>999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>
        <v>3.4</v>
      </c>
      <c r="O7" s="5">
        <v>8.5</v>
      </c>
      <c r="P7" s="5">
        <v>7.55</v>
      </c>
      <c r="Q7" s="5">
        <v>2.45</v>
      </c>
      <c r="R7" s="5"/>
      <c r="S7" s="5">
        <v>2.45</v>
      </c>
      <c r="T7" s="5">
        <v>1.35</v>
      </c>
      <c r="U7" s="5">
        <v>4.6</v>
      </c>
      <c r="V7" s="5"/>
      <c r="W7" s="5">
        <f t="shared" si="0"/>
        <v>30.3</v>
      </c>
    </row>
    <row r="8" spans="1:23">
      <c r="A8" s="3">
        <v>1009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v>13.15</v>
      </c>
      <c r="N8" s="5">
        <v>9</v>
      </c>
      <c r="O8" s="5">
        <f>8.85+21.15</f>
        <v>30</v>
      </c>
      <c r="P8" s="5">
        <f>22.25+4.9</f>
        <v>27.15</v>
      </c>
      <c r="Q8" s="5">
        <v>14.7</v>
      </c>
      <c r="R8" s="5"/>
      <c r="S8" s="5"/>
      <c r="T8" s="5">
        <v>14.45</v>
      </c>
      <c r="U8" s="5">
        <v>1.4</v>
      </c>
      <c r="V8" s="5"/>
      <c r="W8" s="5">
        <f t="shared" si="0"/>
        <v>109.85</v>
      </c>
    </row>
    <row r="9" spans="1:23">
      <c r="A9" s="3">
        <v>1017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>
        <v>1.55</v>
      </c>
      <c r="O9" s="5">
        <v>1.3</v>
      </c>
      <c r="P9" s="5"/>
      <c r="Q9" s="5"/>
      <c r="R9" s="5"/>
      <c r="S9" s="5"/>
      <c r="T9" s="5"/>
      <c r="U9" s="5">
        <v>2.25</v>
      </c>
      <c r="V9" s="5"/>
      <c r="W9" s="5">
        <f t="shared" si="0"/>
        <v>5.1</v>
      </c>
    </row>
    <row r="10" spans="1:23">
      <c r="A10" s="3">
        <v>309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>
        <v>18.65</v>
      </c>
      <c r="N10" s="5">
        <f>17.5+14.7</f>
        <v>32.2</v>
      </c>
      <c r="O10" s="5">
        <f>25.45+24.85+22.25+7.8</f>
        <v>80.35</v>
      </c>
      <c r="P10" s="5">
        <f>22.45+16.95+22.75+25.15+20.25+26.8+12.5</f>
        <v>146.85</v>
      </c>
      <c r="Q10" s="5">
        <f>24.3+25.65+15.2</f>
        <v>65.15</v>
      </c>
      <c r="R10" s="5"/>
      <c r="S10" s="5">
        <v>7.6</v>
      </c>
      <c r="T10" s="5">
        <f>28.9+19.9</f>
        <v>48.8</v>
      </c>
      <c r="U10" s="5">
        <f>26.6+14.4</f>
        <v>41</v>
      </c>
      <c r="V10" s="5"/>
      <c r="W10" s="5">
        <f t="shared" si="0"/>
        <v>440.6</v>
      </c>
    </row>
    <row r="11" spans="1:23">
      <c r="A11" s="3">
        <v>260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v>4.2</v>
      </c>
      <c r="N11" s="5">
        <v>5.25</v>
      </c>
      <c r="O11" s="5">
        <v>19.9</v>
      </c>
      <c r="P11" s="5">
        <v>16.35</v>
      </c>
      <c r="Q11" s="5">
        <v>14</v>
      </c>
      <c r="R11" s="5"/>
      <c r="S11" s="5">
        <v>4.6</v>
      </c>
      <c r="T11" s="5">
        <v>16.6</v>
      </c>
      <c r="U11" s="5">
        <v>11</v>
      </c>
      <c r="V11" s="5"/>
      <c r="W11" s="5">
        <f t="shared" si="0"/>
        <v>91.9</v>
      </c>
    </row>
    <row r="12" spans="1:23">
      <c r="A12" s="3">
        <v>2425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>
        <v>1.35</v>
      </c>
      <c r="P12" s="5">
        <v>15.55</v>
      </c>
      <c r="Q12" s="5">
        <v>7.5</v>
      </c>
      <c r="R12" s="5"/>
      <c r="S12" s="5"/>
      <c r="T12" s="5">
        <v>29.25</v>
      </c>
      <c r="U12" s="5">
        <v>20.4</v>
      </c>
      <c r="V12" s="5"/>
      <c r="W12" s="5">
        <f t="shared" si="0"/>
        <v>74.05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56.15</v>
      </c>
      <c r="N349" s="6">
        <f t="shared" si="6"/>
        <v>127.8</v>
      </c>
      <c r="O349" s="6">
        <f t="shared" si="6"/>
        <v>204.1</v>
      </c>
      <c r="P349" s="6">
        <f t="shared" si="6"/>
        <v>277.45</v>
      </c>
      <c r="Q349" s="6">
        <f t="shared" si="6"/>
        <v>130</v>
      </c>
      <c r="R349" s="6">
        <f t="shared" si="6"/>
        <v>0</v>
      </c>
      <c r="S349" s="6">
        <f t="shared" si="6"/>
        <v>17.05</v>
      </c>
      <c r="T349" s="6">
        <f t="shared" si="6"/>
        <v>126.85</v>
      </c>
      <c r="U349" s="6">
        <f t="shared" si="6"/>
        <v>95.15</v>
      </c>
      <c r="V349" s="6">
        <f t="shared" si="6"/>
        <v>0</v>
      </c>
      <c r="W349" s="6">
        <f>SUM(W2:W348)</f>
        <v>1034.55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2425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>
        <v>4.15</v>
      </c>
      <c r="N2" s="5">
        <v>1.7</v>
      </c>
      <c r="O2" s="5">
        <v>4.35</v>
      </c>
      <c r="P2" s="5">
        <v>3.35</v>
      </c>
      <c r="Q2" s="5">
        <v>0.85</v>
      </c>
      <c r="R2" s="5"/>
      <c r="S2" s="5"/>
      <c r="T2" s="5"/>
      <c r="U2" s="5"/>
      <c r="V2" s="5"/>
      <c r="W2" s="5">
        <f t="shared" ref="W2:W67" si="0">SUM(C2:V2)</f>
        <v>14.4</v>
      </c>
    </row>
    <row r="3" spans="1:23">
      <c r="A3" s="3">
        <v>1651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v>4.5</v>
      </c>
      <c r="N3" s="5">
        <v>15.8</v>
      </c>
      <c r="O3" s="5">
        <v>9.65</v>
      </c>
      <c r="P3" s="5">
        <v>8.7</v>
      </c>
      <c r="Q3" s="5"/>
      <c r="R3" s="5"/>
      <c r="S3" s="5"/>
      <c r="T3" s="5">
        <v>1.15</v>
      </c>
      <c r="U3" s="5"/>
      <c r="V3" s="5"/>
      <c r="W3" s="5">
        <f t="shared" si="0"/>
        <v>39.8</v>
      </c>
    </row>
    <row r="4" spans="1:23">
      <c r="A4" s="3">
        <v>2167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9.5</v>
      </c>
      <c r="N4" s="5">
        <f>19.4+8.85</f>
        <v>28.25</v>
      </c>
      <c r="O4" s="5">
        <f>15.65+20.5</f>
        <v>36.15</v>
      </c>
      <c r="P4" s="5">
        <f>14.2+16.7+12.8</f>
        <v>43.7</v>
      </c>
      <c r="Q4" s="5">
        <v>12.1</v>
      </c>
      <c r="R4" s="5"/>
      <c r="S4" s="5"/>
      <c r="T4" s="5">
        <v>5.15</v>
      </c>
      <c r="U4" s="5">
        <v>3.1</v>
      </c>
      <c r="V4" s="5"/>
      <c r="W4" s="5">
        <f t="shared" si="0"/>
        <v>137.95</v>
      </c>
    </row>
    <row r="5" spans="1:23">
      <c r="A5" s="3">
        <v>260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v>6.3</v>
      </c>
      <c r="N5" s="5">
        <v>18.8</v>
      </c>
      <c r="O5" s="5">
        <v>14.55</v>
      </c>
      <c r="P5" s="5">
        <f>16.15+21.1</f>
        <v>37.25</v>
      </c>
      <c r="Q5" s="5">
        <v>12.45</v>
      </c>
      <c r="R5" s="5"/>
      <c r="S5" s="5">
        <v>2.3</v>
      </c>
      <c r="T5" s="5">
        <v>12.8</v>
      </c>
      <c r="U5" s="5">
        <v>10.95</v>
      </c>
      <c r="V5" s="5"/>
      <c r="W5" s="5">
        <f t="shared" si="0"/>
        <v>115.4</v>
      </c>
    </row>
    <row r="6" spans="1:23">
      <c r="A6" s="3">
        <v>1013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v>6.65</v>
      </c>
      <c r="N6" s="5">
        <v>3.25</v>
      </c>
      <c r="O6" s="5">
        <v>18.2</v>
      </c>
      <c r="P6" s="5">
        <v>21.8</v>
      </c>
      <c r="Q6" s="5">
        <v>9.85</v>
      </c>
      <c r="R6" s="5"/>
      <c r="S6" s="5"/>
      <c r="T6" s="5">
        <v>1.7</v>
      </c>
      <c r="U6" s="5">
        <v>1.3</v>
      </c>
      <c r="V6" s="5"/>
      <c r="W6" s="5">
        <f t="shared" si="0"/>
        <v>62.75</v>
      </c>
    </row>
    <row r="7" spans="1:23">
      <c r="A7" s="3">
        <v>1005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>
        <v>1.65</v>
      </c>
      <c r="O7" s="5">
        <v>4.2</v>
      </c>
      <c r="P7" s="5"/>
      <c r="Q7" s="5">
        <f>1.75+8.05</f>
        <v>9.8</v>
      </c>
      <c r="R7" s="5"/>
      <c r="S7" s="5"/>
      <c r="T7" s="5">
        <v>1.05</v>
      </c>
      <c r="U7" s="5">
        <v>2.1</v>
      </c>
      <c r="V7" s="5"/>
      <c r="W7" s="5">
        <f t="shared" si="0"/>
        <v>18.8</v>
      </c>
    </row>
    <row r="8" spans="1:23">
      <c r="A8" s="3">
        <v>999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v>2.1</v>
      </c>
      <c r="N8" s="5">
        <v>1.85</v>
      </c>
      <c r="O8" s="5">
        <v>2.8</v>
      </c>
      <c r="P8" s="5">
        <v>5.9</v>
      </c>
      <c r="Q8" s="5">
        <v>2.5</v>
      </c>
      <c r="R8" s="5"/>
      <c r="S8" s="5"/>
      <c r="T8" s="5">
        <v>4.1</v>
      </c>
      <c r="U8" s="5">
        <v>4.8</v>
      </c>
      <c r="V8" s="5"/>
      <c r="W8" s="5">
        <f t="shared" si="0"/>
        <v>24.05</v>
      </c>
    </row>
    <row r="9" spans="1:23">
      <c r="A9" s="3">
        <v>354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>
        <v>26.5</v>
      </c>
      <c r="P9" s="5">
        <v>19.4</v>
      </c>
      <c r="Q9" s="5">
        <v>3</v>
      </c>
      <c r="R9" s="5"/>
      <c r="S9" s="5"/>
      <c r="T9" s="5">
        <v>1.25</v>
      </c>
      <c r="U9" s="5"/>
      <c r="V9" s="5"/>
      <c r="W9" s="5">
        <f t="shared" si="0"/>
        <v>50.15</v>
      </c>
    </row>
    <row r="10" spans="1:23">
      <c r="A10" s="3">
        <v>2425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>
        <v>3.3</v>
      </c>
      <c r="U10" s="5">
        <v>2.15</v>
      </c>
      <c r="V10" s="5"/>
      <c r="W10" s="5">
        <f t="shared" si="0"/>
        <v>5.45</v>
      </c>
    </row>
    <row r="11" spans="1:23">
      <c r="A11" s="3">
        <v>1009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v>15.95</v>
      </c>
      <c r="N11" s="5">
        <f>15.65+1.6</f>
        <v>17.25</v>
      </c>
      <c r="O11" s="5">
        <f>18.05+5.7</f>
        <v>23.75</v>
      </c>
      <c r="P11" s="5">
        <f>15.8+11.65</f>
        <v>27.45</v>
      </c>
      <c r="Q11" s="5">
        <f>20.5+2</f>
        <v>22.5</v>
      </c>
      <c r="R11" s="5"/>
      <c r="S11" s="5">
        <v>5.2</v>
      </c>
      <c r="T11" s="5">
        <v>13.5</v>
      </c>
      <c r="U11" s="5">
        <v>15.1</v>
      </c>
      <c r="V11" s="5"/>
      <c r="W11" s="5">
        <f t="shared" si="0"/>
        <v>140.7</v>
      </c>
    </row>
    <row r="12" spans="1:23">
      <c r="A12" s="3">
        <v>309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>
        <v>9.4</v>
      </c>
      <c r="N12" s="5">
        <f>21+14.05+15.05</f>
        <v>50.1</v>
      </c>
      <c r="O12" s="5">
        <f>16.6+13.25+17.5+20.9</f>
        <v>68.25</v>
      </c>
      <c r="P12" s="5">
        <f>18.9+23.05+24.7</f>
        <v>66.65</v>
      </c>
      <c r="Q12" s="5">
        <f>16.05+19.85+11.1</f>
        <v>47</v>
      </c>
      <c r="R12" s="5"/>
      <c r="S12" s="5">
        <v>12.7</v>
      </c>
      <c r="T12" s="5">
        <f>24.4+23.95+3.7</f>
        <v>52.05</v>
      </c>
      <c r="U12" s="5">
        <f>18.1+22.8</f>
        <v>40.9</v>
      </c>
      <c r="V12" s="5"/>
      <c r="W12" s="5">
        <f t="shared" si="0"/>
        <v>347.05</v>
      </c>
    </row>
    <row r="13" spans="1:23">
      <c r="A13" s="3">
        <v>260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>
        <v>3.4</v>
      </c>
      <c r="O13" s="5"/>
      <c r="P13" s="5">
        <v>12.85</v>
      </c>
      <c r="Q13" s="5"/>
      <c r="R13" s="5"/>
      <c r="S13" s="5"/>
      <c r="T13" s="5">
        <v>14.6</v>
      </c>
      <c r="U13" s="5">
        <v>9.7</v>
      </c>
      <c r="V13" s="5"/>
      <c r="W13" s="5">
        <f t="shared" si="0"/>
        <v>40.55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58.55</v>
      </c>
      <c r="N349" s="6">
        <f t="shared" si="6"/>
        <v>142.05</v>
      </c>
      <c r="O349" s="6">
        <f t="shared" si="6"/>
        <v>208.4</v>
      </c>
      <c r="P349" s="6">
        <f t="shared" si="6"/>
        <v>247.05</v>
      </c>
      <c r="Q349" s="6">
        <f t="shared" si="6"/>
        <v>120.05</v>
      </c>
      <c r="R349" s="6">
        <f t="shared" si="6"/>
        <v>0</v>
      </c>
      <c r="S349" s="6">
        <f t="shared" si="6"/>
        <v>20.2</v>
      </c>
      <c r="T349" s="6">
        <f t="shared" si="6"/>
        <v>110.65</v>
      </c>
      <c r="U349" s="6">
        <f t="shared" si="6"/>
        <v>90.1</v>
      </c>
      <c r="V349" s="6">
        <f t="shared" si="6"/>
        <v>0</v>
      </c>
      <c r="W349" s="6">
        <f>SUM(W2:W348)</f>
        <v>997.05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1017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>
        <v>4.4</v>
      </c>
      <c r="P2" s="5"/>
      <c r="Q2" s="5"/>
      <c r="R2" s="5"/>
      <c r="S2" s="5"/>
      <c r="T2" s="5">
        <v>1.05</v>
      </c>
      <c r="U2" s="5">
        <v>0.5</v>
      </c>
      <c r="V2" s="5"/>
      <c r="W2" s="5">
        <f t="shared" ref="W2:W67" si="0">SUM(C2:V2)</f>
        <v>5.95</v>
      </c>
    </row>
    <row r="3" spans="1:23">
      <c r="A3" s="3">
        <v>260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>
        <f>1.9+5.65</f>
        <v>7.55</v>
      </c>
      <c r="O3" s="5">
        <v>17.1</v>
      </c>
      <c r="P3" s="5">
        <v>15</v>
      </c>
      <c r="Q3" s="5">
        <v>10.6</v>
      </c>
      <c r="R3" s="5"/>
      <c r="S3" s="5"/>
      <c r="T3" s="5">
        <v>9.95</v>
      </c>
      <c r="U3" s="5">
        <v>4.85</v>
      </c>
      <c r="V3" s="5"/>
      <c r="W3" s="5">
        <f t="shared" si="0"/>
        <v>65.05</v>
      </c>
    </row>
    <row r="4" spans="1:23">
      <c r="A4" s="3">
        <v>1651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2.15</v>
      </c>
      <c r="N4" s="5">
        <v>10.1</v>
      </c>
      <c r="O4" s="5">
        <v>2.5</v>
      </c>
      <c r="P4" s="5">
        <v>7.65</v>
      </c>
      <c r="Q4" s="5">
        <v>0.95</v>
      </c>
      <c r="R4" s="5"/>
      <c r="S4" s="5"/>
      <c r="T4" s="5"/>
      <c r="U4" s="5">
        <v>1.25</v>
      </c>
      <c r="V4" s="5"/>
      <c r="W4" s="5">
        <f t="shared" si="0"/>
        <v>24.6</v>
      </c>
    </row>
    <row r="5" spans="1:23">
      <c r="A5" s="3">
        <v>2167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v>10.9</v>
      </c>
      <c r="N5" s="5">
        <v>15.85</v>
      </c>
      <c r="O5" s="5">
        <f>17.8+21.7+11.5</f>
        <v>51</v>
      </c>
      <c r="P5" s="5">
        <v>28.1</v>
      </c>
      <c r="Q5" s="5">
        <v>12.05</v>
      </c>
      <c r="R5" s="5"/>
      <c r="S5" s="5"/>
      <c r="T5" s="5">
        <v>13.5</v>
      </c>
      <c r="U5" s="5">
        <v>3.55</v>
      </c>
      <c r="V5" s="5"/>
      <c r="W5" s="5">
        <f t="shared" si="0"/>
        <v>134.95</v>
      </c>
    </row>
    <row r="6" spans="1:23">
      <c r="A6" s="3">
        <v>1009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v>12.75</v>
      </c>
      <c r="N6" s="5">
        <f>21.05+7.55</f>
        <v>28.6</v>
      </c>
      <c r="O6" s="5">
        <f>18.05+6.5</f>
        <v>24.55</v>
      </c>
      <c r="P6" s="5">
        <f>21.85+15.4</f>
        <v>37.25</v>
      </c>
      <c r="Q6" s="5">
        <v>15.25</v>
      </c>
      <c r="R6" s="5"/>
      <c r="S6" s="5">
        <v>6.2</v>
      </c>
      <c r="T6" s="5">
        <v>10.65</v>
      </c>
      <c r="U6" s="5">
        <v>14.6</v>
      </c>
      <c r="V6" s="5"/>
      <c r="W6" s="5">
        <f t="shared" si="0"/>
        <v>149.85</v>
      </c>
    </row>
    <row r="7" spans="1:23">
      <c r="A7" s="3">
        <v>354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v>2.5</v>
      </c>
      <c r="N7" s="5"/>
      <c r="O7" s="5">
        <f>2.95+24.1</f>
        <v>27.05</v>
      </c>
      <c r="P7" s="5">
        <v>14.5</v>
      </c>
      <c r="Q7" s="5">
        <v>8.65</v>
      </c>
      <c r="R7" s="5"/>
      <c r="S7" s="5"/>
      <c r="T7" s="5">
        <v>1.4</v>
      </c>
      <c r="U7" s="5">
        <v>1.55</v>
      </c>
      <c r="V7" s="5"/>
      <c r="W7" s="5">
        <f t="shared" si="0"/>
        <v>55.65</v>
      </c>
    </row>
    <row r="8" spans="1:23">
      <c r="A8" s="3">
        <v>342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>
        <v>4.7</v>
      </c>
      <c r="P8" s="5">
        <v>4.4</v>
      </c>
      <c r="Q8" s="5">
        <v>4.4</v>
      </c>
      <c r="R8" s="5"/>
      <c r="S8" s="5"/>
      <c r="T8" s="5"/>
      <c r="U8" s="5">
        <v>0.85</v>
      </c>
      <c r="V8" s="5"/>
      <c r="W8" s="5">
        <f t="shared" si="0"/>
        <v>14.35</v>
      </c>
    </row>
    <row r="9" spans="1:23">
      <c r="A9" s="3">
        <v>999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v>2</v>
      </c>
      <c r="N9" s="5">
        <v>8.45</v>
      </c>
      <c r="O9" s="5"/>
      <c r="P9" s="5">
        <v>10.25</v>
      </c>
      <c r="Q9" s="5">
        <v>7.9</v>
      </c>
      <c r="R9" s="5"/>
      <c r="S9" s="5"/>
      <c r="T9" s="5">
        <v>6.4</v>
      </c>
      <c r="U9" s="5">
        <v>8.1</v>
      </c>
      <c r="V9" s="5"/>
      <c r="W9" s="5">
        <f t="shared" si="0"/>
        <v>43.1</v>
      </c>
    </row>
    <row r="10" spans="1:23">
      <c r="A10" s="3">
        <v>1005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>
        <v>1.7</v>
      </c>
      <c r="O10" s="5">
        <f>1.35+1.35</f>
        <v>2.7</v>
      </c>
      <c r="P10" s="5"/>
      <c r="Q10" s="5"/>
      <c r="R10" s="5"/>
      <c r="S10" s="5"/>
      <c r="T10" s="5">
        <v>3.1</v>
      </c>
      <c r="U10" s="5">
        <v>3.9</v>
      </c>
      <c r="V10" s="5"/>
      <c r="W10" s="5">
        <f t="shared" si="0"/>
        <v>11.4</v>
      </c>
    </row>
    <row r="11" spans="1:23">
      <c r="A11" s="3">
        <v>1685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v>11.55</v>
      </c>
      <c r="N11" s="5">
        <f>21.8+11.8+25.8+21.8</f>
        <v>81.2</v>
      </c>
      <c r="O11" s="5">
        <f>20.45+19+20.9+20.2+22.05+18.15+23.7+20.65+17.25</f>
        <v>182.35</v>
      </c>
      <c r="P11" s="5">
        <f>22.45+18+21.85+27.5+23.95+24.5+21.4+18+21.55+24.6+21.6+21.65+21.8+19.5</f>
        <v>308.35</v>
      </c>
      <c r="Q11" s="5">
        <f>15.7+9.55+21.05+24.8+21.25</f>
        <v>92.35</v>
      </c>
      <c r="R11" s="5"/>
      <c r="S11" s="5">
        <v>15.25</v>
      </c>
      <c r="T11" s="5">
        <f>17.65+28.35+16.25</f>
        <v>62.25</v>
      </c>
      <c r="U11" s="5">
        <f>25.5+19.45+16.85</f>
        <v>61.8</v>
      </c>
      <c r="V11" s="5"/>
      <c r="W11" s="5">
        <f t="shared" si="0"/>
        <v>815.1</v>
      </c>
    </row>
    <row r="12" spans="1:23">
      <c r="A12" s="3">
        <v>309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>
        <f>17.55+2.55</f>
        <v>20.1</v>
      </c>
      <c r="N12" s="5">
        <f>21.8+17.2+13.7</f>
        <v>52.7</v>
      </c>
      <c r="O12" s="5">
        <f>16.35+20.35+15.9+17.95+5.7</f>
        <v>76.25</v>
      </c>
      <c r="P12" s="5">
        <f>17.55+20.65+15.95+18.7+20.15+19.5+18.05+4.7</f>
        <v>135.25</v>
      </c>
      <c r="Q12" s="5">
        <f>17.7+17.5+15.85</f>
        <v>51.05</v>
      </c>
      <c r="R12" s="5"/>
      <c r="S12" s="5">
        <v>5.9</v>
      </c>
      <c r="T12" s="5">
        <f>16.7+22.1</f>
        <v>38.8</v>
      </c>
      <c r="U12" s="5">
        <f>15+16.85+17.25</f>
        <v>49.1</v>
      </c>
      <c r="V12" s="5"/>
      <c r="W12" s="5">
        <f t="shared" si="0"/>
        <v>429.15</v>
      </c>
    </row>
    <row r="13" spans="1:23">
      <c r="A13" s="3">
        <v>2425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>
        <v>6.3</v>
      </c>
      <c r="N13" s="5"/>
      <c r="O13" s="5">
        <f>1.5+5.2</f>
        <v>6.7</v>
      </c>
      <c r="P13" s="5">
        <v>0.95</v>
      </c>
      <c r="Q13" s="5">
        <v>1.75</v>
      </c>
      <c r="R13" s="5"/>
      <c r="S13" s="5"/>
      <c r="T13" s="5">
        <v>2.1</v>
      </c>
      <c r="U13" s="5">
        <v>0.65</v>
      </c>
      <c r="V13" s="5"/>
      <c r="W13" s="5">
        <f t="shared" si="0"/>
        <v>18.45</v>
      </c>
    </row>
    <row r="14" spans="1:23">
      <c r="A14" s="3">
        <v>2425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>
        <v>9.55</v>
      </c>
      <c r="P14" s="5">
        <v>21.6</v>
      </c>
      <c r="Q14" s="5">
        <v>6.6</v>
      </c>
      <c r="R14" s="5"/>
      <c r="S14" s="5"/>
      <c r="T14" s="5">
        <v>12</v>
      </c>
      <c r="U14" s="5">
        <v>22.8</v>
      </c>
      <c r="V14" s="5"/>
      <c r="W14" s="5">
        <f t="shared" si="0"/>
        <v>72.55</v>
      </c>
    </row>
    <row r="15" spans="1:23">
      <c r="A15" s="3">
        <v>2425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>
        <v>2.4</v>
      </c>
      <c r="Q15" s="5"/>
      <c r="R15" s="5"/>
      <c r="S15" s="5"/>
      <c r="T15" s="5">
        <f>2.45+0.95</f>
        <v>3.4</v>
      </c>
      <c r="U15" s="5"/>
      <c r="V15" s="5"/>
      <c r="W15" s="5">
        <f t="shared" si="0"/>
        <v>5.8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68.25</v>
      </c>
      <c r="N349" s="6">
        <f t="shared" si="6"/>
        <v>206.15</v>
      </c>
      <c r="O349" s="6">
        <f t="shared" si="6"/>
        <v>408.85</v>
      </c>
      <c r="P349" s="6">
        <f t="shared" si="6"/>
        <v>585.7</v>
      </c>
      <c r="Q349" s="6">
        <f t="shared" si="6"/>
        <v>211.55</v>
      </c>
      <c r="R349" s="6">
        <f t="shared" si="6"/>
        <v>0</v>
      </c>
      <c r="S349" s="6">
        <f t="shared" si="6"/>
        <v>27.35</v>
      </c>
      <c r="T349" s="6">
        <f t="shared" si="6"/>
        <v>164.6</v>
      </c>
      <c r="U349" s="6">
        <f t="shared" si="6"/>
        <v>173.5</v>
      </c>
      <c r="V349" s="6">
        <f t="shared" si="6"/>
        <v>0</v>
      </c>
      <c r="W349" s="6">
        <f>SUM(W2:W348)</f>
        <v>1845.95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1651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>
        <v>2.1</v>
      </c>
      <c r="N2" s="5">
        <v>3.55</v>
      </c>
      <c r="O2" s="5">
        <v>8.25</v>
      </c>
      <c r="P2" s="5">
        <v>13.55</v>
      </c>
      <c r="Q2" s="5"/>
      <c r="R2" s="5"/>
      <c r="S2" s="5"/>
      <c r="T2" s="5"/>
      <c r="U2" s="5"/>
      <c r="V2" s="5"/>
      <c r="W2" s="5">
        <f t="shared" ref="W2:W67" si="0">SUM(C2:V2)</f>
        <v>27.45</v>
      </c>
    </row>
    <row r="3" spans="1:23">
      <c r="A3" s="3">
        <v>1013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>
        <v>10.15</v>
      </c>
      <c r="P3" s="5">
        <v>9.9</v>
      </c>
      <c r="Q3" s="5">
        <v>2.7</v>
      </c>
      <c r="R3" s="5"/>
      <c r="S3" s="5"/>
      <c r="T3" s="5"/>
      <c r="U3" s="5">
        <v>3.3</v>
      </c>
      <c r="V3" s="5"/>
      <c r="W3" s="5">
        <f t="shared" si="0"/>
        <v>26.05</v>
      </c>
    </row>
    <row r="4" spans="1:23">
      <c r="A4" s="3">
        <v>2167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12</v>
      </c>
      <c r="N4" s="5">
        <f>21.65+26.05</f>
        <v>47.7</v>
      </c>
      <c r="O4" s="5">
        <f>16.65+27.95</f>
        <v>44.6</v>
      </c>
      <c r="P4" s="5">
        <f>8.95+19</f>
        <v>27.95</v>
      </c>
      <c r="Q4" s="5">
        <v>7.9</v>
      </c>
      <c r="R4" s="5"/>
      <c r="S4" s="5"/>
      <c r="T4" s="5">
        <v>6.05</v>
      </c>
      <c r="U4" s="5"/>
      <c r="V4" s="5"/>
      <c r="W4" s="5">
        <f t="shared" si="0"/>
        <v>146.2</v>
      </c>
    </row>
    <row r="5" spans="1:23">
      <c r="A5" s="3">
        <v>260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>
        <v>7.15</v>
      </c>
      <c r="O5" s="5">
        <v>8.35</v>
      </c>
      <c r="P5" s="5">
        <v>12.3</v>
      </c>
      <c r="Q5" s="5">
        <v>8.1</v>
      </c>
      <c r="R5" s="5"/>
      <c r="S5" s="5"/>
      <c r="T5" s="5">
        <v>9.8</v>
      </c>
      <c r="U5" s="5">
        <v>14.55</v>
      </c>
      <c r="V5" s="5"/>
      <c r="W5" s="5">
        <f t="shared" si="0"/>
        <v>60.25</v>
      </c>
    </row>
    <row r="6" spans="1:23">
      <c r="A6" s="3">
        <v>999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>
        <v>3.95</v>
      </c>
      <c r="P6" s="5">
        <v>1.05</v>
      </c>
      <c r="Q6" s="5">
        <v>2.55</v>
      </c>
      <c r="R6" s="5"/>
      <c r="S6" s="5"/>
      <c r="T6" s="5">
        <v>4.1</v>
      </c>
      <c r="U6" s="5">
        <v>1.55</v>
      </c>
      <c r="V6" s="5"/>
      <c r="W6" s="5">
        <f t="shared" si="0"/>
        <v>13.2</v>
      </c>
    </row>
    <row r="7" spans="1:23">
      <c r="A7" s="3">
        <v>1005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>
        <v>5.6</v>
      </c>
      <c r="P7" s="5">
        <v>1.2</v>
      </c>
      <c r="Q7" s="5">
        <v>6.05</v>
      </c>
      <c r="R7" s="5"/>
      <c r="S7" s="5"/>
      <c r="T7" s="5">
        <v>1.5</v>
      </c>
      <c r="U7" s="5">
        <v>2.4</v>
      </c>
      <c r="V7" s="5"/>
      <c r="W7" s="5">
        <f t="shared" si="0"/>
        <v>16.75</v>
      </c>
    </row>
    <row r="8" spans="1:23">
      <c r="A8" s="3">
        <v>1017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>
        <v>2.6</v>
      </c>
      <c r="P8" s="5">
        <v>2.1</v>
      </c>
      <c r="Q8" s="5">
        <v>0.7</v>
      </c>
      <c r="R8" s="5"/>
      <c r="S8" s="5"/>
      <c r="T8" s="5">
        <v>1.3</v>
      </c>
      <c r="U8" s="5"/>
      <c r="V8" s="5"/>
      <c r="W8" s="5">
        <f t="shared" si="0"/>
        <v>6.7</v>
      </c>
    </row>
    <row r="9" spans="1:23">
      <c r="A9" s="3">
        <v>1009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f>15.05+7.35</f>
        <v>22.4</v>
      </c>
      <c r="N9" s="5">
        <f>15.4+10.4</f>
        <v>25.8</v>
      </c>
      <c r="O9" s="5">
        <f>20.25+14.35+7.5</f>
        <v>42.1</v>
      </c>
      <c r="P9" s="5">
        <f>15.25+17.5+11.5</f>
        <v>44.25</v>
      </c>
      <c r="Q9" s="5">
        <f>19.6+9.75</f>
        <v>29.35</v>
      </c>
      <c r="R9" s="5"/>
      <c r="S9" s="5">
        <v>3.05</v>
      </c>
      <c r="T9" s="5">
        <v>12.15</v>
      </c>
      <c r="U9" s="5">
        <v>8.7</v>
      </c>
      <c r="V9" s="5"/>
      <c r="W9" s="5">
        <f t="shared" si="0"/>
        <v>187.8</v>
      </c>
    </row>
    <row r="10" spans="1:23">
      <c r="A10" s="3">
        <v>2425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>
        <v>8.55</v>
      </c>
      <c r="N10" s="5">
        <v>6.6</v>
      </c>
      <c r="O10" s="5">
        <v>3.9</v>
      </c>
      <c r="P10" s="5"/>
      <c r="Q10" s="5">
        <v>0.9</v>
      </c>
      <c r="R10" s="5"/>
      <c r="S10" s="5"/>
      <c r="T10" s="5"/>
      <c r="U10" s="5"/>
      <c r="V10" s="5"/>
      <c r="W10" s="5">
        <f t="shared" si="0"/>
        <v>19.95</v>
      </c>
    </row>
    <row r="11" spans="1:23">
      <c r="A11" s="3">
        <v>309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f>16.85+6.35</f>
        <v>23.2</v>
      </c>
      <c r="N11" s="5">
        <f>25.45+17.7+12.65+22.9</f>
        <v>78.7</v>
      </c>
      <c r="O11" s="5">
        <f>19.45+18.05+18.2+18.6+23.55+4.55+20.45</f>
        <v>122.85</v>
      </c>
      <c r="P11" s="5">
        <f>25.35+19.7+28.8+29.45+15.95</f>
        <v>119.25</v>
      </c>
      <c r="Q11" s="5">
        <f>19.25+11.8</f>
        <v>31.05</v>
      </c>
      <c r="R11" s="5"/>
      <c r="S11" s="5">
        <v>4.35</v>
      </c>
      <c r="T11" s="5">
        <v>9.05</v>
      </c>
      <c r="U11" s="5">
        <f>20.5+13.5</f>
        <v>34</v>
      </c>
      <c r="V11" s="5"/>
      <c r="W11" s="5">
        <f t="shared" si="0"/>
        <v>422.45</v>
      </c>
    </row>
    <row r="12" spans="1:23">
      <c r="A12" s="3">
        <v>1685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>
        <f>17.7+2.65</f>
        <v>20.35</v>
      </c>
      <c r="N12" s="5">
        <f>17.75+19.6+23.1+19.9+23.55+18.15+13.75+25.95</f>
        <v>161.75</v>
      </c>
      <c r="O12" s="5">
        <f>22.25+20.75+18.8+20.4+17+18.5+15.8+13.95+19.1+25.65+2.75</f>
        <v>194.95</v>
      </c>
      <c r="P12" s="5">
        <f>25.3+17+17.3+20.75+25.05+23+25.2+19.15+20.75+26.8+1.65</f>
        <v>221.95</v>
      </c>
      <c r="Q12" s="5">
        <f>16.45+21.2+17.25+10.2+13.9</f>
        <v>79</v>
      </c>
      <c r="R12" s="5"/>
      <c r="S12" s="5"/>
      <c r="T12" s="5">
        <f>21.95+22.4</f>
        <v>44.35</v>
      </c>
      <c r="U12" s="5">
        <f>15.9+12.2+23.45+6.9</f>
        <v>58.45</v>
      </c>
      <c r="V12" s="5"/>
      <c r="W12" s="5">
        <f t="shared" si="0"/>
        <v>780.8</v>
      </c>
    </row>
    <row r="13" spans="1:23">
      <c r="A13" s="3">
        <v>309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>
        <v>2.65</v>
      </c>
      <c r="U13" s="5"/>
      <c r="V13" s="5"/>
      <c r="W13" s="5">
        <f t="shared" si="0"/>
        <v>2.65</v>
      </c>
    </row>
    <row r="14" spans="1:23">
      <c r="A14" s="3">
        <v>2425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>
        <v>2.65</v>
      </c>
      <c r="P14" s="5">
        <v>15.2</v>
      </c>
      <c r="Q14" s="5">
        <v>15.25</v>
      </c>
      <c r="R14" s="5"/>
      <c r="S14" s="5"/>
      <c r="T14" s="5">
        <v>10.85</v>
      </c>
      <c r="U14" s="5">
        <v>12.5</v>
      </c>
      <c r="V14" s="5"/>
      <c r="W14" s="5">
        <f t="shared" si="0"/>
        <v>56.45</v>
      </c>
    </row>
    <row r="15" spans="1:23">
      <c r="A15" s="3">
        <v>260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>
        <v>3.95</v>
      </c>
      <c r="Q15" s="5">
        <v>2.85</v>
      </c>
      <c r="R15" s="5"/>
      <c r="S15" s="5"/>
      <c r="T15" s="5">
        <v>4.5</v>
      </c>
      <c r="U15" s="5"/>
      <c r="V15" s="5"/>
      <c r="W15" s="5">
        <f t="shared" si="0"/>
        <v>11.3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88.6</v>
      </c>
      <c r="N349" s="6">
        <f t="shared" si="6"/>
        <v>331.25</v>
      </c>
      <c r="O349" s="6">
        <f t="shared" si="6"/>
        <v>449.95</v>
      </c>
      <c r="P349" s="6">
        <f t="shared" si="6"/>
        <v>472.65</v>
      </c>
      <c r="Q349" s="6">
        <f t="shared" si="6"/>
        <v>186.4</v>
      </c>
      <c r="R349" s="6">
        <f t="shared" si="6"/>
        <v>0</v>
      </c>
      <c r="S349" s="6">
        <f t="shared" si="6"/>
        <v>7.4</v>
      </c>
      <c r="T349" s="6">
        <f t="shared" si="6"/>
        <v>106.3</v>
      </c>
      <c r="U349" s="6">
        <f t="shared" si="6"/>
        <v>135.45</v>
      </c>
      <c r="V349" s="6">
        <f t="shared" si="6"/>
        <v>0</v>
      </c>
      <c r="W349" s="6">
        <f>SUM(W2:W348)</f>
        <v>1778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1651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>
        <v>18.9</v>
      </c>
      <c r="O2" s="5">
        <v>10.25</v>
      </c>
      <c r="P2" s="5">
        <v>6.8</v>
      </c>
      <c r="Q2" s="5"/>
      <c r="R2" s="5"/>
      <c r="S2" s="5"/>
      <c r="T2" s="5"/>
      <c r="U2" s="5"/>
      <c r="V2" s="5"/>
      <c r="W2" s="5">
        <f t="shared" ref="W2:W67" si="0">SUM(C2:V2)</f>
        <v>35.95</v>
      </c>
    </row>
    <row r="3" spans="1:23">
      <c r="A3" s="3">
        <v>1013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>
        <v>1.7</v>
      </c>
      <c r="O3" s="5">
        <v>2.7</v>
      </c>
      <c r="P3" s="5">
        <v>8.45</v>
      </c>
      <c r="Q3" s="5">
        <v>1.6</v>
      </c>
      <c r="R3" s="5"/>
      <c r="S3" s="5"/>
      <c r="T3" s="5">
        <v>3.7</v>
      </c>
      <c r="U3" s="5">
        <v>1.8</v>
      </c>
      <c r="V3" s="5"/>
      <c r="W3" s="5">
        <f t="shared" si="0"/>
        <v>19.95</v>
      </c>
    </row>
    <row r="4" spans="1:23">
      <c r="A4" s="3">
        <v>2167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8.95</v>
      </c>
      <c r="N4" s="5">
        <f>16.35+14.15</f>
        <v>30.5</v>
      </c>
      <c r="O4" s="5">
        <f>21.4+15.25+13.85</f>
        <v>50.5</v>
      </c>
      <c r="P4" s="5">
        <f>21.4+15.6+6.55</f>
        <v>43.55</v>
      </c>
      <c r="Q4" s="5">
        <v>3.3</v>
      </c>
      <c r="R4" s="5"/>
      <c r="S4" s="5">
        <v>16.55</v>
      </c>
      <c r="T4" s="5">
        <f>20.6+20.65+4.85</f>
        <v>46.1</v>
      </c>
      <c r="U4" s="5">
        <v>9.6</v>
      </c>
      <c r="V4" s="5"/>
      <c r="W4" s="5">
        <f t="shared" si="0"/>
        <v>209.05</v>
      </c>
    </row>
    <row r="5" spans="1:23">
      <c r="A5" s="3">
        <v>2425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>
        <v>5.25</v>
      </c>
      <c r="O5" s="5">
        <v>2.85</v>
      </c>
      <c r="P5" s="5">
        <v>5.45</v>
      </c>
      <c r="Q5" s="5"/>
      <c r="R5" s="5"/>
      <c r="S5" s="5"/>
      <c r="T5" s="5"/>
      <c r="U5" s="5">
        <v>1.45</v>
      </c>
      <c r="V5" s="5"/>
      <c r="W5" s="5">
        <f t="shared" si="0"/>
        <v>15</v>
      </c>
    </row>
    <row r="6" spans="1:23">
      <c r="A6" s="3">
        <v>309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f>13.95+11.35</f>
        <v>25.3</v>
      </c>
      <c r="N6" s="5">
        <f>13.95+19.1+16.2</f>
        <v>49.25</v>
      </c>
      <c r="O6" s="5">
        <f>15.2+16.65+18.25+15.65+19.7</f>
        <v>85.45</v>
      </c>
      <c r="P6" s="5">
        <f>15.05+23.3+17.45+17.8+11.05</f>
        <v>84.65</v>
      </c>
      <c r="Q6" s="5">
        <f>15.9+8.05</f>
        <v>23.95</v>
      </c>
      <c r="R6" s="5"/>
      <c r="S6" s="5">
        <v>10.65</v>
      </c>
      <c r="T6" s="5">
        <f>19.85+14</f>
        <v>33.85</v>
      </c>
      <c r="U6" s="5">
        <f>19.45+2.1</f>
        <v>21.55</v>
      </c>
      <c r="V6" s="5"/>
      <c r="W6" s="5">
        <f t="shared" si="0"/>
        <v>334.65</v>
      </c>
    </row>
    <row r="7" spans="1:23">
      <c r="A7" s="3">
        <v>1685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v>9.4</v>
      </c>
      <c r="N7" s="5">
        <f>15.15+18.15+18.3+17.45</f>
        <v>69.05</v>
      </c>
      <c r="O7" s="5">
        <f>15.25+15.1+16.45+23.2+26.25+23.95</f>
        <v>120.2</v>
      </c>
      <c r="P7" s="5">
        <f>19+17.7+16.85+24.4+18.2+19.25+13.9</f>
        <v>129.3</v>
      </c>
      <c r="Q7" s="5">
        <f>13.95+20.45+19</f>
        <v>53.4</v>
      </c>
      <c r="R7" s="5"/>
      <c r="S7" s="5">
        <v>11.7</v>
      </c>
      <c r="T7" s="5">
        <f>17.55+21.2</f>
        <v>38.75</v>
      </c>
      <c r="U7" s="5">
        <v>28.1</v>
      </c>
      <c r="V7" s="5"/>
      <c r="W7" s="5">
        <f t="shared" si="0"/>
        <v>459.9</v>
      </c>
    </row>
    <row r="8" spans="1:23">
      <c r="A8" s="3">
        <v>1005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>
        <v>1.5</v>
      </c>
      <c r="U8" s="5">
        <v>2.85</v>
      </c>
      <c r="V8" s="5"/>
      <c r="W8" s="5">
        <f t="shared" si="0"/>
        <v>4.35</v>
      </c>
    </row>
    <row r="9" spans="1:23">
      <c r="A9" s="3">
        <v>999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>
        <v>1.6</v>
      </c>
      <c r="U9" s="5">
        <v>6.1</v>
      </c>
      <c r="V9" s="5"/>
      <c r="W9" s="5">
        <f t="shared" si="0"/>
        <v>7.7</v>
      </c>
    </row>
    <row r="10" spans="1:23">
      <c r="A10" s="3">
        <v>260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>
        <v>2.15</v>
      </c>
      <c r="Q10" s="5"/>
      <c r="R10" s="5"/>
      <c r="S10" s="5">
        <v>2</v>
      </c>
      <c r="T10" s="5"/>
      <c r="U10" s="5">
        <v>2.6</v>
      </c>
      <c r="V10" s="5"/>
      <c r="W10" s="5">
        <f t="shared" si="0"/>
        <v>6.75</v>
      </c>
    </row>
    <row r="11" spans="1:23">
      <c r="A11" s="3">
        <v>1017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v>2.15</v>
      </c>
      <c r="N11" s="5">
        <v>4.8</v>
      </c>
      <c r="O11" s="5">
        <v>6.8</v>
      </c>
      <c r="P11" s="5">
        <v>2.3</v>
      </c>
      <c r="Q11" s="5">
        <f>1.65+0.65</f>
        <v>2.3</v>
      </c>
      <c r="R11" s="5"/>
      <c r="S11" s="5"/>
      <c r="T11" s="5"/>
      <c r="U11" s="5"/>
      <c r="V11" s="5"/>
      <c r="W11" s="5">
        <f t="shared" si="0"/>
        <v>18.35</v>
      </c>
    </row>
    <row r="12" spans="1:23">
      <c r="A12" s="3">
        <v>1009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>
        <v>9.2</v>
      </c>
      <c r="N12" s="5">
        <v>8.65</v>
      </c>
      <c r="O12" s="5">
        <v>16.9</v>
      </c>
      <c r="P12" s="5">
        <v>16</v>
      </c>
      <c r="Q12" s="5">
        <v>2.6</v>
      </c>
      <c r="R12" s="5"/>
      <c r="S12" s="5">
        <v>5</v>
      </c>
      <c r="T12" s="5">
        <v>15.6</v>
      </c>
      <c r="U12" s="5">
        <v>8.8</v>
      </c>
      <c r="V12" s="5"/>
      <c r="W12" s="5">
        <f t="shared" si="0"/>
        <v>82.75</v>
      </c>
    </row>
    <row r="13" spans="1:23">
      <c r="A13" s="3">
        <v>2425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>
        <f>19.55+18.8</f>
        <v>38.35</v>
      </c>
      <c r="P13" s="5">
        <f>23+12.85+16.55+18.45</f>
        <v>70.85</v>
      </c>
      <c r="Q13" s="5">
        <v>18.35</v>
      </c>
      <c r="R13" s="5"/>
      <c r="S13" s="5"/>
      <c r="T13" s="5">
        <v>24.15</v>
      </c>
      <c r="U13" s="5">
        <v>30.8</v>
      </c>
      <c r="V13" s="5"/>
      <c r="W13" s="5">
        <f t="shared" si="0"/>
        <v>182.5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29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ref="W130:W193" si="2">SUM(C130:V130)</f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2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si="2"/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ref="W194:W257" si="3">SUM(C194:V194)</f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3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si="3"/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ref="W258:W321" si="4">SUM(C258:V258)</f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4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si="4"/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ref="W322:W348" si="5">SUM(C322:V322)</f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5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si="5"/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55</v>
      </c>
      <c r="N349" s="6">
        <f t="shared" si="6"/>
        <v>188.1</v>
      </c>
      <c r="O349" s="6">
        <f t="shared" si="6"/>
        <v>334</v>
      </c>
      <c r="P349" s="6">
        <f t="shared" si="6"/>
        <v>369.5</v>
      </c>
      <c r="Q349" s="6">
        <f t="shared" si="6"/>
        <v>105.5</v>
      </c>
      <c r="R349" s="6">
        <f t="shared" si="6"/>
        <v>0</v>
      </c>
      <c r="S349" s="6">
        <f t="shared" si="6"/>
        <v>45.9</v>
      </c>
      <c r="T349" s="6">
        <f t="shared" si="6"/>
        <v>165.25</v>
      </c>
      <c r="U349" s="6">
        <f t="shared" si="6"/>
        <v>113.65</v>
      </c>
      <c r="V349" s="6">
        <f t="shared" si="6"/>
        <v>0</v>
      </c>
      <c r="W349" s="6">
        <f>SUM(W2:W348)</f>
        <v>1376.9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1013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>
        <v>3.45</v>
      </c>
      <c r="O2" s="5">
        <v>5</v>
      </c>
      <c r="P2" s="5">
        <v>5.95</v>
      </c>
      <c r="Q2" s="5">
        <v>1.55</v>
      </c>
      <c r="R2" s="5"/>
      <c r="S2" s="5"/>
      <c r="T2" s="5"/>
      <c r="U2" s="5"/>
      <c r="V2" s="5"/>
      <c r="W2" s="5">
        <f t="shared" ref="W2:W67" si="0">SUM(C2:V2)</f>
        <v>15.95</v>
      </c>
    </row>
    <row r="3" spans="1:23">
      <c r="A3" s="3">
        <v>1651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>
        <f>1.95+10.35</f>
        <v>12.3</v>
      </c>
      <c r="O3" s="5">
        <v>6.8</v>
      </c>
      <c r="P3" s="5">
        <v>15.25</v>
      </c>
      <c r="Q3" s="5"/>
      <c r="R3" s="5"/>
      <c r="S3" s="5"/>
      <c r="T3" s="5"/>
      <c r="U3" s="5"/>
      <c r="V3" s="5"/>
      <c r="W3" s="5">
        <f t="shared" si="0"/>
        <v>34.35</v>
      </c>
    </row>
    <row r="4" spans="1:23">
      <c r="A4" s="3">
        <v>999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2.25</v>
      </c>
      <c r="N4" s="5"/>
      <c r="O4" s="5">
        <f>1.35+1.55</f>
        <v>2.9</v>
      </c>
      <c r="P4" s="5">
        <v>5.3</v>
      </c>
      <c r="Q4" s="5">
        <v>0.85</v>
      </c>
      <c r="R4" s="5"/>
      <c r="S4" s="5"/>
      <c r="T4" s="5">
        <v>3.95</v>
      </c>
      <c r="U4" s="5">
        <v>0.75</v>
      </c>
      <c r="V4" s="5"/>
      <c r="W4" s="5">
        <f t="shared" si="0"/>
        <v>16</v>
      </c>
    </row>
    <row r="5" spans="1:23">
      <c r="A5" s="3">
        <v>1005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>
        <v>1.85</v>
      </c>
      <c r="O5" s="5">
        <v>2.75</v>
      </c>
      <c r="P5" s="5">
        <v>7.8</v>
      </c>
      <c r="Q5" s="5">
        <v>5.2</v>
      </c>
      <c r="R5" s="5"/>
      <c r="S5" s="5"/>
      <c r="T5" s="5">
        <v>2.9</v>
      </c>
      <c r="U5" s="5"/>
      <c r="V5" s="5"/>
      <c r="W5" s="5">
        <f t="shared" si="0"/>
        <v>20.5</v>
      </c>
    </row>
    <row r="6" spans="1:23">
      <c r="A6" s="3">
        <v>1017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>
        <f>1.85+1.9</f>
        <v>3.75</v>
      </c>
      <c r="O6" s="5">
        <v>7.05</v>
      </c>
      <c r="P6" s="5">
        <v>12.6</v>
      </c>
      <c r="Q6" s="5">
        <v>3.5</v>
      </c>
      <c r="R6" s="5"/>
      <c r="S6" s="5"/>
      <c r="T6" s="5">
        <v>6.6</v>
      </c>
      <c r="U6" s="5"/>
      <c r="V6" s="5"/>
      <c r="W6" s="5">
        <f t="shared" si="0"/>
        <v>33.5</v>
      </c>
    </row>
    <row r="7" spans="1:23">
      <c r="A7" s="3">
        <v>1009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v>7.15</v>
      </c>
      <c r="N7" s="5">
        <f>15.25+10.3</f>
        <v>25.55</v>
      </c>
      <c r="O7" s="5">
        <f>15.2+13.35</f>
        <v>28.55</v>
      </c>
      <c r="P7" s="5">
        <f>14.6+13.9</f>
        <v>28.5</v>
      </c>
      <c r="Q7" s="5">
        <v>8.5</v>
      </c>
      <c r="R7" s="5"/>
      <c r="S7" s="5"/>
      <c r="T7" s="5">
        <v>11.1</v>
      </c>
      <c r="U7" s="5">
        <v>4</v>
      </c>
      <c r="V7" s="5"/>
      <c r="W7" s="5">
        <f t="shared" si="0"/>
        <v>113.35</v>
      </c>
    </row>
    <row r="8" spans="1:23">
      <c r="A8" s="3">
        <v>2167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f>15.9+16.5</f>
        <v>32.4</v>
      </c>
      <c r="N8" s="5">
        <f>16.95+16.3+17.7</f>
        <v>50.95</v>
      </c>
      <c r="O8" s="5">
        <f>15+20.6+5.5</f>
        <v>41.1</v>
      </c>
      <c r="P8" s="5">
        <f>14.7+16.9+9.2</f>
        <v>40.8</v>
      </c>
      <c r="Q8" s="5">
        <v>14.5</v>
      </c>
      <c r="R8" s="5"/>
      <c r="S8" s="5">
        <v>15.6</v>
      </c>
      <c r="T8" s="5">
        <f>18.7+12.6</f>
        <v>31.3</v>
      </c>
      <c r="U8" s="5">
        <v>9.45</v>
      </c>
      <c r="V8" s="5"/>
      <c r="W8" s="5">
        <f t="shared" si="0"/>
        <v>236.1</v>
      </c>
    </row>
    <row r="9" spans="1:23">
      <c r="A9" s="3">
        <v>1685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v>11.4</v>
      </c>
      <c r="N9" s="5">
        <f>22.75+16.9+17</f>
        <v>56.65</v>
      </c>
      <c r="O9" s="5">
        <f>17.65+16.25+22.45+18.95+16.75+21.25+18.7+4.1</f>
        <v>136.1</v>
      </c>
      <c r="P9" s="5">
        <f>20.5+19.35+16.45+19.2+18.95+23.6+28.1</f>
        <v>146.15</v>
      </c>
      <c r="Q9" s="5">
        <f>23.05+26.25</f>
        <v>49.3</v>
      </c>
      <c r="R9" s="5"/>
      <c r="S9" s="5">
        <v>2.65</v>
      </c>
      <c r="T9" s="5">
        <f>22.15+7.55</f>
        <v>29.7</v>
      </c>
      <c r="U9" s="5">
        <f>25.45+5.3</f>
        <v>30.75</v>
      </c>
      <c r="V9" s="5"/>
      <c r="W9" s="5">
        <f t="shared" si="0"/>
        <v>462.7</v>
      </c>
    </row>
    <row r="10" spans="1:23">
      <c r="A10" s="3">
        <v>2425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>
        <v>2</v>
      </c>
      <c r="N10" s="5"/>
      <c r="O10" s="5"/>
      <c r="P10" s="5">
        <v>7.05</v>
      </c>
      <c r="Q10" s="5">
        <v>2.75</v>
      </c>
      <c r="R10" s="5"/>
      <c r="S10" s="5"/>
      <c r="T10" s="5">
        <v>5.9</v>
      </c>
      <c r="U10" s="5">
        <v>13.6</v>
      </c>
      <c r="V10" s="5"/>
      <c r="W10" s="5">
        <f t="shared" si="0"/>
        <v>31.3</v>
      </c>
    </row>
    <row r="11" spans="1:23">
      <c r="A11" s="3">
        <v>1005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>
        <v>3.35</v>
      </c>
      <c r="O11" s="5"/>
      <c r="P11" s="5">
        <v>1.05</v>
      </c>
      <c r="Q11" s="5"/>
      <c r="R11" s="5"/>
      <c r="S11" s="5"/>
      <c r="T11" s="5">
        <v>1.55</v>
      </c>
      <c r="U11" s="5"/>
      <c r="V11" s="5"/>
      <c r="W11" s="5">
        <f t="shared" si="0"/>
        <v>5.95</v>
      </c>
    </row>
    <row r="12" spans="1:23">
      <c r="A12" s="3">
        <v>309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>
        <f>16.85+22.8</f>
        <v>39.65</v>
      </c>
      <c r="N12" s="5">
        <f>24.55+22.5+16.6+20.7</f>
        <v>84.35</v>
      </c>
      <c r="O12" s="5">
        <f>18.8+23.9+25.45+19.25</f>
        <v>87.4</v>
      </c>
      <c r="P12" s="5">
        <f>23.4+20.15+11.05+22.7+16.95+23.45</f>
        <v>117.7</v>
      </c>
      <c r="Q12" s="5">
        <f>10.15+15.3+22.3</f>
        <v>47.75</v>
      </c>
      <c r="R12" s="5"/>
      <c r="S12" s="5">
        <f>19+18.9</f>
        <v>37.9</v>
      </c>
      <c r="T12" s="5">
        <f>17+22.85+28.2+17+31</f>
        <v>116.05</v>
      </c>
      <c r="U12" s="5">
        <f>26.8+22.6</f>
        <v>49.4</v>
      </c>
      <c r="V12" s="5"/>
      <c r="W12" s="5">
        <f t="shared" si="0"/>
        <v>580.2</v>
      </c>
    </row>
    <row r="13" spans="1:23">
      <c r="A13" s="3">
        <v>2425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>
        <v>1.6</v>
      </c>
      <c r="O13" s="5"/>
      <c r="P13" s="5">
        <v>3.2</v>
      </c>
      <c r="Q13" s="5"/>
      <c r="R13" s="5"/>
      <c r="S13" s="5"/>
      <c r="T13" s="5"/>
      <c r="U13" s="5"/>
      <c r="V13" s="5"/>
      <c r="W13" s="5">
        <f t="shared" si="0"/>
        <v>4.8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94.85</v>
      </c>
      <c r="N349" s="6">
        <f t="shared" si="6"/>
        <v>243.8</v>
      </c>
      <c r="O349" s="6">
        <f t="shared" si="6"/>
        <v>317.65</v>
      </c>
      <c r="P349" s="6">
        <f t="shared" si="6"/>
        <v>391.35</v>
      </c>
      <c r="Q349" s="6">
        <f t="shared" si="6"/>
        <v>133.9</v>
      </c>
      <c r="R349" s="6">
        <f t="shared" si="6"/>
        <v>0</v>
      </c>
      <c r="S349" s="6">
        <f t="shared" si="6"/>
        <v>56.15</v>
      </c>
      <c r="T349" s="6">
        <f t="shared" si="6"/>
        <v>209.05</v>
      </c>
      <c r="U349" s="6">
        <f t="shared" si="6"/>
        <v>107.95</v>
      </c>
      <c r="V349" s="6">
        <f t="shared" si="6"/>
        <v>0</v>
      </c>
      <c r="W349" s="6">
        <f>SUM(W2:W348)</f>
        <v>1554.7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1651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>
        <v>4.55</v>
      </c>
      <c r="N2" s="5">
        <v>13.65</v>
      </c>
      <c r="O2" s="5">
        <v>2.75</v>
      </c>
      <c r="P2" s="5">
        <v>7.45</v>
      </c>
      <c r="Q2" s="5">
        <v>0.8</v>
      </c>
      <c r="R2" s="5"/>
      <c r="S2" s="5"/>
      <c r="T2" s="5"/>
      <c r="U2" s="5"/>
      <c r="V2" s="5"/>
      <c r="W2" s="5">
        <f t="shared" ref="W2:W67" si="0">SUM(C2:V2)</f>
        <v>29.2</v>
      </c>
    </row>
    <row r="3" spans="1:23">
      <c r="A3" s="3">
        <v>999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>
        <v>3</v>
      </c>
      <c r="P3" s="5">
        <v>4.3</v>
      </c>
      <c r="Q3" s="5"/>
      <c r="R3" s="5"/>
      <c r="S3" s="5"/>
      <c r="T3" s="5">
        <v>1.2</v>
      </c>
      <c r="U3" s="5">
        <v>2.55</v>
      </c>
      <c r="V3" s="5"/>
      <c r="W3" s="5">
        <f t="shared" si="0"/>
        <v>11.05</v>
      </c>
    </row>
    <row r="4" spans="1:23">
      <c r="A4" s="3">
        <v>1005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>
        <v>4.9</v>
      </c>
      <c r="O4" s="5">
        <v>6.95</v>
      </c>
      <c r="P4" s="5">
        <v>4.55</v>
      </c>
      <c r="Q4" s="5">
        <v>1.9</v>
      </c>
      <c r="R4" s="5"/>
      <c r="S4" s="5"/>
      <c r="T4" s="5">
        <v>4.3</v>
      </c>
      <c r="U4" s="5"/>
      <c r="V4" s="5"/>
      <c r="W4" s="5">
        <f t="shared" si="0"/>
        <v>22.6</v>
      </c>
    </row>
    <row r="5" spans="1:23">
      <c r="A5" s="3">
        <v>1017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v>8.3</v>
      </c>
      <c r="N5" s="5">
        <v>13.35</v>
      </c>
      <c r="O5" s="5">
        <v>8.35</v>
      </c>
      <c r="P5" s="5">
        <v>2.25</v>
      </c>
      <c r="Q5" s="5">
        <v>3.35</v>
      </c>
      <c r="R5" s="5"/>
      <c r="S5" s="5"/>
      <c r="T5" s="5"/>
      <c r="U5" s="5"/>
      <c r="V5" s="5"/>
      <c r="W5" s="5">
        <f t="shared" si="0"/>
        <v>35.6</v>
      </c>
    </row>
    <row r="6" spans="1:23">
      <c r="A6" s="3">
        <v>1009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v>15.45</v>
      </c>
      <c r="N6" s="5">
        <f>17.85+15.75+5.15</f>
        <v>38.75</v>
      </c>
      <c r="O6" s="5">
        <f>18.65+10.3</f>
        <v>28.95</v>
      </c>
      <c r="P6" s="5">
        <f>14.85+15.1</f>
        <v>29.95</v>
      </c>
      <c r="Q6" s="5">
        <v>18.5</v>
      </c>
      <c r="R6" s="5"/>
      <c r="S6" s="5"/>
      <c r="T6" s="5">
        <v>13.55</v>
      </c>
      <c r="U6" s="5">
        <v>13.2</v>
      </c>
      <c r="V6" s="5"/>
      <c r="W6" s="5">
        <f t="shared" si="0"/>
        <v>158.35</v>
      </c>
    </row>
    <row r="7" spans="1:23">
      <c r="A7" s="3">
        <v>1685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f>13.6+11.15</f>
        <v>24.75</v>
      </c>
      <c r="N7" s="5">
        <f>15.9+22+21.3+13.75</f>
        <v>72.95</v>
      </c>
      <c r="O7" s="5">
        <f>19.75+22.7+18.95+17.9+17.45+20.85</f>
        <v>117.6</v>
      </c>
      <c r="P7" s="5">
        <f>19.15+16.95+18.4+21.15+19.95+17.6+2.25</f>
        <v>115.45</v>
      </c>
      <c r="Q7" s="5">
        <f>17.85+16.4+14.05</f>
        <v>48.3</v>
      </c>
      <c r="R7" s="5"/>
      <c r="S7" s="5">
        <v>11</v>
      </c>
      <c r="T7" s="5">
        <f>22.6+14.65</f>
        <v>37.25</v>
      </c>
      <c r="U7" s="5">
        <f>17.7+11.7</f>
        <v>29.4</v>
      </c>
      <c r="V7" s="5"/>
      <c r="W7" s="5">
        <f t="shared" si="0"/>
        <v>456.7</v>
      </c>
    </row>
    <row r="8" spans="1:23">
      <c r="A8" s="3">
        <v>2425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v>2.45</v>
      </c>
      <c r="N8" s="5">
        <v>1.8</v>
      </c>
      <c r="O8" s="5"/>
      <c r="P8" s="5">
        <v>3.25</v>
      </c>
      <c r="Q8" s="5">
        <v>1.35</v>
      </c>
      <c r="R8" s="5"/>
      <c r="S8" s="5"/>
      <c r="T8" s="5"/>
      <c r="U8" s="5">
        <v>1.1</v>
      </c>
      <c r="V8" s="5"/>
      <c r="W8" s="5">
        <f t="shared" si="0"/>
        <v>9.95</v>
      </c>
    </row>
    <row r="9" spans="1:23">
      <c r="A9" s="3">
        <v>309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f>18.15+18.6+21.6+8.7</f>
        <v>67.05</v>
      </c>
      <c r="N9" s="5">
        <f>17.15+21.3+18.2+22.35</f>
        <v>79</v>
      </c>
      <c r="O9" s="5">
        <f>19.2+20.95+18.8+13.3</f>
        <v>72.25</v>
      </c>
      <c r="P9" s="5">
        <f>23.65+20.3+22.15+21.9</f>
        <v>88</v>
      </c>
      <c r="Q9" s="5">
        <f>24.35+15.45</f>
        <v>39.8</v>
      </c>
      <c r="R9" s="5"/>
      <c r="S9" s="5">
        <v>10.6</v>
      </c>
      <c r="T9" s="5">
        <f>24.55+11.85</f>
        <v>36.4</v>
      </c>
      <c r="U9" s="5">
        <f>18.75+3.1</f>
        <v>21.85</v>
      </c>
      <c r="V9" s="5"/>
      <c r="W9" s="5">
        <f t="shared" si="0"/>
        <v>414.95</v>
      </c>
    </row>
    <row r="10" spans="1:23">
      <c r="A10" s="3">
        <v>2425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>
        <v>3.75</v>
      </c>
      <c r="O10" s="5">
        <v>18.15</v>
      </c>
      <c r="P10" s="5">
        <f>18.25+18.9+13.95</f>
        <v>51.1</v>
      </c>
      <c r="Q10" s="5">
        <f>20.1+8.25</f>
        <v>28.35</v>
      </c>
      <c r="R10" s="5"/>
      <c r="S10" s="5"/>
      <c r="T10" s="5">
        <f>17.45+4.7</f>
        <v>22.15</v>
      </c>
      <c r="U10" s="5">
        <f>17.75+25.6</f>
        <v>43.35</v>
      </c>
      <c r="V10" s="5"/>
      <c r="W10" s="5">
        <f t="shared" si="0"/>
        <v>166.85</v>
      </c>
    </row>
    <row r="11" spans="1:23">
      <c r="A11" s="3">
        <v>2167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v>15.55</v>
      </c>
      <c r="N11" s="5">
        <f>16.65+14.35</f>
        <v>31</v>
      </c>
      <c r="O11" s="5">
        <f>17.55+20.55+13.15</f>
        <v>51.25</v>
      </c>
      <c r="P11" s="5">
        <f>16.75+17.3</f>
        <v>34.05</v>
      </c>
      <c r="Q11" s="5">
        <v>13.2</v>
      </c>
      <c r="R11" s="5"/>
      <c r="S11" s="5">
        <v>21.8</v>
      </c>
      <c r="T11" s="5">
        <f>24.75+24.1+16.75</f>
        <v>65.6</v>
      </c>
      <c r="U11" s="5">
        <v>8.55</v>
      </c>
      <c r="V11" s="5"/>
      <c r="W11" s="5">
        <f t="shared" si="0"/>
        <v>241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138.1</v>
      </c>
      <c r="N349" s="6">
        <f t="shared" si="6"/>
        <v>259.15</v>
      </c>
      <c r="O349" s="6">
        <f t="shared" si="6"/>
        <v>309.25</v>
      </c>
      <c r="P349" s="6">
        <f t="shared" si="6"/>
        <v>340.35</v>
      </c>
      <c r="Q349" s="6">
        <f t="shared" si="6"/>
        <v>155.55</v>
      </c>
      <c r="R349" s="6">
        <f t="shared" si="6"/>
        <v>0</v>
      </c>
      <c r="S349" s="6">
        <f t="shared" si="6"/>
        <v>43.4</v>
      </c>
      <c r="T349" s="6">
        <f t="shared" si="6"/>
        <v>180.45</v>
      </c>
      <c r="U349" s="6">
        <f t="shared" si="6"/>
        <v>120</v>
      </c>
      <c r="V349" s="6">
        <f t="shared" si="6"/>
        <v>0</v>
      </c>
      <c r="W349" s="6">
        <f>SUM(W2:W348)</f>
        <v>1546.25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2425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>
        <v>5.45</v>
      </c>
      <c r="P2" s="5">
        <v>1.9</v>
      </c>
      <c r="Q2" s="5"/>
      <c r="R2" s="5"/>
      <c r="S2" s="5"/>
      <c r="T2" s="5">
        <v>1.15</v>
      </c>
      <c r="U2" s="5"/>
      <c r="V2" s="5"/>
      <c r="W2" s="5">
        <f t="shared" ref="W2:W67" si="0">SUM(C2:V2)</f>
        <v>8.5</v>
      </c>
    </row>
    <row r="3" spans="1:23">
      <c r="A3" s="3">
        <v>309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f>20.3+2.2</f>
        <v>22.5</v>
      </c>
      <c r="N3" s="5">
        <f>25.55+18.25+17.3+13.1+7.05</f>
        <v>81.25</v>
      </c>
      <c r="O3" s="5">
        <f>17+14.15+16.55+14.55+26.2+10.15</f>
        <v>98.6</v>
      </c>
      <c r="P3" s="5">
        <f>15.65+14.25+18.15+16.45+16.3+24.8+16.25+14.7+10.7</f>
        <v>147.25</v>
      </c>
      <c r="Q3" s="5">
        <f>11.4+12.45+16.85+18.3+3.2</f>
        <v>62.2</v>
      </c>
      <c r="R3" s="5"/>
      <c r="S3" s="5">
        <v>17.75</v>
      </c>
      <c r="T3" s="5">
        <f>18.2+22.85+15.45+20.4+20.7+16.5+6.35</f>
        <v>120.45</v>
      </c>
      <c r="U3" s="5">
        <f>13.85+15.9+17.7+14.6</f>
        <v>62.05</v>
      </c>
      <c r="V3" s="5"/>
      <c r="W3" s="5">
        <f t="shared" si="0"/>
        <v>612.05</v>
      </c>
    </row>
    <row r="4" spans="1:23">
      <c r="A4" s="3">
        <v>2161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2.15</v>
      </c>
      <c r="N4" s="5">
        <v>16.75</v>
      </c>
      <c r="O4" s="5">
        <f>14.05+15.9+5.95</f>
        <v>35.9</v>
      </c>
      <c r="P4" s="5">
        <f>15.6+20.05</f>
        <v>35.65</v>
      </c>
      <c r="Q4" s="5">
        <v>10.85</v>
      </c>
      <c r="R4" s="5"/>
      <c r="S4" s="5">
        <v>2.15</v>
      </c>
      <c r="T4" s="5">
        <v>19.45</v>
      </c>
      <c r="U4" s="5">
        <v>9.9</v>
      </c>
      <c r="V4" s="5"/>
      <c r="W4" s="5">
        <f t="shared" si="0"/>
        <v>132.8</v>
      </c>
    </row>
    <row r="5" spans="1:23">
      <c r="A5" s="3">
        <v>996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v>5</v>
      </c>
      <c r="N5" s="5">
        <v>6.95</v>
      </c>
      <c r="O5" s="5">
        <v>10.3</v>
      </c>
      <c r="P5" s="5">
        <v>1.15</v>
      </c>
      <c r="Q5" s="5"/>
      <c r="R5" s="5"/>
      <c r="S5" s="5"/>
      <c r="T5" s="5"/>
      <c r="U5" s="5"/>
      <c r="V5" s="5"/>
      <c r="W5" s="5">
        <f t="shared" si="0"/>
        <v>23.4</v>
      </c>
    </row>
    <row r="6" spans="1:23">
      <c r="A6" s="3">
        <v>1017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v>4.85</v>
      </c>
      <c r="N6" s="5">
        <v>1.75</v>
      </c>
      <c r="O6" s="5">
        <v>5.35</v>
      </c>
      <c r="P6" s="5">
        <v>9.45</v>
      </c>
      <c r="Q6" s="5">
        <v>2.05</v>
      </c>
      <c r="R6" s="5"/>
      <c r="S6" s="5"/>
      <c r="T6" s="5"/>
      <c r="U6" s="5"/>
      <c r="V6" s="5"/>
      <c r="W6" s="5">
        <f t="shared" si="0"/>
        <v>23.45</v>
      </c>
    </row>
    <row r="7" spans="1:23">
      <c r="A7" s="3">
        <v>1009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v>16.65</v>
      </c>
      <c r="N7" s="5">
        <f>13.9+7.05</f>
        <v>20.95</v>
      </c>
      <c r="O7" s="5">
        <f>14.7+17.3+10</f>
        <v>42</v>
      </c>
      <c r="P7" s="5">
        <f>16.5+15.4+9.7</f>
        <v>41.6</v>
      </c>
      <c r="Q7" s="5">
        <v>20.45</v>
      </c>
      <c r="R7" s="5"/>
      <c r="S7" s="5">
        <v>5.65</v>
      </c>
      <c r="T7" s="5">
        <v>4.5</v>
      </c>
      <c r="U7" s="5">
        <v>9</v>
      </c>
      <c r="V7" s="5"/>
      <c r="W7" s="5">
        <f t="shared" si="0"/>
        <v>160.8</v>
      </c>
    </row>
    <row r="8" spans="1:23">
      <c r="A8" s="3">
        <v>260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f>14.15+14.45+16.85</f>
        <v>45.45</v>
      </c>
      <c r="N8" s="5">
        <f>15.65+16.55+17.35+19.85+24.6+25.8+19.55</f>
        <v>139.35</v>
      </c>
      <c r="O8" s="5">
        <f>14.35+15.95+17.2+15.75+23.4+17.05+18.1</f>
        <v>121.8</v>
      </c>
      <c r="P8" s="5">
        <f>14.85+18.9+19.1+15.95+15.75+17.75+18.4</f>
        <v>120.7</v>
      </c>
      <c r="Q8" s="5">
        <f>15.35+17.25+21.7+5.35</f>
        <v>59.65</v>
      </c>
      <c r="R8" s="5"/>
      <c r="S8" s="5">
        <v>15.15</v>
      </c>
      <c r="T8" s="5">
        <f>17+11.65+13.1+19.1+15.75</f>
        <v>76.6</v>
      </c>
      <c r="U8" s="5">
        <f>16.05+12.7+27.35</f>
        <v>56.1</v>
      </c>
      <c r="V8" s="5"/>
      <c r="W8" s="5">
        <f t="shared" si="0"/>
        <v>634.8</v>
      </c>
    </row>
    <row r="9" spans="1:23">
      <c r="A9" s="3">
        <v>1013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v>13</v>
      </c>
      <c r="N9" s="5">
        <v>14.4</v>
      </c>
      <c r="O9" s="5">
        <v>7</v>
      </c>
      <c r="P9" s="5">
        <v>10.35</v>
      </c>
      <c r="Q9" s="5">
        <v>7.25</v>
      </c>
      <c r="R9" s="5"/>
      <c r="S9" s="5"/>
      <c r="T9" s="5"/>
      <c r="U9" s="5">
        <v>6.95</v>
      </c>
      <c r="V9" s="5"/>
      <c r="W9" s="5">
        <f t="shared" si="0"/>
        <v>58.95</v>
      </c>
    </row>
    <row r="10" spans="1:23">
      <c r="A10" s="3">
        <v>999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>
        <v>17.45</v>
      </c>
      <c r="O10" s="5">
        <v>10.3</v>
      </c>
      <c r="P10" s="5">
        <f>15.95+4.5</f>
        <v>20.45</v>
      </c>
      <c r="Q10" s="5">
        <v>12.5</v>
      </c>
      <c r="R10" s="5"/>
      <c r="S10" s="5"/>
      <c r="T10" s="5">
        <v>4.9</v>
      </c>
      <c r="U10" s="5">
        <v>10.35</v>
      </c>
      <c r="V10" s="5"/>
      <c r="W10" s="5">
        <f t="shared" si="0"/>
        <v>75.95</v>
      </c>
    </row>
    <row r="11" spans="1:23">
      <c r="A11" s="3">
        <v>451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v>15.7</v>
      </c>
      <c r="N11" s="5">
        <v>25</v>
      </c>
      <c r="O11" s="5">
        <f>21.15+6.05</f>
        <v>27.2</v>
      </c>
      <c r="P11" s="5">
        <f>15.2+21.65</f>
        <v>36.85</v>
      </c>
      <c r="Q11" s="5">
        <v>8.45</v>
      </c>
      <c r="R11" s="5"/>
      <c r="S11" s="5">
        <v>2</v>
      </c>
      <c r="T11" s="5">
        <v>1.2</v>
      </c>
      <c r="U11" s="5">
        <v>11.5</v>
      </c>
      <c r="V11" s="5"/>
      <c r="W11" s="5">
        <f t="shared" si="0"/>
        <v>127.9</v>
      </c>
    </row>
    <row r="12" spans="1:23">
      <c r="A12" s="3">
        <v>1030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>
        <v>12.5</v>
      </c>
      <c r="O12" s="5">
        <f>21.75+7.25</f>
        <v>29</v>
      </c>
      <c r="P12" s="5">
        <f>14.6+6</f>
        <v>20.6</v>
      </c>
      <c r="Q12" s="5">
        <v>2.65</v>
      </c>
      <c r="R12" s="5"/>
      <c r="S12" s="5"/>
      <c r="T12" s="5">
        <f>18.25+17.8+2.3+1.85</f>
        <v>40.2</v>
      </c>
      <c r="U12" s="5">
        <f>16.65+7.2</f>
        <v>23.85</v>
      </c>
      <c r="V12" s="5"/>
      <c r="W12" s="5">
        <f t="shared" si="0"/>
        <v>128.8</v>
      </c>
    </row>
    <row r="13" spans="1:23">
      <c r="A13" s="3">
        <v>1006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>
        <f>15+1.3</f>
        <v>16.3</v>
      </c>
      <c r="P13" s="5">
        <v>15.55</v>
      </c>
      <c r="Q13" s="5">
        <v>5.65</v>
      </c>
      <c r="R13" s="5"/>
      <c r="S13" s="5"/>
      <c r="T13" s="5">
        <v>0.95</v>
      </c>
      <c r="U13" s="5">
        <v>6.65</v>
      </c>
      <c r="V13" s="5"/>
      <c r="W13" s="5">
        <f t="shared" si="0"/>
        <v>45.1</v>
      </c>
    </row>
    <row r="14" spans="1:23">
      <c r="A14" s="3">
        <v>1005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>
        <v>4.95</v>
      </c>
      <c r="O14" s="5">
        <v>4.15</v>
      </c>
      <c r="P14" s="5">
        <v>4.9</v>
      </c>
      <c r="Q14" s="5">
        <v>1.7</v>
      </c>
      <c r="R14" s="5"/>
      <c r="S14" s="5"/>
      <c r="T14" s="5">
        <v>1.25</v>
      </c>
      <c r="U14" s="5">
        <v>1.2</v>
      </c>
      <c r="V14" s="5"/>
      <c r="W14" s="5">
        <f t="shared" si="0"/>
        <v>18.15</v>
      </c>
    </row>
    <row r="15" spans="1:23">
      <c r="A15" s="3">
        <v>2425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>
        <v>2.3</v>
      </c>
      <c r="N15" s="5">
        <v>8.1</v>
      </c>
      <c r="O15" s="5">
        <v>4</v>
      </c>
      <c r="P15" s="5">
        <v>7.8</v>
      </c>
      <c r="Q15" s="5">
        <v>1.8</v>
      </c>
      <c r="R15" s="5"/>
      <c r="S15" s="5"/>
      <c r="T15" s="5">
        <v>8.78</v>
      </c>
      <c r="U15" s="5">
        <v>9.85</v>
      </c>
      <c r="V15" s="5"/>
      <c r="W15" s="5">
        <f t="shared" si="0"/>
        <v>42.63</v>
      </c>
    </row>
    <row r="16" spans="1:23">
      <c r="A16" s="3">
        <v>354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>
        <f>18.1+4.2</f>
        <v>22.3</v>
      </c>
      <c r="N16" s="5">
        <f>17.7+14.45+7.05</f>
        <v>39.2</v>
      </c>
      <c r="O16" s="5">
        <f>18.05+9.7</f>
        <v>27.75</v>
      </c>
      <c r="P16" s="5">
        <f>17.9+17.95</f>
        <v>35.85</v>
      </c>
      <c r="Q16" s="5">
        <f>15.7+0.95</f>
        <v>16.65</v>
      </c>
      <c r="R16" s="5"/>
      <c r="S16" s="5">
        <v>2.55</v>
      </c>
      <c r="T16" s="5">
        <f>18.8+3.5</f>
        <v>22.3</v>
      </c>
      <c r="U16" s="5">
        <v>15.35</v>
      </c>
      <c r="V16" s="5"/>
      <c r="W16" s="5">
        <f t="shared" si="0"/>
        <v>181.95</v>
      </c>
    </row>
    <row r="17" spans="1:23">
      <c r="A17" s="3">
        <v>342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>
        <v>11.7</v>
      </c>
      <c r="N17" s="5">
        <f>18.85+8.45</f>
        <v>27.3</v>
      </c>
      <c r="O17" s="5">
        <v>14.65</v>
      </c>
      <c r="P17" s="5">
        <f>15.4+19.15</f>
        <v>34.55</v>
      </c>
      <c r="Q17" s="5">
        <v>8</v>
      </c>
      <c r="R17" s="5"/>
      <c r="S17" s="5"/>
      <c r="T17" s="5">
        <v>2.2</v>
      </c>
      <c r="U17" s="5">
        <v>7.8</v>
      </c>
      <c r="V17" s="5"/>
      <c r="W17" s="5">
        <f t="shared" si="0"/>
        <v>106.2</v>
      </c>
    </row>
    <row r="18" spans="1:23">
      <c r="A18" s="3">
        <v>1791</v>
      </c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>
        <v>12.6</v>
      </c>
      <c r="N18" s="5">
        <v>13.15</v>
      </c>
      <c r="O18" s="5">
        <v>6.65</v>
      </c>
      <c r="P18" s="5">
        <v>18.2</v>
      </c>
      <c r="Q18" s="5">
        <v>4.25</v>
      </c>
      <c r="R18" s="5"/>
      <c r="S18" s="5">
        <v>2.1</v>
      </c>
      <c r="T18" s="5"/>
      <c r="U18" s="5">
        <v>2.6</v>
      </c>
      <c r="V18" s="5"/>
      <c r="W18" s="5">
        <f t="shared" si="0"/>
        <v>59.55</v>
      </c>
    </row>
    <row r="19" spans="1:23">
      <c r="A19" s="3">
        <v>1036</v>
      </c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>
        <f>16.8+15.7</f>
        <v>32.5</v>
      </c>
      <c r="O19" s="5">
        <f>19.35+22.1+27.5+21+27.8+27.4</f>
        <v>145.15</v>
      </c>
      <c r="P19" s="5">
        <v>17.35</v>
      </c>
      <c r="Q19" s="5">
        <v>15</v>
      </c>
      <c r="R19" s="5"/>
      <c r="S19" s="5">
        <v>2.1</v>
      </c>
      <c r="T19" s="5">
        <v>15.65</v>
      </c>
      <c r="U19" s="5">
        <v>3.1</v>
      </c>
      <c r="V19" s="5"/>
      <c r="W19" s="5">
        <f t="shared" si="0"/>
        <v>230.85</v>
      </c>
    </row>
    <row r="20" spans="1:23">
      <c r="A20" s="3">
        <v>1036</v>
      </c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>
        <f>5.2+19.3</f>
        <v>24.5</v>
      </c>
      <c r="O20" s="5">
        <f>18.8+12.65</f>
        <v>31.45</v>
      </c>
      <c r="P20" s="5"/>
      <c r="Q20" s="5"/>
      <c r="R20" s="5"/>
      <c r="S20" s="5"/>
      <c r="T20" s="5">
        <v>6.8</v>
      </c>
      <c r="U20" s="5"/>
      <c r="V20" s="5"/>
      <c r="W20" s="5">
        <f t="shared" si="0"/>
        <v>62.75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174.2</v>
      </c>
      <c r="N349" s="6">
        <f t="shared" si="6"/>
        <v>486.05</v>
      </c>
      <c r="O349" s="6">
        <f t="shared" si="6"/>
        <v>643</v>
      </c>
      <c r="P349" s="6">
        <f t="shared" si="6"/>
        <v>580.15</v>
      </c>
      <c r="Q349" s="6">
        <f t="shared" si="6"/>
        <v>239.1</v>
      </c>
      <c r="R349" s="6">
        <f t="shared" si="6"/>
        <v>0</v>
      </c>
      <c r="S349" s="6">
        <f t="shared" si="6"/>
        <v>49.45</v>
      </c>
      <c r="T349" s="6">
        <f t="shared" si="6"/>
        <v>326.38</v>
      </c>
      <c r="U349" s="6">
        <f t="shared" si="6"/>
        <v>236.25</v>
      </c>
      <c r="V349" s="6">
        <f t="shared" si="6"/>
        <v>0</v>
      </c>
      <c r="W349" s="6">
        <f>SUM(W2:W348)</f>
        <v>2734.58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2425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>
        <v>1.7</v>
      </c>
      <c r="O2" s="5">
        <v>3.8</v>
      </c>
      <c r="P2" s="5">
        <v>7.65</v>
      </c>
      <c r="Q2" s="5">
        <v>1.4</v>
      </c>
      <c r="R2" s="5"/>
      <c r="S2" s="5"/>
      <c r="T2" s="5">
        <v>1.45</v>
      </c>
      <c r="U2" s="5"/>
      <c r="V2" s="5"/>
      <c r="W2" s="5">
        <f t="shared" ref="W2:W67" si="0">SUM(C2:V2)</f>
        <v>16</v>
      </c>
    </row>
    <row r="3" spans="1:23">
      <c r="A3" s="3">
        <v>309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f>18.5+19.75</f>
        <v>38.25</v>
      </c>
      <c r="N3" s="5">
        <f>11.9+18.3+22.65</f>
        <v>52.85</v>
      </c>
      <c r="O3" s="5">
        <f>18.35+23.8+21.05</f>
        <v>63.2</v>
      </c>
      <c r="P3" s="5">
        <f>26.8+19.65+16.65+15.1+17.25</f>
        <v>95.45</v>
      </c>
      <c r="Q3" s="5">
        <f>19.55+21.65</f>
        <v>41.2</v>
      </c>
      <c r="R3" s="5"/>
      <c r="S3" s="5">
        <v>5.35</v>
      </c>
      <c r="T3" s="5">
        <f>28.65+23.85</f>
        <v>52.5</v>
      </c>
      <c r="U3" s="5">
        <v>28.3</v>
      </c>
      <c r="V3" s="5"/>
      <c r="W3" s="5">
        <f t="shared" si="0"/>
        <v>377.1</v>
      </c>
    </row>
    <row r="4" spans="1:23">
      <c r="A4" s="3">
        <v>1685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15.5</v>
      </c>
      <c r="N4" s="5">
        <f>15.6+20.7+8.7</f>
        <v>45</v>
      </c>
      <c r="O4" s="5">
        <f>14.55+19.2+20.2+16.6+20.2+23.95</f>
        <v>114.7</v>
      </c>
      <c r="P4" s="5">
        <f>14.2+17.9+21.5+21.8+21.35+15.45+17.75</f>
        <v>129.95</v>
      </c>
      <c r="Q4" s="5">
        <f>16.3+19.65</f>
        <v>35.95</v>
      </c>
      <c r="R4" s="5"/>
      <c r="S4" s="5">
        <v>2.7</v>
      </c>
      <c r="T4" s="5">
        <f>18.75+12.8</f>
        <v>31.55</v>
      </c>
      <c r="U4" s="5">
        <v>18.1</v>
      </c>
      <c r="V4" s="5"/>
      <c r="W4" s="5">
        <f t="shared" si="0"/>
        <v>393.45</v>
      </c>
    </row>
    <row r="5" spans="1:23">
      <c r="A5" s="3">
        <v>1005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>
        <v>5.15</v>
      </c>
      <c r="O5" s="5">
        <v>13.15</v>
      </c>
      <c r="P5" s="5">
        <v>7.6</v>
      </c>
      <c r="Q5" s="5">
        <v>3.7</v>
      </c>
      <c r="R5" s="5"/>
      <c r="S5" s="5">
        <v>2.45</v>
      </c>
      <c r="T5" s="5"/>
      <c r="U5" s="5"/>
      <c r="V5" s="5"/>
      <c r="W5" s="5">
        <f t="shared" si="0"/>
        <v>32.05</v>
      </c>
    </row>
    <row r="6" spans="1:23">
      <c r="A6" s="3">
        <v>999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>
        <v>5</v>
      </c>
      <c r="O6" s="5">
        <v>2.6</v>
      </c>
      <c r="P6" s="5">
        <v>3.45</v>
      </c>
      <c r="Q6" s="5">
        <v>0.7</v>
      </c>
      <c r="R6" s="5"/>
      <c r="S6" s="5"/>
      <c r="T6" s="5">
        <v>1.35</v>
      </c>
      <c r="U6" s="5">
        <v>1.2</v>
      </c>
      <c r="V6" s="5"/>
      <c r="W6" s="5">
        <f t="shared" si="0"/>
        <v>14.3</v>
      </c>
    </row>
    <row r="7" spans="1:23">
      <c r="A7" s="3">
        <v>1009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v>12.3</v>
      </c>
      <c r="N7" s="5">
        <v>11.45</v>
      </c>
      <c r="O7" s="5">
        <v>8.9</v>
      </c>
      <c r="P7" s="5">
        <f>15+13.7</f>
        <v>28.7</v>
      </c>
      <c r="Q7" s="5">
        <f>10.65+2.65</f>
        <v>13.3</v>
      </c>
      <c r="R7" s="5"/>
      <c r="S7" s="5">
        <v>2.2</v>
      </c>
      <c r="T7" s="5">
        <v>9.35</v>
      </c>
      <c r="U7" s="5">
        <v>5</v>
      </c>
      <c r="V7" s="5"/>
      <c r="W7" s="5">
        <f t="shared" si="0"/>
        <v>91.2</v>
      </c>
    </row>
    <row r="8" spans="1:23">
      <c r="A8" s="3">
        <v>1651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f>1.75+3.8</f>
        <v>5.55</v>
      </c>
      <c r="N8" s="5">
        <v>6.3</v>
      </c>
      <c r="O8" s="5">
        <v>6.5</v>
      </c>
      <c r="P8" s="5"/>
      <c r="Q8" s="5"/>
      <c r="R8" s="5"/>
      <c r="S8" s="5"/>
      <c r="T8" s="5"/>
      <c r="U8" s="5"/>
      <c r="V8" s="5"/>
      <c r="W8" s="5">
        <f t="shared" si="0"/>
        <v>18.35</v>
      </c>
    </row>
    <row r="9" spans="1:23">
      <c r="A9" s="3">
        <v>2425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>
        <f>16.05+15.4+2.95</f>
        <v>34.4</v>
      </c>
      <c r="P9" s="5">
        <f>20.5+17.55+16.75+1.1</f>
        <v>55.9</v>
      </c>
      <c r="Q9" s="5">
        <v>17</v>
      </c>
      <c r="R9" s="5"/>
      <c r="S9" s="5"/>
      <c r="T9" s="5">
        <f>16.2+6.45</f>
        <v>22.65</v>
      </c>
      <c r="U9" s="5">
        <f>17.85+10.5</f>
        <v>28.35</v>
      </c>
      <c r="V9" s="5"/>
      <c r="W9" s="5">
        <f t="shared" si="0"/>
        <v>158.3</v>
      </c>
    </row>
    <row r="10" spans="1:23">
      <c r="A10" s="3">
        <v>1017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>
        <v>2.25</v>
      </c>
      <c r="N10" s="5">
        <v>9.15</v>
      </c>
      <c r="O10" s="5"/>
      <c r="P10" s="5"/>
      <c r="Q10" s="5">
        <v>0.6</v>
      </c>
      <c r="R10" s="5"/>
      <c r="S10" s="5"/>
      <c r="T10" s="5"/>
      <c r="U10" s="5"/>
      <c r="V10" s="5"/>
      <c r="W10" s="5">
        <f t="shared" si="0"/>
        <v>12</v>
      </c>
    </row>
    <row r="11" spans="1:23">
      <c r="A11" s="3">
        <v>2167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f>16.5+31.2</f>
        <v>47.7</v>
      </c>
      <c r="N11" s="5">
        <f>25.95+24.35+1.75</f>
        <v>52.05</v>
      </c>
      <c r="O11" s="5">
        <f>18.2+23</f>
        <v>41.2</v>
      </c>
      <c r="P11" s="5">
        <f>22.85+19.9</f>
        <v>42.75</v>
      </c>
      <c r="Q11" s="5">
        <v>3.95</v>
      </c>
      <c r="R11" s="5"/>
      <c r="S11" s="5">
        <v>2.6</v>
      </c>
      <c r="T11" s="5">
        <f>14.65+6.75</f>
        <v>21.4</v>
      </c>
      <c r="U11" s="5">
        <v>6.25</v>
      </c>
      <c r="V11" s="5"/>
      <c r="W11" s="5">
        <f t="shared" si="0"/>
        <v>217.9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121.55</v>
      </c>
      <c r="N349" s="6">
        <f t="shared" si="6"/>
        <v>188.65</v>
      </c>
      <c r="O349" s="6">
        <f t="shared" si="6"/>
        <v>288.45</v>
      </c>
      <c r="P349" s="6">
        <f t="shared" si="6"/>
        <v>371.45</v>
      </c>
      <c r="Q349" s="6">
        <f t="shared" si="6"/>
        <v>117.8</v>
      </c>
      <c r="R349" s="6">
        <f t="shared" si="6"/>
        <v>0</v>
      </c>
      <c r="S349" s="6">
        <f t="shared" si="6"/>
        <v>15.3</v>
      </c>
      <c r="T349" s="6">
        <f t="shared" si="6"/>
        <v>140.25</v>
      </c>
      <c r="U349" s="6">
        <f t="shared" si="6"/>
        <v>87.2</v>
      </c>
      <c r="V349" s="6">
        <f t="shared" si="6"/>
        <v>0</v>
      </c>
      <c r="W349" s="6">
        <f>SUM(W2:W348)</f>
        <v>1330.65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1651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>
        <v>10.95</v>
      </c>
      <c r="O2" s="5">
        <v>18.5</v>
      </c>
      <c r="P2" s="5">
        <v>11.95</v>
      </c>
      <c r="Q2" s="5">
        <v>11</v>
      </c>
      <c r="R2" s="5"/>
      <c r="S2" s="5"/>
      <c r="T2" s="5"/>
      <c r="U2" s="5"/>
      <c r="V2" s="5"/>
      <c r="W2" s="5">
        <f t="shared" ref="W2:W67" si="0">SUM(C2:V2)</f>
        <v>52.4</v>
      </c>
    </row>
    <row r="3" spans="1:23">
      <c r="A3" s="3">
        <v>309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f>8.2+20</f>
        <v>28.2</v>
      </c>
      <c r="N3" s="5">
        <f>14.5+22.2</f>
        <v>36.7</v>
      </c>
      <c r="O3" s="5">
        <f>26.1+20.5</f>
        <v>46.6</v>
      </c>
      <c r="P3" s="5">
        <f>16.85+19.5+26.35</f>
        <v>62.7</v>
      </c>
      <c r="Q3" s="5">
        <v>19.95</v>
      </c>
      <c r="R3" s="5"/>
      <c r="S3" s="5">
        <v>21.95</v>
      </c>
      <c r="T3" s="5">
        <f>19.15+23.35</f>
        <v>42.5</v>
      </c>
      <c r="U3" s="5">
        <v>17.3</v>
      </c>
      <c r="V3" s="5"/>
      <c r="W3" s="5">
        <f t="shared" si="0"/>
        <v>275.9</v>
      </c>
    </row>
    <row r="4" spans="1:23">
      <c r="A4" s="3">
        <v>808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15.9</v>
      </c>
      <c r="N4" s="5">
        <f>19.55+18.2</f>
        <v>37.75</v>
      </c>
      <c r="O4" s="5">
        <f>16.55+10.85</f>
        <v>27.4</v>
      </c>
      <c r="P4" s="5">
        <f>13.75+18.25</f>
        <v>32</v>
      </c>
      <c r="Q4" s="5">
        <v>11.2</v>
      </c>
      <c r="R4" s="5"/>
      <c r="S4" s="5">
        <v>3.85</v>
      </c>
      <c r="T4" s="5">
        <v>13</v>
      </c>
      <c r="U4" s="5">
        <v>3.65</v>
      </c>
      <c r="V4" s="5"/>
      <c r="W4" s="5">
        <f t="shared" si="0"/>
        <v>144.75</v>
      </c>
    </row>
    <row r="5" spans="1:23">
      <c r="A5" s="3">
        <v>1017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v>2.2</v>
      </c>
      <c r="N5" s="5">
        <v>1.95</v>
      </c>
      <c r="O5" s="5">
        <v>4.15</v>
      </c>
      <c r="P5" s="5">
        <v>0.9</v>
      </c>
      <c r="Q5" s="5">
        <v>0.85</v>
      </c>
      <c r="R5" s="5"/>
      <c r="S5" s="5">
        <v>2.35</v>
      </c>
      <c r="T5" s="5"/>
      <c r="U5" s="5"/>
      <c r="V5" s="5"/>
      <c r="W5" s="5">
        <f t="shared" si="0"/>
        <v>12.4</v>
      </c>
    </row>
    <row r="6" spans="1:23">
      <c r="A6" s="3">
        <v>1009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v>8.35</v>
      </c>
      <c r="N6" s="5">
        <v>15.6</v>
      </c>
      <c r="O6" s="5">
        <f>15.35+1.4</f>
        <v>16.75</v>
      </c>
      <c r="P6" s="5">
        <v>10.9</v>
      </c>
      <c r="Q6" s="5">
        <v>12.7</v>
      </c>
      <c r="R6" s="5"/>
      <c r="S6" s="5">
        <v>6.35</v>
      </c>
      <c r="T6" s="5">
        <v>5.15</v>
      </c>
      <c r="U6" s="5">
        <v>5.6</v>
      </c>
      <c r="V6" s="5"/>
      <c r="W6" s="5">
        <f t="shared" si="0"/>
        <v>81.4</v>
      </c>
    </row>
    <row r="7" spans="1:23">
      <c r="A7" s="3">
        <v>999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>
        <v>3.15</v>
      </c>
      <c r="O7" s="5">
        <v>2.85</v>
      </c>
      <c r="P7" s="5">
        <v>0.95</v>
      </c>
      <c r="Q7" s="5">
        <v>0.75</v>
      </c>
      <c r="R7" s="5"/>
      <c r="S7" s="5"/>
      <c r="T7" s="5"/>
      <c r="U7" s="5">
        <v>2.3</v>
      </c>
      <c r="V7" s="5"/>
      <c r="W7" s="5">
        <f t="shared" si="0"/>
        <v>10</v>
      </c>
    </row>
    <row r="8" spans="1:23">
      <c r="A8" s="3">
        <v>1005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>
        <v>3.6</v>
      </c>
      <c r="O8" s="5">
        <v>2.9</v>
      </c>
      <c r="P8" s="5">
        <v>1.1</v>
      </c>
      <c r="Q8" s="5">
        <v>1.85</v>
      </c>
      <c r="R8" s="5"/>
      <c r="S8" s="5"/>
      <c r="T8" s="5"/>
      <c r="U8" s="5"/>
      <c r="V8" s="5"/>
      <c r="W8" s="5">
        <f t="shared" si="0"/>
        <v>9.45</v>
      </c>
    </row>
    <row r="9" spans="1:23">
      <c r="A9" s="3">
        <v>1685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v>21.25</v>
      </c>
      <c r="N9" s="5">
        <f>22.35+18.4+23.75</f>
        <v>64.5</v>
      </c>
      <c r="O9" s="5">
        <f>15.45+17.3+20.35+21.15+18.85+21.05+18.55</f>
        <v>132.7</v>
      </c>
      <c r="P9" s="5">
        <f>13.15+19.5+16.2+20.2+27+22.6+15.15</f>
        <v>133.8</v>
      </c>
      <c r="Q9" s="5">
        <f>19.95+14.2</f>
        <v>34.15</v>
      </c>
      <c r="R9" s="5"/>
      <c r="S9" s="5">
        <v>15.2</v>
      </c>
      <c r="T9" s="5">
        <f>14.1+12+8.05</f>
        <v>34.15</v>
      </c>
      <c r="U9" s="5">
        <f>28.05+15.95</f>
        <v>44</v>
      </c>
      <c r="V9" s="5"/>
      <c r="W9" s="5">
        <f t="shared" si="0"/>
        <v>479.75</v>
      </c>
    </row>
    <row r="10" spans="1:23">
      <c r="A10" s="3">
        <v>2425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>
        <v>11.75</v>
      </c>
      <c r="P10" s="5">
        <v>29.4</v>
      </c>
      <c r="Q10" s="5">
        <v>8.55</v>
      </c>
      <c r="R10" s="5"/>
      <c r="S10" s="5"/>
      <c r="T10" s="5">
        <v>13.5</v>
      </c>
      <c r="U10" s="5">
        <v>29.1</v>
      </c>
      <c r="V10" s="5"/>
      <c r="W10" s="5">
        <f t="shared" si="0"/>
        <v>92.3</v>
      </c>
    </row>
    <row r="11" spans="1:23">
      <c r="A11" s="3">
        <v>2167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v>8.75</v>
      </c>
      <c r="N11" s="5">
        <f>18.05+12.2</f>
        <v>30.25</v>
      </c>
      <c r="O11" s="5">
        <f>15.6+18.9+13.4</f>
        <v>47.9</v>
      </c>
      <c r="P11" s="5">
        <f>16.1+15.25+4.45</f>
        <v>35.8</v>
      </c>
      <c r="Q11" s="5">
        <v>3.8</v>
      </c>
      <c r="R11" s="5"/>
      <c r="S11" s="5">
        <f>21.6+7.3</f>
        <v>28.9</v>
      </c>
      <c r="T11" s="5">
        <f>23.45+26.25+16.05+7.75</f>
        <v>73.5</v>
      </c>
      <c r="U11" s="5">
        <v>10.55</v>
      </c>
      <c r="V11" s="5"/>
      <c r="W11" s="5">
        <f t="shared" si="0"/>
        <v>239.45</v>
      </c>
    </row>
    <row r="12" spans="1:23">
      <c r="A12" s="3">
        <v>2425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>
        <v>5.9</v>
      </c>
      <c r="Q12" s="5">
        <v>4.1</v>
      </c>
      <c r="R12" s="5"/>
      <c r="S12" s="5"/>
      <c r="T12" s="5">
        <v>2.8</v>
      </c>
      <c r="U12" s="5">
        <v>6</v>
      </c>
      <c r="V12" s="5"/>
      <c r="W12" s="5">
        <f t="shared" si="0"/>
        <v>18.8</v>
      </c>
    </row>
    <row r="13" spans="1:23">
      <c r="A13" s="3">
        <v>309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>
        <v>4.75</v>
      </c>
      <c r="O13" s="5">
        <v>1.45</v>
      </c>
      <c r="P13" s="5">
        <v>1.15</v>
      </c>
      <c r="Q13" s="5"/>
      <c r="R13" s="5"/>
      <c r="S13" s="5"/>
      <c r="T13" s="5">
        <v>5.75</v>
      </c>
      <c r="U13" s="5">
        <v>1.8</v>
      </c>
      <c r="V13" s="5"/>
      <c r="W13" s="5">
        <f t="shared" si="0"/>
        <v>14.9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84.65</v>
      </c>
      <c r="N349" s="6">
        <f t="shared" si="6"/>
        <v>209.2</v>
      </c>
      <c r="O349" s="6">
        <f t="shared" si="6"/>
        <v>312.95</v>
      </c>
      <c r="P349" s="6">
        <f t="shared" si="6"/>
        <v>326.55</v>
      </c>
      <c r="Q349" s="6">
        <f t="shared" si="6"/>
        <v>108.9</v>
      </c>
      <c r="R349" s="6">
        <f t="shared" si="6"/>
        <v>0</v>
      </c>
      <c r="S349" s="6">
        <f t="shared" si="6"/>
        <v>78.6</v>
      </c>
      <c r="T349" s="6">
        <f t="shared" si="6"/>
        <v>190.35</v>
      </c>
      <c r="U349" s="6">
        <f t="shared" si="6"/>
        <v>120.3</v>
      </c>
      <c r="V349" s="6">
        <f t="shared" si="6"/>
        <v>0</v>
      </c>
      <c r="W349" s="6">
        <f>SUM(W2:W348)</f>
        <v>1431.5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1005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>
        <v>3.45</v>
      </c>
      <c r="O2" s="5"/>
      <c r="P2" s="5">
        <v>1.05</v>
      </c>
      <c r="Q2" s="5"/>
      <c r="R2" s="5"/>
      <c r="S2" s="5"/>
      <c r="T2" s="5">
        <v>1.7</v>
      </c>
      <c r="U2" s="5"/>
      <c r="V2" s="5"/>
      <c r="W2" s="5">
        <f t="shared" ref="W2:W67" si="0">SUM(C2:V2)</f>
        <v>6.2</v>
      </c>
    </row>
    <row r="3" spans="1:23">
      <c r="A3" s="3">
        <v>309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v>4.35</v>
      </c>
      <c r="N3" s="5">
        <v>27.45</v>
      </c>
      <c r="O3" s="5">
        <f>29.85+11.6</f>
        <v>41.45</v>
      </c>
      <c r="P3" s="5">
        <f>23.5+27.6</f>
        <v>51.1</v>
      </c>
      <c r="Q3" s="5">
        <v>11</v>
      </c>
      <c r="R3" s="5"/>
      <c r="S3" s="5">
        <v>3.35</v>
      </c>
      <c r="T3" s="5">
        <v>16.2</v>
      </c>
      <c r="U3" s="5">
        <v>13.35</v>
      </c>
      <c r="V3" s="5"/>
      <c r="W3" s="5">
        <f t="shared" si="0"/>
        <v>168.25</v>
      </c>
    </row>
    <row r="4" spans="1:23">
      <c r="A4" s="3">
        <v>1685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7.5</v>
      </c>
      <c r="N4" s="5">
        <f>23.3+15.95</f>
        <v>39.25</v>
      </c>
      <c r="O4" s="5">
        <f>17.7+18.4+17.4+22.7+9.05</f>
        <v>85.25</v>
      </c>
      <c r="P4" s="5">
        <f>25.7+16.2+18.4+17.3+13.8+1.05</f>
        <v>92.45</v>
      </c>
      <c r="Q4" s="5">
        <f>18.35+18.85+2.75</f>
        <v>39.95</v>
      </c>
      <c r="R4" s="5"/>
      <c r="S4" s="5">
        <v>9.2</v>
      </c>
      <c r="T4" s="5">
        <f>21.35+10.4</f>
        <v>31.75</v>
      </c>
      <c r="U4" s="5">
        <v>19.3</v>
      </c>
      <c r="V4" s="5"/>
      <c r="W4" s="5">
        <f t="shared" si="0"/>
        <v>324.65</v>
      </c>
    </row>
    <row r="5" spans="1:23">
      <c r="A5" s="3">
        <v>1651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v>2.15</v>
      </c>
      <c r="N5" s="5">
        <v>10.4</v>
      </c>
      <c r="O5" s="5">
        <v>13.9</v>
      </c>
      <c r="P5" s="5">
        <v>14.6</v>
      </c>
      <c r="Q5" s="5">
        <v>5.6</v>
      </c>
      <c r="R5" s="5"/>
      <c r="S5" s="5"/>
      <c r="T5" s="5"/>
      <c r="U5" s="5"/>
      <c r="V5" s="5"/>
      <c r="W5" s="5">
        <f t="shared" si="0"/>
        <v>46.65</v>
      </c>
    </row>
    <row r="6" spans="1:23">
      <c r="A6" s="3">
        <v>808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v>4.5</v>
      </c>
      <c r="N6" s="5">
        <f>20.4+9</f>
        <v>29.4</v>
      </c>
      <c r="O6" s="5">
        <v>17.9</v>
      </c>
      <c r="P6" s="5">
        <v>21.55</v>
      </c>
      <c r="Q6" s="5">
        <v>5.35</v>
      </c>
      <c r="R6" s="5"/>
      <c r="S6" s="5">
        <v>13.25</v>
      </c>
      <c r="T6" s="5">
        <v>11.35</v>
      </c>
      <c r="U6" s="5">
        <v>9.95</v>
      </c>
      <c r="V6" s="5"/>
      <c r="W6" s="5">
        <f t="shared" si="0"/>
        <v>113.25</v>
      </c>
    </row>
    <row r="7" spans="1:23">
      <c r="A7" s="3">
        <v>2167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v>7.1</v>
      </c>
      <c r="N7" s="5">
        <f>14.85+12.4</f>
        <v>27.25</v>
      </c>
      <c r="O7" s="5">
        <f>20.6+17.75+10.15</f>
        <v>48.5</v>
      </c>
      <c r="P7" s="5">
        <v>11</v>
      </c>
      <c r="Q7" s="5">
        <v>4</v>
      </c>
      <c r="R7" s="5"/>
      <c r="S7" s="5">
        <v>23.5</v>
      </c>
      <c r="T7" s="5">
        <f>17.95+13.9</f>
        <v>31.85</v>
      </c>
      <c r="U7" s="5">
        <v>10.9</v>
      </c>
      <c r="V7" s="5"/>
      <c r="W7" s="5">
        <f t="shared" si="0"/>
        <v>164.1</v>
      </c>
    </row>
    <row r="8" spans="1:23">
      <c r="A8" s="3">
        <v>1017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v>2.1</v>
      </c>
      <c r="N8" s="5">
        <v>5.75</v>
      </c>
      <c r="O8" s="5">
        <v>4.65</v>
      </c>
      <c r="P8" s="5">
        <v>11.15</v>
      </c>
      <c r="Q8" s="5"/>
      <c r="R8" s="5"/>
      <c r="S8" s="5">
        <v>2.55</v>
      </c>
      <c r="T8" s="5">
        <f>24.8+15.85</f>
        <v>40.65</v>
      </c>
      <c r="U8" s="5">
        <v>14.45</v>
      </c>
      <c r="V8" s="5"/>
      <c r="W8" s="5">
        <f t="shared" si="0"/>
        <v>81.3</v>
      </c>
    </row>
    <row r="9" spans="1:23">
      <c r="A9" s="3">
        <v>1009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v>4.85</v>
      </c>
      <c r="N9" s="5">
        <v>10</v>
      </c>
      <c r="O9" s="5">
        <v>15.2</v>
      </c>
      <c r="P9" s="5">
        <v>14.25</v>
      </c>
      <c r="Q9" s="5">
        <v>4.75</v>
      </c>
      <c r="R9" s="5"/>
      <c r="S9" s="5">
        <v>3</v>
      </c>
      <c r="T9" s="5">
        <v>8.8</v>
      </c>
      <c r="U9" s="5">
        <v>8.35</v>
      </c>
      <c r="V9" s="5"/>
      <c r="W9" s="5">
        <f t="shared" si="0"/>
        <v>69.2</v>
      </c>
    </row>
    <row r="10" spans="1:23">
      <c r="A10" s="3">
        <v>2425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>
        <f>18.85+6.55+22.55+4.5</f>
        <v>52.45</v>
      </c>
      <c r="Q10" s="5">
        <f>14.05+15.05+3.6</f>
        <v>32.7</v>
      </c>
      <c r="R10" s="5"/>
      <c r="S10" s="5"/>
      <c r="T10" s="5">
        <f>14.95+7.05</f>
        <v>22</v>
      </c>
      <c r="U10" s="5">
        <f>16.95+24.7</f>
        <v>41.65</v>
      </c>
      <c r="V10" s="5"/>
      <c r="W10" s="5">
        <f t="shared" si="0"/>
        <v>148.8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32.55</v>
      </c>
      <c r="N349" s="6">
        <f t="shared" si="6"/>
        <v>152.95</v>
      </c>
      <c r="O349" s="6">
        <f t="shared" si="6"/>
        <v>226.85</v>
      </c>
      <c r="P349" s="6">
        <f t="shared" si="6"/>
        <v>269.6</v>
      </c>
      <c r="Q349" s="6">
        <f t="shared" si="6"/>
        <v>103.35</v>
      </c>
      <c r="R349" s="6">
        <f t="shared" si="6"/>
        <v>0</v>
      </c>
      <c r="S349" s="6">
        <f t="shared" si="6"/>
        <v>54.85</v>
      </c>
      <c r="T349" s="6">
        <f t="shared" si="6"/>
        <v>164.3</v>
      </c>
      <c r="U349" s="6">
        <f t="shared" si="6"/>
        <v>117.95</v>
      </c>
      <c r="V349" s="6">
        <f t="shared" si="6"/>
        <v>0</v>
      </c>
      <c r="W349" s="6">
        <f>SUM(W2:W348)</f>
        <v>1122.4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309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>
        <v>9.55</v>
      </c>
      <c r="N2" s="5">
        <f>11.65+22.05</f>
        <v>33.7</v>
      </c>
      <c r="O2" s="5">
        <f>9.75+17.3</f>
        <v>27.05</v>
      </c>
      <c r="P2" s="5">
        <f>19.3+23.65</f>
        <v>42.95</v>
      </c>
      <c r="Q2" s="5">
        <v>10.25</v>
      </c>
      <c r="R2" s="5"/>
      <c r="S2" s="5"/>
      <c r="T2" s="5">
        <v>20.7</v>
      </c>
      <c r="U2" s="5">
        <v>11.7</v>
      </c>
      <c r="V2" s="5"/>
      <c r="W2" s="5">
        <f t="shared" ref="W2:W67" si="0">SUM(C2:V2)</f>
        <v>155.9</v>
      </c>
    </row>
    <row r="3" spans="1:23">
      <c r="A3" s="3">
        <v>999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>
        <f>5.45+3.65</f>
        <v>9.1</v>
      </c>
      <c r="Q3" s="5">
        <v>0.7</v>
      </c>
      <c r="R3" s="5"/>
      <c r="S3" s="5"/>
      <c r="T3" s="5"/>
      <c r="U3" s="5">
        <v>0.7</v>
      </c>
      <c r="V3" s="5"/>
      <c r="W3" s="5">
        <f t="shared" si="0"/>
        <v>10.5</v>
      </c>
    </row>
    <row r="4" spans="1:23">
      <c r="A4" s="3">
        <v>1005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2.25</v>
      </c>
      <c r="N4" s="5"/>
      <c r="O4" s="5"/>
      <c r="P4" s="5"/>
      <c r="Q4" s="5"/>
      <c r="R4" s="5"/>
      <c r="S4" s="5"/>
      <c r="T4" s="5"/>
      <c r="U4" s="5"/>
      <c r="V4" s="5"/>
      <c r="W4" s="5">
        <f t="shared" si="0"/>
        <v>2.25</v>
      </c>
    </row>
    <row r="5" spans="1:23">
      <c r="A5" s="3">
        <v>808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v>7.05</v>
      </c>
      <c r="N5" s="5">
        <v>19.6</v>
      </c>
      <c r="O5" s="5">
        <v>2.65</v>
      </c>
      <c r="P5" s="5">
        <v>6.25</v>
      </c>
      <c r="Q5" s="5">
        <v>5.95</v>
      </c>
      <c r="R5" s="5"/>
      <c r="S5" s="5">
        <v>2.55</v>
      </c>
      <c r="T5" s="5">
        <v>3</v>
      </c>
      <c r="U5" s="5">
        <v>1.05</v>
      </c>
      <c r="V5" s="5"/>
      <c r="W5" s="5">
        <f t="shared" si="0"/>
        <v>48.1</v>
      </c>
    </row>
    <row r="6" spans="1:23">
      <c r="A6" s="3">
        <v>2425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>
        <v>1.65</v>
      </c>
      <c r="O6" s="5">
        <v>4.1</v>
      </c>
      <c r="P6" s="5">
        <v>5</v>
      </c>
      <c r="Q6" s="5">
        <v>2.45</v>
      </c>
      <c r="R6" s="5"/>
      <c r="S6" s="5"/>
      <c r="T6" s="5"/>
      <c r="U6" s="5"/>
      <c r="V6" s="5"/>
      <c r="W6" s="5">
        <f t="shared" si="0"/>
        <v>13.2</v>
      </c>
    </row>
    <row r="7" spans="1:23">
      <c r="A7" s="3">
        <v>1651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>
        <f>13.9+1.8</f>
        <v>15.7</v>
      </c>
      <c r="O7" s="5">
        <v>6.5</v>
      </c>
      <c r="P7" s="5">
        <f>5.65+1</f>
        <v>6.65</v>
      </c>
      <c r="Q7" s="5"/>
      <c r="R7" s="5"/>
      <c r="S7" s="5"/>
      <c r="T7" s="5">
        <v>1.8</v>
      </c>
      <c r="U7" s="5"/>
      <c r="V7" s="5"/>
      <c r="W7" s="5">
        <f t="shared" si="0"/>
        <v>30.65</v>
      </c>
    </row>
    <row r="8" spans="1:23">
      <c r="A8" s="3">
        <v>1685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v>9</v>
      </c>
      <c r="N8" s="5">
        <f>16+14.3+5.45</f>
        <v>35.75</v>
      </c>
      <c r="O8" s="5">
        <f>16.25+17.85+18.7+8.95+4.45</f>
        <v>66.2</v>
      </c>
      <c r="P8" s="5">
        <f>13.55+23.85+13.5+14.55+9.8</f>
        <v>75.25</v>
      </c>
      <c r="Q8" s="5">
        <f>12.7+10.95</f>
        <v>23.65</v>
      </c>
      <c r="R8" s="5"/>
      <c r="S8" s="5"/>
      <c r="T8" s="5">
        <f>21.3+22.95</f>
        <v>44.25</v>
      </c>
      <c r="U8" s="5">
        <v>8.75</v>
      </c>
      <c r="V8" s="5"/>
      <c r="W8" s="5">
        <f t="shared" si="0"/>
        <v>262.85</v>
      </c>
    </row>
    <row r="9" spans="1:23">
      <c r="A9" s="3">
        <v>1009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>
        <v>13.15</v>
      </c>
      <c r="O9" s="5">
        <f>14.25+2.85</f>
        <v>17.1</v>
      </c>
      <c r="P9" s="5">
        <v>16.9</v>
      </c>
      <c r="Q9" s="5">
        <v>2.9</v>
      </c>
      <c r="R9" s="5"/>
      <c r="S9" s="5">
        <v>8.15</v>
      </c>
      <c r="T9" s="5">
        <v>9.15</v>
      </c>
      <c r="U9" s="5">
        <v>4.4</v>
      </c>
      <c r="V9" s="5"/>
      <c r="W9" s="5">
        <f t="shared" si="0"/>
        <v>71.75</v>
      </c>
    </row>
    <row r="10" spans="1:23">
      <c r="A10" s="3">
        <v>2167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>
        <v>12.2</v>
      </c>
      <c r="N10" s="5">
        <v>14.6</v>
      </c>
      <c r="O10" s="5">
        <f>11.85+7.4</f>
        <v>19.25</v>
      </c>
      <c r="P10" s="5">
        <f>13.15+9.55</f>
        <v>22.7</v>
      </c>
      <c r="Q10" s="5">
        <f>13.4+4.85</f>
        <v>18.25</v>
      </c>
      <c r="R10" s="5"/>
      <c r="S10" s="5">
        <v>2.45</v>
      </c>
      <c r="T10" s="5">
        <f>17.2+23.4+4.9</f>
        <v>45.5</v>
      </c>
      <c r="U10" s="5">
        <v>15.9</v>
      </c>
      <c r="V10" s="5"/>
      <c r="W10" s="5">
        <f t="shared" si="0"/>
        <v>150.85</v>
      </c>
    </row>
    <row r="11" spans="1:23">
      <c r="A11" s="3">
        <v>2425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v>2.15</v>
      </c>
      <c r="N11" s="5"/>
      <c r="O11" s="5">
        <v>7.4</v>
      </c>
      <c r="P11" s="5">
        <f>20.6+17.7+21.05+1.15</f>
        <v>60.5</v>
      </c>
      <c r="Q11" s="5">
        <f>18.7+21.5+12.8</f>
        <v>53</v>
      </c>
      <c r="R11" s="5"/>
      <c r="S11" s="5"/>
      <c r="T11" s="5">
        <v>16.85</v>
      </c>
      <c r="U11" s="5">
        <v>18.3</v>
      </c>
      <c r="V11" s="5"/>
      <c r="W11" s="5">
        <f t="shared" si="0"/>
        <v>158.2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42.2</v>
      </c>
      <c r="N349" s="6">
        <f t="shared" si="6"/>
        <v>134.15</v>
      </c>
      <c r="O349" s="6">
        <f t="shared" si="6"/>
        <v>150.25</v>
      </c>
      <c r="P349" s="6">
        <f t="shared" si="6"/>
        <v>245.3</v>
      </c>
      <c r="Q349" s="6">
        <f t="shared" si="6"/>
        <v>117.15</v>
      </c>
      <c r="R349" s="6">
        <f t="shared" si="6"/>
        <v>0</v>
      </c>
      <c r="S349" s="6">
        <f t="shared" si="6"/>
        <v>13.15</v>
      </c>
      <c r="T349" s="6">
        <f t="shared" si="6"/>
        <v>141.25</v>
      </c>
      <c r="U349" s="6">
        <f t="shared" si="6"/>
        <v>60.8</v>
      </c>
      <c r="V349" s="6">
        <f t="shared" si="6"/>
        <v>0</v>
      </c>
      <c r="W349" s="6">
        <f>SUM(W2:W348)</f>
        <v>904.25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309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>
        <v>8.8</v>
      </c>
      <c r="N2" s="5">
        <v>20.65</v>
      </c>
      <c r="O2" s="5">
        <f>12.7+17.35</f>
        <v>30.05</v>
      </c>
      <c r="P2" s="5">
        <f>9.95+12.2</f>
        <v>22.15</v>
      </c>
      <c r="Q2" s="5">
        <v>1.65</v>
      </c>
      <c r="R2" s="5"/>
      <c r="S2" s="5">
        <v>12.05</v>
      </c>
      <c r="T2" s="5">
        <f>21.2+21.15</f>
        <v>42.35</v>
      </c>
      <c r="U2" s="5">
        <v>10.85</v>
      </c>
      <c r="V2" s="5"/>
      <c r="W2" s="5">
        <f t="shared" ref="W2:W67" si="0">SUM(C2:V2)</f>
        <v>148.55</v>
      </c>
    </row>
    <row r="3" spans="1:23">
      <c r="A3" s="3">
        <v>2425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>
        <v>4.45</v>
      </c>
      <c r="Q3" s="5"/>
      <c r="R3" s="5"/>
      <c r="S3" s="5"/>
      <c r="T3" s="5">
        <v>1.8</v>
      </c>
      <c r="U3" s="5">
        <v>1.4</v>
      </c>
      <c r="V3" s="5"/>
      <c r="W3" s="5">
        <f t="shared" si="0"/>
        <v>7.65</v>
      </c>
    </row>
    <row r="4" spans="1:23">
      <c r="A4" s="3">
        <v>1651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2.05</v>
      </c>
      <c r="N4" s="5">
        <f>16.55+1.85</f>
        <v>18.4</v>
      </c>
      <c r="O4" s="5">
        <v>14.75</v>
      </c>
      <c r="P4" s="5">
        <v>17.5</v>
      </c>
      <c r="Q4" s="5"/>
      <c r="R4" s="5"/>
      <c r="S4" s="5"/>
      <c r="T4" s="5">
        <v>3.3</v>
      </c>
      <c r="U4" s="5"/>
      <c r="V4" s="5"/>
      <c r="W4" s="5">
        <f t="shared" si="0"/>
        <v>56</v>
      </c>
    </row>
    <row r="5" spans="1:23">
      <c r="A5" s="3">
        <v>808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v>7.05</v>
      </c>
      <c r="N5" s="5">
        <v>3.75</v>
      </c>
      <c r="O5" s="5">
        <v>4.6</v>
      </c>
      <c r="P5" s="5">
        <v>13.95</v>
      </c>
      <c r="Q5" s="5">
        <v>5.9</v>
      </c>
      <c r="R5" s="5"/>
      <c r="S5" s="5"/>
      <c r="T5" s="5">
        <v>9.85</v>
      </c>
      <c r="U5" s="5">
        <v>4.85</v>
      </c>
      <c r="V5" s="5"/>
      <c r="W5" s="5">
        <f t="shared" si="0"/>
        <v>49.95</v>
      </c>
    </row>
    <row r="6" spans="1:23">
      <c r="A6" s="3">
        <v>1009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>
        <v>8.8</v>
      </c>
      <c r="O6" s="5">
        <v>10.05</v>
      </c>
      <c r="P6" s="5">
        <v>9.6</v>
      </c>
      <c r="Q6" s="5">
        <v>4.15</v>
      </c>
      <c r="R6" s="5"/>
      <c r="S6" s="5">
        <v>2.2</v>
      </c>
      <c r="T6" s="5">
        <v>2.85</v>
      </c>
      <c r="U6" s="5">
        <v>5.3</v>
      </c>
      <c r="V6" s="5"/>
      <c r="W6" s="5">
        <f t="shared" si="0"/>
        <v>42.95</v>
      </c>
    </row>
    <row r="7" spans="1:23">
      <c r="A7" s="3">
        <v>2425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v>2.3</v>
      </c>
      <c r="N7" s="5">
        <v>3.4</v>
      </c>
      <c r="O7" s="5">
        <v>15.9</v>
      </c>
      <c r="P7" s="5">
        <f>30.5+11.75+18.6</f>
        <v>60.85</v>
      </c>
      <c r="Q7" s="5">
        <f>17.15+20.05</f>
        <v>37.2</v>
      </c>
      <c r="R7" s="5"/>
      <c r="S7" s="5"/>
      <c r="T7" s="5">
        <f>17.35+19.35</f>
        <v>36.7</v>
      </c>
      <c r="U7" s="5">
        <f>18.95+20.05</f>
        <v>39</v>
      </c>
      <c r="V7" s="5"/>
      <c r="W7" s="5">
        <f t="shared" si="0"/>
        <v>195.35</v>
      </c>
    </row>
    <row r="8" spans="1:23">
      <c r="A8" s="3">
        <v>2425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>
        <v>2.2</v>
      </c>
      <c r="U8" s="5">
        <v>5.45</v>
      </c>
      <c r="V8" s="5"/>
      <c r="W8" s="5">
        <f t="shared" si="0"/>
        <v>7.65</v>
      </c>
    </row>
    <row r="9" spans="1:23">
      <c r="A9" s="3">
        <v>1017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v>2.1</v>
      </c>
      <c r="N9" s="5">
        <v>7.5</v>
      </c>
      <c r="O9" s="5">
        <v>15.8</v>
      </c>
      <c r="P9" s="5">
        <v>16.35</v>
      </c>
      <c r="Q9" s="5"/>
      <c r="R9" s="5"/>
      <c r="S9" s="5"/>
      <c r="T9" s="5">
        <f>18.8+25.5+16.95+17.4</f>
        <v>78.65</v>
      </c>
      <c r="U9" s="5">
        <v>19.95</v>
      </c>
      <c r="V9" s="5"/>
      <c r="W9" s="5">
        <f t="shared" si="0"/>
        <v>140.35</v>
      </c>
    </row>
    <row r="10" spans="1:23">
      <c r="A10" s="3">
        <v>2167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>
        <v>8.3</v>
      </c>
      <c r="N10" s="5">
        <v>22.8</v>
      </c>
      <c r="O10" s="5">
        <f>14.25+17.15</f>
        <v>31.4</v>
      </c>
      <c r="P10" s="5">
        <f>14.05+18.1</f>
        <v>32.15</v>
      </c>
      <c r="Q10" s="5">
        <v>15.15</v>
      </c>
      <c r="R10" s="5"/>
      <c r="S10" s="5">
        <v>11.35</v>
      </c>
      <c r="T10" s="5">
        <f>19.25+18.4</f>
        <v>37.65</v>
      </c>
      <c r="U10" s="5">
        <v>15.45</v>
      </c>
      <c r="V10" s="5"/>
      <c r="W10" s="5">
        <f t="shared" si="0"/>
        <v>174.25</v>
      </c>
    </row>
    <row r="11" spans="1:23">
      <c r="A11" s="3">
        <v>1685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f>22.95+2.35</f>
        <v>25.3</v>
      </c>
      <c r="N11" s="5">
        <f>17.05+17.5+12.2</f>
        <v>46.75</v>
      </c>
      <c r="O11" s="5">
        <f>24.1+23.95+15.1</f>
        <v>63.15</v>
      </c>
      <c r="P11" s="5">
        <f>14+23.9+16.7+13.4</f>
        <v>68</v>
      </c>
      <c r="Q11" s="5">
        <f>20.15+3.5</f>
        <v>23.65</v>
      </c>
      <c r="R11" s="5"/>
      <c r="S11" s="5"/>
      <c r="T11" s="5">
        <v>27.2</v>
      </c>
      <c r="U11" s="5">
        <f>12.85+0.6</f>
        <v>13.45</v>
      </c>
      <c r="V11" s="5"/>
      <c r="W11" s="5">
        <f t="shared" si="0"/>
        <v>267.5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55.9</v>
      </c>
      <c r="N349" s="6">
        <f t="shared" si="6"/>
        <v>132.05</v>
      </c>
      <c r="O349" s="6">
        <f t="shared" si="6"/>
        <v>185.7</v>
      </c>
      <c r="P349" s="6">
        <f t="shared" si="6"/>
        <v>245</v>
      </c>
      <c r="Q349" s="6">
        <f t="shared" si="6"/>
        <v>87.7</v>
      </c>
      <c r="R349" s="6">
        <f t="shared" si="6"/>
        <v>0</v>
      </c>
      <c r="S349" s="6">
        <f t="shared" si="6"/>
        <v>25.6</v>
      </c>
      <c r="T349" s="6">
        <f t="shared" si="6"/>
        <v>242.55</v>
      </c>
      <c r="U349" s="6">
        <f t="shared" si="6"/>
        <v>115.7</v>
      </c>
      <c r="V349" s="6">
        <f t="shared" si="6"/>
        <v>0</v>
      </c>
      <c r="W349" s="6">
        <f>SUM(W2:W348)</f>
        <v>1090.2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2425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>
        <v>2.2</v>
      </c>
      <c r="N2" s="5">
        <v>1.75</v>
      </c>
      <c r="O2" s="5"/>
      <c r="P2" s="5">
        <v>1.15</v>
      </c>
      <c r="Q2" s="5"/>
      <c r="R2" s="5"/>
      <c r="S2" s="5"/>
      <c r="T2" s="5"/>
      <c r="U2" s="5"/>
      <c r="V2" s="5"/>
      <c r="W2" s="5">
        <f t="shared" ref="W2:W67" si="0">SUM(C2:V2)</f>
        <v>5.1</v>
      </c>
    </row>
    <row r="3" spans="1:23">
      <c r="A3" s="3">
        <v>309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v>9.45</v>
      </c>
      <c r="N3" s="5">
        <v>21.3</v>
      </c>
      <c r="O3" s="5">
        <v>9.75</v>
      </c>
      <c r="P3" s="5">
        <v>11.35</v>
      </c>
      <c r="Q3" s="5">
        <v>2.5</v>
      </c>
      <c r="R3" s="5"/>
      <c r="S3" s="5">
        <v>11.35</v>
      </c>
      <c r="T3" s="5">
        <f>16.6+16.5+19.6</f>
        <v>52.7</v>
      </c>
      <c r="U3" s="5">
        <v>10.85</v>
      </c>
      <c r="V3" s="5"/>
      <c r="W3" s="5">
        <f t="shared" si="0"/>
        <v>129.25</v>
      </c>
    </row>
    <row r="4" spans="1:23">
      <c r="A4" s="3">
        <v>1651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>
        <v>5.05</v>
      </c>
      <c r="O4" s="5">
        <v>4.25</v>
      </c>
      <c r="P4" s="5">
        <v>8.05</v>
      </c>
      <c r="Q4" s="5">
        <v>4.7</v>
      </c>
      <c r="R4" s="5"/>
      <c r="S4" s="5"/>
      <c r="T4" s="5">
        <v>1.4</v>
      </c>
      <c r="U4" s="5"/>
      <c r="V4" s="5"/>
      <c r="W4" s="5">
        <f t="shared" si="0"/>
        <v>23.45</v>
      </c>
    </row>
    <row r="5" spans="1:23">
      <c r="A5" s="3">
        <v>808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v>9.55</v>
      </c>
      <c r="N5" s="5">
        <v>13.4</v>
      </c>
      <c r="O5" s="5"/>
      <c r="P5" s="5">
        <v>9.8</v>
      </c>
      <c r="Q5" s="5">
        <v>4.55</v>
      </c>
      <c r="R5" s="5"/>
      <c r="S5" s="5">
        <v>9.05</v>
      </c>
      <c r="T5" s="5">
        <v>7.45</v>
      </c>
      <c r="U5" s="5">
        <v>2.3</v>
      </c>
      <c r="V5" s="5"/>
      <c r="W5" s="5">
        <f t="shared" si="0"/>
        <v>56.1</v>
      </c>
    </row>
    <row r="6" spans="1:23">
      <c r="A6" s="3">
        <v>1685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f>14+13.5+2.15</f>
        <v>29.65</v>
      </c>
      <c r="N6" s="5">
        <f>13.7+8.8+14.45+5.05</f>
        <v>42</v>
      </c>
      <c r="O6" s="5">
        <f>9.95+13.65+15.05+14.5+3</f>
        <v>56.15</v>
      </c>
      <c r="P6" s="5">
        <f>17.7+14.45+19.05+11</f>
        <v>62.2</v>
      </c>
      <c r="Q6" s="5">
        <f>7.45+14+8.15</f>
        <v>29.6</v>
      </c>
      <c r="R6" s="5"/>
      <c r="S6" s="5">
        <v>12.6</v>
      </c>
      <c r="T6" s="5">
        <f>14.5+12.9+4.6</f>
        <v>32</v>
      </c>
      <c r="U6" s="5">
        <f>13.8+10.7+4.8</f>
        <v>29.3</v>
      </c>
      <c r="V6" s="5"/>
      <c r="W6" s="5">
        <f t="shared" si="0"/>
        <v>293.5</v>
      </c>
    </row>
    <row r="7" spans="1:23">
      <c r="A7" s="3">
        <v>1017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v>2.3</v>
      </c>
      <c r="N7" s="5">
        <f>10.85+6.05</f>
        <v>16.9</v>
      </c>
      <c r="O7" s="5">
        <f>7.65+4.6</f>
        <v>12.25</v>
      </c>
      <c r="P7" s="5">
        <f>8.1+11.35</f>
        <v>19.45</v>
      </c>
      <c r="Q7" s="5">
        <v>1.7</v>
      </c>
      <c r="R7" s="5"/>
      <c r="S7" s="5">
        <v>2.9</v>
      </c>
      <c r="T7" s="5">
        <f>25+12.1+18.8+20.35+14.9</f>
        <v>91.15</v>
      </c>
      <c r="U7" s="5">
        <f>12.45+8.1</f>
        <v>20.55</v>
      </c>
      <c r="V7" s="5"/>
      <c r="W7" s="5">
        <f t="shared" si="0"/>
        <v>167.2</v>
      </c>
    </row>
    <row r="8" spans="1:23">
      <c r="A8" s="3">
        <v>1009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v>12.1</v>
      </c>
      <c r="N8" s="5">
        <v>18.35</v>
      </c>
      <c r="O8" s="5">
        <v>11</v>
      </c>
      <c r="P8" s="5">
        <v>14.1</v>
      </c>
      <c r="Q8" s="5">
        <v>1.6</v>
      </c>
      <c r="R8" s="5"/>
      <c r="S8" s="5">
        <v>2.5</v>
      </c>
      <c r="T8" s="5">
        <v>3.05</v>
      </c>
      <c r="U8" s="5">
        <v>4.2</v>
      </c>
      <c r="V8" s="5"/>
      <c r="W8" s="5">
        <f t="shared" si="0"/>
        <v>66.9</v>
      </c>
    </row>
    <row r="9" spans="1:23">
      <c r="A9" s="3">
        <v>2425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v>2.25</v>
      </c>
      <c r="N9" s="5"/>
      <c r="O9" s="5">
        <f>20.6+10.8+2.55</f>
        <v>33.95</v>
      </c>
      <c r="P9" s="5">
        <f>13.5+11.35+8.85</f>
        <v>33.7</v>
      </c>
      <c r="Q9" s="5">
        <f>7.15+11.95</f>
        <v>19.1</v>
      </c>
      <c r="R9" s="5"/>
      <c r="S9" s="5"/>
      <c r="T9" s="5">
        <f>8.2+8.05</f>
        <v>16.25</v>
      </c>
      <c r="U9" s="5">
        <f>18.15+13.8</f>
        <v>31.95</v>
      </c>
      <c r="V9" s="5"/>
      <c r="W9" s="5">
        <f t="shared" si="0"/>
        <v>137.2</v>
      </c>
    </row>
    <row r="10" spans="1:23">
      <c r="A10" s="3">
        <v>2425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>
        <v>1.1</v>
      </c>
      <c r="U10" s="5">
        <v>4.8</v>
      </c>
      <c r="V10" s="5"/>
      <c r="W10" s="5">
        <f t="shared" si="0"/>
        <v>5.9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67.5</v>
      </c>
      <c r="N349" s="6">
        <f t="shared" si="6"/>
        <v>118.75</v>
      </c>
      <c r="O349" s="6">
        <f t="shared" si="6"/>
        <v>127.35</v>
      </c>
      <c r="P349" s="6">
        <f t="shared" si="6"/>
        <v>159.8</v>
      </c>
      <c r="Q349" s="6">
        <f t="shared" si="6"/>
        <v>63.75</v>
      </c>
      <c r="R349" s="6">
        <f t="shared" si="6"/>
        <v>0</v>
      </c>
      <c r="S349" s="6">
        <f t="shared" si="6"/>
        <v>38.4</v>
      </c>
      <c r="T349" s="6">
        <f t="shared" si="6"/>
        <v>205.1</v>
      </c>
      <c r="U349" s="6">
        <f t="shared" si="6"/>
        <v>103.95</v>
      </c>
      <c r="V349" s="6">
        <f t="shared" si="6"/>
        <v>0</v>
      </c>
      <c r="W349" s="6">
        <f>SUM(W2:W348)</f>
        <v>884.6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1651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>
        <v>10.1</v>
      </c>
      <c r="O2" s="5">
        <v>8.65</v>
      </c>
      <c r="P2" s="5">
        <v>7.2</v>
      </c>
      <c r="Q2" s="5">
        <v>2.25</v>
      </c>
      <c r="R2" s="5"/>
      <c r="S2" s="5"/>
      <c r="T2" s="5"/>
      <c r="U2" s="5"/>
      <c r="V2" s="5"/>
      <c r="W2" s="5">
        <f t="shared" ref="W2:W67" si="0">SUM(C2:V2)</f>
        <v>28.2</v>
      </c>
    </row>
    <row r="3" spans="1:23">
      <c r="A3" s="3">
        <v>309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v>2.75</v>
      </c>
      <c r="N3" s="5">
        <v>24.8</v>
      </c>
      <c r="O3" s="5">
        <v>10.2</v>
      </c>
      <c r="P3" s="5">
        <v>5.45</v>
      </c>
      <c r="Q3" s="5"/>
      <c r="R3" s="5"/>
      <c r="S3" s="5">
        <v>2.8</v>
      </c>
      <c r="T3" s="5">
        <f>21.7+28.25</f>
        <v>49.95</v>
      </c>
      <c r="U3" s="5">
        <v>6.75</v>
      </c>
      <c r="V3" s="5"/>
      <c r="W3" s="5">
        <f t="shared" si="0"/>
        <v>102.7</v>
      </c>
    </row>
    <row r="4" spans="1:23">
      <c r="A4" s="3">
        <v>808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8.05</v>
      </c>
      <c r="N4" s="5">
        <v>1.75</v>
      </c>
      <c r="O4" s="5">
        <v>3.95</v>
      </c>
      <c r="P4" s="5">
        <v>2</v>
      </c>
      <c r="Q4" s="5"/>
      <c r="R4" s="5"/>
      <c r="S4" s="5">
        <v>5.5</v>
      </c>
      <c r="T4" s="5">
        <v>1.05</v>
      </c>
      <c r="U4" s="5">
        <v>1.35</v>
      </c>
      <c r="V4" s="5"/>
      <c r="W4" s="5">
        <f t="shared" si="0"/>
        <v>23.65</v>
      </c>
    </row>
    <row r="5" spans="1:23">
      <c r="A5" s="3">
        <v>2167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v>2.2</v>
      </c>
      <c r="N5" s="5"/>
      <c r="O5" s="5">
        <v>2.65</v>
      </c>
      <c r="P5" s="5">
        <v>8.45</v>
      </c>
      <c r="Q5" s="5"/>
      <c r="R5" s="5"/>
      <c r="S5" s="5">
        <v>6.4</v>
      </c>
      <c r="T5" s="5">
        <f>15.55+12.35+12.95</f>
        <v>40.85</v>
      </c>
      <c r="U5" s="5">
        <f>13.55+4.15</f>
        <v>17.7</v>
      </c>
      <c r="V5" s="5"/>
      <c r="W5" s="5">
        <f t="shared" si="0"/>
        <v>78.25</v>
      </c>
    </row>
    <row r="6" spans="1:23">
      <c r="A6" s="3">
        <v>2017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>
        <f>16.8+8.05</f>
        <v>24.85</v>
      </c>
      <c r="U6" s="5">
        <v>5.25</v>
      </c>
      <c r="V6" s="5"/>
      <c r="W6" s="5">
        <f t="shared" si="0"/>
        <v>30.1</v>
      </c>
    </row>
    <row r="7" spans="1:23">
      <c r="A7" s="3">
        <v>1009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>
        <v>5</v>
      </c>
      <c r="O7" s="5">
        <v>2.65</v>
      </c>
      <c r="P7" s="5">
        <v>1.1</v>
      </c>
      <c r="Q7" s="5"/>
      <c r="R7" s="5"/>
      <c r="S7" s="5">
        <v>2.3</v>
      </c>
      <c r="T7" s="5">
        <v>2.95</v>
      </c>
      <c r="U7" s="5">
        <v>2.05</v>
      </c>
      <c r="V7" s="5"/>
      <c r="W7" s="5">
        <f t="shared" si="0"/>
        <v>16.05</v>
      </c>
    </row>
    <row r="8" spans="1:23">
      <c r="A8" s="3">
        <v>1685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v>6.3</v>
      </c>
      <c r="N8" s="5">
        <v>17.2</v>
      </c>
      <c r="O8" s="5">
        <f>17.95+4.3</f>
        <v>22.25</v>
      </c>
      <c r="P8" s="5">
        <f>16+6.6</f>
        <v>22.6</v>
      </c>
      <c r="Q8" s="5">
        <v>10.65</v>
      </c>
      <c r="R8" s="5"/>
      <c r="S8" s="5">
        <v>3</v>
      </c>
      <c r="T8" s="5">
        <v>2.85</v>
      </c>
      <c r="U8" s="5">
        <v>5.35</v>
      </c>
      <c r="V8" s="5"/>
      <c r="W8" s="5">
        <f t="shared" si="0"/>
        <v>90.2</v>
      </c>
    </row>
    <row r="9" spans="1:23">
      <c r="A9" s="3">
        <v>2425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>
        <v>1.95</v>
      </c>
      <c r="O9" s="5">
        <v>1.3</v>
      </c>
      <c r="P9" s="5">
        <f>19.15+12.45+10.55</f>
        <v>42.15</v>
      </c>
      <c r="Q9" s="5">
        <v>7.45</v>
      </c>
      <c r="R9" s="5"/>
      <c r="S9" s="5"/>
      <c r="T9" s="5">
        <f>8.6+1.2</f>
        <v>9.8</v>
      </c>
      <c r="U9" s="5">
        <f>14.05+2.55</f>
        <v>16.6</v>
      </c>
      <c r="V9" s="5"/>
      <c r="W9" s="5">
        <f t="shared" si="0"/>
        <v>79.25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19.3</v>
      </c>
      <c r="N349" s="6">
        <f t="shared" si="6"/>
        <v>60.8</v>
      </c>
      <c r="O349" s="6">
        <f t="shared" si="6"/>
        <v>51.65</v>
      </c>
      <c r="P349" s="6">
        <f t="shared" si="6"/>
        <v>88.95</v>
      </c>
      <c r="Q349" s="6">
        <f t="shared" si="6"/>
        <v>20.35</v>
      </c>
      <c r="R349" s="6">
        <f t="shared" si="6"/>
        <v>0</v>
      </c>
      <c r="S349" s="6">
        <f t="shared" si="6"/>
        <v>20</v>
      </c>
      <c r="T349" s="6">
        <f t="shared" si="6"/>
        <v>132.3</v>
      </c>
      <c r="U349" s="6">
        <f t="shared" si="6"/>
        <v>55.05</v>
      </c>
      <c r="V349" s="6">
        <f t="shared" si="6"/>
        <v>0</v>
      </c>
      <c r="W349" s="6">
        <f>SUM(W2:W348)</f>
        <v>448.4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309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>
        <v>6.6</v>
      </c>
      <c r="N2" s="5">
        <v>3.55</v>
      </c>
      <c r="O2" s="5">
        <v>10.2</v>
      </c>
      <c r="P2" s="5">
        <v>11.2</v>
      </c>
      <c r="Q2" s="5">
        <v>0.85</v>
      </c>
      <c r="R2" s="5"/>
      <c r="S2" s="5">
        <v>4.9</v>
      </c>
      <c r="T2" s="5">
        <f>22.95+19.4</f>
        <v>42.35</v>
      </c>
      <c r="U2" s="5">
        <v>4.35</v>
      </c>
      <c r="V2" s="5"/>
      <c r="W2" s="5">
        <f t="shared" ref="W2:W67" si="0">SUM(C2:V2)</f>
        <v>84</v>
      </c>
    </row>
    <row r="3" spans="1:23">
      <c r="A3" s="3">
        <v>808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>
        <v>4.95</v>
      </c>
      <c r="O3" s="5">
        <v>3.65</v>
      </c>
      <c r="P3" s="5">
        <v>3.55</v>
      </c>
      <c r="Q3" s="5"/>
      <c r="R3" s="5"/>
      <c r="S3" s="5">
        <v>4.95</v>
      </c>
      <c r="T3" s="5">
        <v>1.2</v>
      </c>
      <c r="U3" s="5">
        <v>1.35</v>
      </c>
      <c r="V3" s="5"/>
      <c r="W3" s="5">
        <f t="shared" si="0"/>
        <v>19.65</v>
      </c>
    </row>
    <row r="4" spans="1:23">
      <c r="A4" s="3">
        <v>2167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>
        <v>1.35</v>
      </c>
      <c r="P4" s="5"/>
      <c r="Q4" s="5">
        <v>0.9</v>
      </c>
      <c r="R4" s="5"/>
      <c r="S4" s="5"/>
      <c r="T4" s="5">
        <f>13.55+1</f>
        <v>14.55</v>
      </c>
      <c r="U4" s="5">
        <v>3.6</v>
      </c>
      <c r="V4" s="5"/>
      <c r="W4" s="5">
        <f t="shared" si="0"/>
        <v>20.4</v>
      </c>
    </row>
    <row r="5" spans="1:23">
      <c r="A5" s="3">
        <v>1009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>
        <v>1.8</v>
      </c>
      <c r="O5" s="5"/>
      <c r="P5" s="5">
        <v>2.65</v>
      </c>
      <c r="Q5" s="5"/>
      <c r="R5" s="5"/>
      <c r="S5" s="5"/>
      <c r="T5" s="5"/>
      <c r="U5" s="5">
        <v>0.65</v>
      </c>
      <c r="V5" s="5"/>
      <c r="W5" s="5">
        <f t="shared" si="0"/>
        <v>5.1</v>
      </c>
    </row>
    <row r="6" spans="1:23">
      <c r="A6" s="3">
        <v>1017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>
        <v>2.55</v>
      </c>
      <c r="Q6" s="5">
        <v>2.65</v>
      </c>
      <c r="R6" s="5"/>
      <c r="S6" s="5">
        <v>2</v>
      </c>
      <c r="T6" s="5">
        <f>18+14.3+11.45</f>
        <v>43.75</v>
      </c>
      <c r="U6" s="5">
        <v>4.5</v>
      </c>
      <c r="V6" s="5"/>
      <c r="W6" s="5">
        <f t="shared" si="0"/>
        <v>55.45</v>
      </c>
    </row>
    <row r="7" spans="1:23">
      <c r="A7" s="3">
        <v>2425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>
        <v>13.15</v>
      </c>
      <c r="Q7" s="5">
        <v>6.4</v>
      </c>
      <c r="R7" s="5"/>
      <c r="S7" s="5"/>
      <c r="T7" s="5">
        <v>8.25</v>
      </c>
      <c r="U7" s="5">
        <v>9.1</v>
      </c>
      <c r="V7" s="5"/>
      <c r="W7" s="5">
        <f t="shared" si="0"/>
        <v>36.9</v>
      </c>
    </row>
    <row r="8" spans="1:23">
      <c r="A8" s="3">
        <v>1685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v>22.95</v>
      </c>
      <c r="N8" s="5">
        <v>10.65</v>
      </c>
      <c r="O8" s="5">
        <v>14.9</v>
      </c>
      <c r="P8" s="5">
        <v>18.9</v>
      </c>
      <c r="Q8" s="5">
        <v>15.5</v>
      </c>
      <c r="R8" s="5"/>
      <c r="S8" s="5">
        <v>2.15</v>
      </c>
      <c r="T8" s="5">
        <v>8.95</v>
      </c>
      <c r="U8" s="5">
        <v>6.15</v>
      </c>
      <c r="V8" s="5"/>
      <c r="W8" s="5">
        <f t="shared" si="0"/>
        <v>100.15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29.55</v>
      </c>
      <c r="N349" s="6">
        <f t="shared" si="6"/>
        <v>20.95</v>
      </c>
      <c r="O349" s="6">
        <f t="shared" si="6"/>
        <v>30.1</v>
      </c>
      <c r="P349" s="6">
        <f t="shared" si="6"/>
        <v>52</v>
      </c>
      <c r="Q349" s="6">
        <f t="shared" si="6"/>
        <v>26.3</v>
      </c>
      <c r="R349" s="6">
        <f t="shared" si="6"/>
        <v>0</v>
      </c>
      <c r="S349" s="6">
        <f t="shared" si="6"/>
        <v>14</v>
      </c>
      <c r="T349" s="6">
        <f t="shared" si="6"/>
        <v>119.05</v>
      </c>
      <c r="U349" s="6">
        <f t="shared" si="6"/>
        <v>29.7</v>
      </c>
      <c r="V349" s="6">
        <f t="shared" si="6"/>
        <v>0</v>
      </c>
      <c r="W349" s="6">
        <f>SUM(W2:W348)</f>
        <v>321.65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5" activePane="bottomLeft" state="frozen"/>
      <selection/>
      <selection pane="bottomLeft" activeCell="M1" sqref="M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808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>
        <v>4.95</v>
      </c>
      <c r="O2" s="5">
        <v>1.5</v>
      </c>
      <c r="P2" s="5">
        <v>8.15</v>
      </c>
      <c r="Q2" s="5">
        <v>1.5</v>
      </c>
      <c r="R2" s="5"/>
      <c r="S2" s="5"/>
      <c r="T2" s="5"/>
      <c r="U2" s="5"/>
      <c r="V2" s="5"/>
      <c r="W2" s="5">
        <f t="shared" ref="W2:W67" si="0">SUM(C2:V2)</f>
        <v>16.1</v>
      </c>
    </row>
    <row r="3" spans="1:23">
      <c r="A3" s="3">
        <v>2167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>
        <v>4.65</v>
      </c>
      <c r="T3" s="5">
        <f>15.4+22.4</f>
        <v>37.8</v>
      </c>
      <c r="U3" s="5">
        <v>8.05</v>
      </c>
      <c r="V3" s="5"/>
      <c r="W3" s="5">
        <f t="shared" si="0"/>
        <v>50.5</v>
      </c>
    </row>
    <row r="4" spans="1:23">
      <c r="A4" s="3">
        <v>1017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>
        <f>11.25+19.6+20.45+17.3</f>
        <v>68.6</v>
      </c>
      <c r="U4" s="5">
        <f>20.25+13.7</f>
        <v>33.95</v>
      </c>
      <c r="V4" s="5"/>
      <c r="W4" s="5">
        <f t="shared" si="0"/>
        <v>102.55</v>
      </c>
    </row>
    <row r="5" spans="1:23">
      <c r="A5" s="3">
        <v>1685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v>8.05</v>
      </c>
      <c r="N5" s="5">
        <v>17.3</v>
      </c>
      <c r="O5" s="5">
        <v>14.8</v>
      </c>
      <c r="P5" s="5">
        <v>15.7</v>
      </c>
      <c r="Q5" s="5">
        <v>13</v>
      </c>
      <c r="R5" s="5"/>
      <c r="S5" s="5">
        <v>4.9</v>
      </c>
      <c r="T5" s="5">
        <v>13.65</v>
      </c>
      <c r="U5" s="5">
        <v>12.5</v>
      </c>
      <c r="V5" s="5"/>
      <c r="W5" s="5">
        <f t="shared" si="0"/>
        <v>99.9</v>
      </c>
    </row>
    <row r="6" spans="1:23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f t="shared" si="0"/>
        <v>0</v>
      </c>
    </row>
    <row r="7" spans="1:23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0</v>
      </c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f t="shared" si="0"/>
        <v>0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8.05</v>
      </c>
      <c r="N349" s="6">
        <f t="shared" si="6"/>
        <v>22.25</v>
      </c>
      <c r="O349" s="6">
        <f t="shared" si="6"/>
        <v>16.3</v>
      </c>
      <c r="P349" s="6">
        <f t="shared" si="6"/>
        <v>23.85</v>
      </c>
      <c r="Q349" s="6">
        <f t="shared" si="6"/>
        <v>14.5</v>
      </c>
      <c r="R349" s="6">
        <f t="shared" si="6"/>
        <v>0</v>
      </c>
      <c r="S349" s="6">
        <f t="shared" si="6"/>
        <v>9.55</v>
      </c>
      <c r="T349" s="6">
        <f t="shared" si="6"/>
        <v>120.05</v>
      </c>
      <c r="U349" s="6">
        <f t="shared" si="6"/>
        <v>54.5</v>
      </c>
      <c r="V349" s="6">
        <f t="shared" si="6"/>
        <v>0</v>
      </c>
      <c r="W349" s="6">
        <f>SUM(W2:W348)</f>
        <v>269.05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topLeftCell="A318" workbookViewId="0">
      <selection activeCell="W349" sqref="W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808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>
        <v>12.25</v>
      </c>
      <c r="O2" s="5">
        <v>2.95</v>
      </c>
      <c r="P2" s="5">
        <v>6.5</v>
      </c>
      <c r="Q2" s="5">
        <v>4.8</v>
      </c>
      <c r="R2" s="5"/>
      <c r="S2" s="5"/>
      <c r="T2" s="5">
        <v>5.2</v>
      </c>
      <c r="U2" s="5">
        <v>0.65</v>
      </c>
      <c r="V2" s="5"/>
      <c r="W2" s="5">
        <f t="shared" ref="W2:W67" si="0">SUM(C2:V2)</f>
        <v>32.35</v>
      </c>
    </row>
    <row r="3" spans="1:23">
      <c r="A3" s="3">
        <v>2167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>
        <v>23.9</v>
      </c>
      <c r="U3" s="5">
        <v>6.6</v>
      </c>
      <c r="V3" s="5"/>
      <c r="W3" s="5">
        <f t="shared" si="0"/>
        <v>30.5</v>
      </c>
    </row>
    <row r="4" spans="1:23">
      <c r="A4" s="3">
        <v>1017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>
        <v>7.35</v>
      </c>
      <c r="T4" s="5">
        <f>24.1+20.3+17.65+18.75+19.7+15.65+17.8</f>
        <v>133.95</v>
      </c>
      <c r="U4" s="5">
        <f>20.65+24.6+15.8</f>
        <v>61.05</v>
      </c>
      <c r="V4" s="5"/>
      <c r="W4" s="5">
        <f t="shared" si="0"/>
        <v>202.35</v>
      </c>
    </row>
    <row r="5" spans="1:23">
      <c r="A5" s="3">
        <v>2425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>
        <f>12.95+19.7+9.2+15.6</f>
        <v>57.45</v>
      </c>
      <c r="U5" s="5">
        <f>19.6+19.65</f>
        <v>39.25</v>
      </c>
      <c r="V5" s="5"/>
      <c r="W5" s="5">
        <f t="shared" si="0"/>
        <v>96.7</v>
      </c>
    </row>
    <row r="6" spans="1:23">
      <c r="A6" s="3">
        <v>1685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>
        <f>7.75+1.6</f>
        <v>9.35</v>
      </c>
      <c r="O6" s="5">
        <v>9.25</v>
      </c>
      <c r="P6" s="5">
        <v>8.5</v>
      </c>
      <c r="Q6" s="5"/>
      <c r="R6" s="5"/>
      <c r="S6" s="5">
        <v>2.5</v>
      </c>
      <c r="T6" s="5">
        <v>12.55</v>
      </c>
      <c r="U6" s="5">
        <v>6.25</v>
      </c>
      <c r="V6" s="5"/>
      <c r="W6" s="5">
        <f t="shared" si="0"/>
        <v>48.4</v>
      </c>
    </row>
    <row r="7" spans="1:23">
      <c r="A7" s="3">
        <v>2167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>
        <v>4.55</v>
      </c>
      <c r="U7" s="5"/>
      <c r="V7" s="5"/>
      <c r="W7" s="5">
        <f t="shared" si="0"/>
        <v>4.55</v>
      </c>
    </row>
    <row r="8" spans="1:23">
      <c r="A8" s="3">
        <v>2425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>
        <v>4.55</v>
      </c>
      <c r="U8" s="5">
        <v>0.8</v>
      </c>
      <c r="V8" s="5"/>
      <c r="W8" s="5">
        <f t="shared" si="0"/>
        <v>5.35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0</v>
      </c>
      <c r="N349" s="6">
        <f t="shared" si="6"/>
        <v>21.6</v>
      </c>
      <c r="O349" s="6">
        <f t="shared" si="6"/>
        <v>12.2</v>
      </c>
      <c r="P349" s="6">
        <f t="shared" si="6"/>
        <v>15</v>
      </c>
      <c r="Q349" s="6">
        <f t="shared" si="6"/>
        <v>4.8</v>
      </c>
      <c r="R349" s="6">
        <f t="shared" si="6"/>
        <v>0</v>
      </c>
      <c r="S349" s="6">
        <f t="shared" si="6"/>
        <v>9.85</v>
      </c>
      <c r="T349" s="6">
        <f t="shared" si="6"/>
        <v>242.15</v>
      </c>
      <c r="U349" s="6">
        <f t="shared" si="6"/>
        <v>114.6</v>
      </c>
      <c r="V349" s="6">
        <f t="shared" si="6"/>
        <v>0</v>
      </c>
      <c r="W349" s="6">
        <f>SUM(W2:W348)</f>
        <v>420.2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996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>
        <v>4.8</v>
      </c>
      <c r="N2" s="5">
        <v>3.55</v>
      </c>
      <c r="O2" s="5"/>
      <c r="P2" s="5">
        <v>2.5</v>
      </c>
      <c r="Q2" s="5"/>
      <c r="R2" s="5"/>
      <c r="S2" s="5"/>
      <c r="T2" s="5">
        <v>1.7</v>
      </c>
      <c r="U2" s="5"/>
      <c r="V2" s="5"/>
      <c r="W2" s="5">
        <f t="shared" ref="W2:W24" si="0">SUM(C2:V2)</f>
        <v>12.55</v>
      </c>
    </row>
    <row r="3" spans="1:23">
      <c r="A3" s="3" t="s">
        <v>24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>
        <v>5.75</v>
      </c>
      <c r="O3" s="5">
        <v>12.95</v>
      </c>
      <c r="P3" s="5">
        <v>17.2</v>
      </c>
      <c r="Q3" s="5">
        <v>6.9</v>
      </c>
      <c r="R3" s="5"/>
      <c r="S3" s="5"/>
      <c r="T3" s="5">
        <v>2.95</v>
      </c>
      <c r="U3" s="5">
        <v>1.15</v>
      </c>
      <c r="V3" s="5"/>
      <c r="W3" s="5">
        <f t="shared" si="0"/>
        <v>46.9</v>
      </c>
    </row>
    <row r="4" spans="1:23">
      <c r="A4" s="3">
        <v>260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7.95</v>
      </c>
      <c r="N4" s="5">
        <f>12.75+24.55</f>
        <v>37.3</v>
      </c>
      <c r="O4" s="5">
        <f>8.25+18.35+19.65+19</f>
        <v>65.25</v>
      </c>
      <c r="P4" s="5">
        <f>16.4+18.65+20.95+22.8</f>
        <v>78.8</v>
      </c>
      <c r="Q4" s="5">
        <v>18.9</v>
      </c>
      <c r="R4" s="5"/>
      <c r="S4" s="5">
        <v>15.365</v>
      </c>
      <c r="T4" s="5">
        <f>9.85+21.8</f>
        <v>31.65</v>
      </c>
      <c r="U4" s="5">
        <f>23.2+16.85</f>
        <v>40.05</v>
      </c>
      <c r="V4" s="5"/>
      <c r="W4" s="5">
        <f t="shared" si="0"/>
        <v>295.265</v>
      </c>
    </row>
    <row r="5" spans="1:23">
      <c r="A5" s="3">
        <v>2425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v>2.15</v>
      </c>
      <c r="N5" s="5">
        <v>10.3</v>
      </c>
      <c r="O5" s="5">
        <v>6.75</v>
      </c>
      <c r="P5" s="5">
        <v>6.5</v>
      </c>
      <c r="Q5" s="5">
        <v>1.55</v>
      </c>
      <c r="R5" s="5"/>
      <c r="S5" s="5"/>
      <c r="T5" s="5">
        <v>1.4</v>
      </c>
      <c r="U5" s="5"/>
      <c r="V5" s="5"/>
      <c r="W5" s="5">
        <f t="shared" si="0"/>
        <v>28.65</v>
      </c>
    </row>
    <row r="6" spans="1:23">
      <c r="A6" s="3">
        <v>309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v>17.9</v>
      </c>
      <c r="N6" s="5">
        <f>19.2+20.15+14.85+3.45</f>
        <v>57.65</v>
      </c>
      <c r="O6" s="5">
        <f>13+26.75+19.9+16.9+17+12.7+7.6</f>
        <v>113.85</v>
      </c>
      <c r="P6" s="5">
        <f>17.85+18.5+19.2+17.45+17.9+16.05+16.65+18.55+18.4+13</f>
        <v>173.55</v>
      </c>
      <c r="Q6" s="5">
        <f>16.35+16.6+20.45+12.9</f>
        <v>66.3</v>
      </c>
      <c r="R6" s="5"/>
      <c r="S6" s="5">
        <v>2.2</v>
      </c>
      <c r="T6" s="5">
        <f>20.85+15.5+22.8+20.6+17.1+20.45+18.45+4.1</f>
        <v>139.85</v>
      </c>
      <c r="U6" s="5">
        <f>12.2+18.8+20.1+17.45+21</f>
        <v>89.55</v>
      </c>
      <c r="V6" s="5"/>
      <c r="W6" s="5">
        <f t="shared" si="0"/>
        <v>660.85</v>
      </c>
    </row>
    <row r="7" spans="1:23">
      <c r="A7" s="3">
        <v>2161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v>4.7</v>
      </c>
      <c r="N7" s="5">
        <v>10.35</v>
      </c>
      <c r="O7" s="5">
        <v>26.2</v>
      </c>
      <c r="P7" s="5">
        <v>16.1</v>
      </c>
      <c r="Q7" s="5">
        <v>2.5</v>
      </c>
      <c r="R7" s="5"/>
      <c r="S7" s="5">
        <v>11.1</v>
      </c>
      <c r="T7" s="5">
        <v>7.95</v>
      </c>
      <c r="U7" s="5"/>
      <c r="V7" s="5"/>
      <c r="W7" s="5">
        <f t="shared" si="0"/>
        <v>78.9</v>
      </c>
    </row>
    <row r="8" spans="1:23">
      <c r="A8" s="3">
        <v>1013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v>7.15</v>
      </c>
      <c r="N8" s="5">
        <v>19.05</v>
      </c>
      <c r="O8" s="5">
        <f>16.9+17.85</f>
        <v>34.75</v>
      </c>
      <c r="P8" s="5">
        <f>21.3+17.8+18.05+19.8</f>
        <v>76.95</v>
      </c>
      <c r="Q8" s="5">
        <v>19.75</v>
      </c>
      <c r="R8" s="5"/>
      <c r="S8" s="5">
        <v>3.1</v>
      </c>
      <c r="T8" s="5">
        <v>14.95</v>
      </c>
      <c r="U8" s="5">
        <f>10.7+16.7</f>
        <v>27.4</v>
      </c>
      <c r="V8" s="5"/>
      <c r="W8" s="5">
        <f t="shared" si="0"/>
        <v>203.1</v>
      </c>
    </row>
    <row r="9" spans="1:23">
      <c r="A9" s="3">
        <v>260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v>1.65</v>
      </c>
      <c r="N9" s="5"/>
      <c r="O9" s="5">
        <v>1.25</v>
      </c>
      <c r="P9" s="5"/>
      <c r="Q9" s="5"/>
      <c r="R9" s="5"/>
      <c r="S9" s="5"/>
      <c r="T9" s="5">
        <v>16</v>
      </c>
      <c r="U9" s="5">
        <v>3.95</v>
      </c>
      <c r="V9" s="5"/>
      <c r="W9" s="5">
        <f t="shared" si="0"/>
        <v>22.85</v>
      </c>
    </row>
    <row r="10" spans="1:23">
      <c r="A10" s="3">
        <v>451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>
        <f>15.2+7.45</f>
        <v>22.65</v>
      </c>
      <c r="N10" s="5">
        <f>15.55+16.55+17.9+14.45+18.95+15.75</f>
        <v>99.15</v>
      </c>
      <c r="O10" s="5">
        <f>17.4+17.8+15+17.05</f>
        <v>67.25</v>
      </c>
      <c r="P10" s="5">
        <f>15.8+11.2</f>
        <v>27</v>
      </c>
      <c r="Q10" s="5"/>
      <c r="R10" s="5"/>
      <c r="S10" s="5">
        <v>11.7</v>
      </c>
      <c r="T10" s="5">
        <f>18.25+10.45</f>
        <v>28.7</v>
      </c>
      <c r="U10" s="5">
        <f>16.65+6.05</f>
        <v>22.7</v>
      </c>
      <c r="V10" s="5"/>
      <c r="W10" s="5">
        <f t="shared" si="0"/>
        <v>279.15</v>
      </c>
    </row>
    <row r="11" spans="1:23">
      <c r="A11" s="3">
        <v>1005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v>6.3</v>
      </c>
      <c r="N11" s="5">
        <v>10.15</v>
      </c>
      <c r="O11" s="5"/>
      <c r="P11" s="5">
        <f>1.1+9.1</f>
        <v>10.2</v>
      </c>
      <c r="Q11" s="5">
        <v>0.7</v>
      </c>
      <c r="R11" s="5"/>
      <c r="S11" s="5"/>
      <c r="T11" s="5">
        <v>2.3</v>
      </c>
      <c r="U11" s="5">
        <v>1.35</v>
      </c>
      <c r="V11" s="5"/>
      <c r="W11" s="5">
        <f t="shared" si="0"/>
        <v>31</v>
      </c>
    </row>
    <row r="12" spans="1:23">
      <c r="A12" s="3">
        <v>999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>
        <v>13.7</v>
      </c>
      <c r="N12" s="5">
        <v>11.15</v>
      </c>
      <c r="O12" s="5">
        <v>6.95</v>
      </c>
      <c r="P12" s="5">
        <v>14.75</v>
      </c>
      <c r="Q12" s="5">
        <v>2.85</v>
      </c>
      <c r="R12" s="5"/>
      <c r="S12" s="5"/>
      <c r="T12" s="5">
        <v>12</v>
      </c>
      <c r="U12" s="5">
        <v>13.85</v>
      </c>
      <c r="V12" s="5"/>
      <c r="W12" s="5">
        <f t="shared" si="0"/>
        <v>75.25</v>
      </c>
    </row>
    <row r="13" spans="1:23">
      <c r="A13" s="3">
        <v>1005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>
        <v>6.2</v>
      </c>
      <c r="N13" s="5">
        <v>6.7</v>
      </c>
      <c r="O13" s="5">
        <v>7.8</v>
      </c>
      <c r="P13" s="5">
        <v>6.65</v>
      </c>
      <c r="Q13" s="5">
        <v>3.9</v>
      </c>
      <c r="R13" s="5"/>
      <c r="S13" s="5"/>
      <c r="T13" s="5"/>
      <c r="U13" s="5">
        <v>4.15</v>
      </c>
      <c r="V13" s="5"/>
      <c r="W13" s="5">
        <f t="shared" si="0"/>
        <v>35.4</v>
      </c>
    </row>
    <row r="14" spans="1:23">
      <c r="A14" s="3">
        <v>309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>
        <v>1.85</v>
      </c>
      <c r="O14" s="5">
        <v>7.25</v>
      </c>
      <c r="P14" s="5"/>
      <c r="Q14" s="5">
        <f>1.75+0.85</f>
        <v>2.6</v>
      </c>
      <c r="R14" s="5"/>
      <c r="S14" s="5"/>
      <c r="T14" s="5">
        <v>13.6</v>
      </c>
      <c r="U14" s="5">
        <v>5.75</v>
      </c>
      <c r="V14" s="5"/>
      <c r="W14" s="5">
        <f t="shared" si="0"/>
        <v>31.05</v>
      </c>
    </row>
    <row r="15" spans="1:23">
      <c r="A15" s="3">
        <v>2161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>
        <v>2.75</v>
      </c>
      <c r="P15" s="5">
        <v>1</v>
      </c>
      <c r="Q15" s="5"/>
      <c r="R15" s="5"/>
      <c r="S15" s="5"/>
      <c r="T15" s="5">
        <v>12.7</v>
      </c>
      <c r="U15" s="5"/>
      <c r="V15" s="5"/>
      <c r="W15" s="5">
        <f t="shared" si="0"/>
        <v>16.45</v>
      </c>
    </row>
    <row r="16" spans="1:23">
      <c r="A16" s="3">
        <v>354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>
        <v>5</v>
      </c>
      <c r="N16" s="5">
        <f>20.45+6.8</f>
        <v>27.25</v>
      </c>
      <c r="O16" s="5">
        <f>16.8+17.95+5.65</f>
        <v>40.4</v>
      </c>
      <c r="P16" s="5">
        <f>15.8+9+21.1+1.15</f>
        <v>47.05</v>
      </c>
      <c r="Q16" s="5">
        <f>9.5+23.35</f>
        <v>32.85</v>
      </c>
      <c r="R16" s="5"/>
      <c r="S16" s="5"/>
      <c r="T16" s="5">
        <v>8.75</v>
      </c>
      <c r="U16" s="5">
        <v>9.9</v>
      </c>
      <c r="V16" s="5"/>
      <c r="W16" s="5">
        <f t="shared" si="0"/>
        <v>171.2</v>
      </c>
    </row>
    <row r="17" spans="1:23">
      <c r="A17" s="3">
        <v>1791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>
        <v>2.95</v>
      </c>
      <c r="N17" s="5">
        <v>9.75</v>
      </c>
      <c r="O17" s="5">
        <v>13.75</v>
      </c>
      <c r="P17" s="5">
        <v>14.7</v>
      </c>
      <c r="Q17" s="5">
        <v>12.55</v>
      </c>
      <c r="R17" s="5"/>
      <c r="S17" s="5"/>
      <c r="T17" s="5">
        <v>21.35</v>
      </c>
      <c r="U17" s="5">
        <v>4.7</v>
      </c>
      <c r="V17" s="5"/>
      <c r="W17" s="5">
        <f t="shared" si="0"/>
        <v>79.75</v>
      </c>
    </row>
    <row r="18" spans="1:23">
      <c r="A18" s="3">
        <v>342</v>
      </c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>
        <v>2.15</v>
      </c>
      <c r="N18" s="5">
        <v>17.1</v>
      </c>
      <c r="O18" s="5">
        <v>14.8</v>
      </c>
      <c r="P18" s="5">
        <f>21.6+4.05</f>
        <v>25.65</v>
      </c>
      <c r="Q18" s="5">
        <v>6.85</v>
      </c>
      <c r="R18" s="5"/>
      <c r="S18" s="5"/>
      <c r="T18" s="5">
        <v>7.25</v>
      </c>
      <c r="U18" s="5">
        <v>7.4</v>
      </c>
      <c r="V18" s="5"/>
      <c r="W18" s="5">
        <f t="shared" si="0"/>
        <v>81.2</v>
      </c>
    </row>
    <row r="19" spans="1:23">
      <c r="A19" s="3">
        <v>1036</v>
      </c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>
        <f>4.5+2.05+2.05</f>
        <v>8.6</v>
      </c>
      <c r="N19" s="5"/>
      <c r="O19" s="5">
        <f>26.5+27.2</f>
        <v>53.7</v>
      </c>
      <c r="P19" s="5"/>
      <c r="Q19" s="5"/>
      <c r="R19" s="5"/>
      <c r="S19" s="5"/>
      <c r="T19" s="5">
        <v>2.7</v>
      </c>
      <c r="U19" s="5"/>
      <c r="V19" s="5"/>
      <c r="W19" s="5">
        <f t="shared" si="0"/>
        <v>65</v>
      </c>
    </row>
    <row r="20" spans="1:23">
      <c r="A20" s="3">
        <v>1036</v>
      </c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>
        <f>22.1+23.05</f>
        <v>45.15</v>
      </c>
      <c r="N20" s="5">
        <f>21.5+17.8+20.3+11.4+16.7+13.1+13.65</f>
        <v>114.45</v>
      </c>
      <c r="O20" s="5">
        <f>18.25+16.85+26.15+18.45+20.05+12.2+20.95+14.9+14.35</f>
        <v>162.15</v>
      </c>
      <c r="P20" s="5">
        <v>20.25</v>
      </c>
      <c r="Q20" s="5">
        <v>5.25</v>
      </c>
      <c r="R20" s="5"/>
      <c r="S20" s="5">
        <v>18.55</v>
      </c>
      <c r="T20" s="5">
        <f>18.2+15.3</f>
        <v>33.5</v>
      </c>
      <c r="U20" s="5">
        <v>2.25</v>
      </c>
      <c r="V20" s="5"/>
      <c r="W20" s="5">
        <f t="shared" si="0"/>
        <v>401.55</v>
      </c>
    </row>
    <row r="21" spans="1:23">
      <c r="A21" s="3">
        <v>1009</v>
      </c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>
        <v>19.6</v>
      </c>
      <c r="N21" s="5">
        <f>21.4+15.9+17.2+5.4</f>
        <v>59.9</v>
      </c>
      <c r="O21" s="5">
        <v>7.3</v>
      </c>
      <c r="P21" s="5">
        <f>22.4+18.5+5.35</f>
        <v>46.25</v>
      </c>
      <c r="Q21" s="5">
        <v>14.4</v>
      </c>
      <c r="R21" s="5"/>
      <c r="S21" s="5"/>
      <c r="T21" s="5">
        <f>10.05+17.45</f>
        <v>27.5</v>
      </c>
      <c r="U21" s="5">
        <v>18.65</v>
      </c>
      <c r="V21" s="5"/>
      <c r="W21" s="5">
        <f t="shared" si="0"/>
        <v>193.6</v>
      </c>
    </row>
    <row r="22" spans="1:23">
      <c r="A22" s="3">
        <v>1017</v>
      </c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>
        <v>6.8</v>
      </c>
      <c r="O22" s="5">
        <v>8.4</v>
      </c>
      <c r="P22" s="5">
        <v>9.25</v>
      </c>
      <c r="Q22" s="5">
        <v>6.75</v>
      </c>
      <c r="R22" s="5"/>
      <c r="S22" s="5"/>
      <c r="T22" s="5">
        <v>1.2</v>
      </c>
      <c r="U22" s="5">
        <v>4.1</v>
      </c>
      <c r="V22" s="5"/>
      <c r="W22" s="5">
        <f t="shared" si="0"/>
        <v>36.5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ref="W25:W67" si="1">SUM(C25:V25)</f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1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1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1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1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1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1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1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1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1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1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1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1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1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1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1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1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1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1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1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1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1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1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1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1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1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1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1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1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1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1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1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1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1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1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1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1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1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1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1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1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1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1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2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2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2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2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2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2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2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2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2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2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2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2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2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2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2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2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2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2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2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2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2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2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2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2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2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2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2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2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2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2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2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2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2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2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2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2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2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2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2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2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2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2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2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2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2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2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2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2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2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2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2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2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2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2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2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2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2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2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2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2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2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2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2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2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3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3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3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3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3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3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3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3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3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3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3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3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3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3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3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3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3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3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3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3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3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3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3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3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3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3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3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3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3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3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3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3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3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3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3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3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3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3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3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3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3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3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3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3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3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3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3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3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3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3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3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3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3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3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3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3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3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3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3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3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3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3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3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3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4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4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4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4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4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4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4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4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4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4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4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4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4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4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4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4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4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4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4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4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4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4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4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4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4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4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4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4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4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4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4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4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4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4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4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4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4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4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4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4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4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4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4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4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4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4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4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4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4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4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4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4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4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4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4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4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4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4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4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4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4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4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4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4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5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5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5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5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5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5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5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5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5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5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5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5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5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5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5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5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5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5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5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5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5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5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5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5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5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5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5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5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5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5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5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5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5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5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5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5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5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5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5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5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5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5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5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5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5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5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5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5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5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5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5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5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5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5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5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5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5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5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5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5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5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5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5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5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6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6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6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6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6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6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6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6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6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6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6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6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6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6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6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6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6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6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6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6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6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6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6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6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6"/>
        <v>0</v>
      </c>
    </row>
    <row r="349" spans="3:23">
      <c r="C349" s="6">
        <f t="shared" ref="C349:V349" si="7">SUM(C1:C348)</f>
        <v>0</v>
      </c>
      <c r="D349" s="6">
        <f t="shared" si="7"/>
        <v>0</v>
      </c>
      <c r="E349" s="6">
        <f t="shared" si="7"/>
        <v>0</v>
      </c>
      <c r="F349" s="6">
        <f t="shared" si="7"/>
        <v>0</v>
      </c>
      <c r="G349" s="6">
        <f t="shared" si="7"/>
        <v>0</v>
      </c>
      <c r="H349" s="6">
        <f t="shared" si="7"/>
        <v>0</v>
      </c>
      <c r="I349" s="6">
        <f t="shared" si="7"/>
        <v>0</v>
      </c>
      <c r="J349" s="6">
        <f t="shared" si="7"/>
        <v>0</v>
      </c>
      <c r="K349" s="6">
        <f t="shared" si="7"/>
        <v>0</v>
      </c>
      <c r="L349" s="6">
        <f t="shared" si="7"/>
        <v>0</v>
      </c>
      <c r="M349" s="6">
        <f t="shared" si="7"/>
        <v>178.6</v>
      </c>
      <c r="N349" s="6">
        <f t="shared" si="7"/>
        <v>508.2</v>
      </c>
      <c r="O349" s="6">
        <f t="shared" si="7"/>
        <v>653.5</v>
      </c>
      <c r="P349" s="6">
        <f t="shared" si="7"/>
        <v>594.35</v>
      </c>
      <c r="Q349" s="6">
        <f t="shared" si="7"/>
        <v>204.6</v>
      </c>
      <c r="R349" s="6">
        <f t="shared" si="7"/>
        <v>0</v>
      </c>
      <c r="S349" s="6">
        <f t="shared" si="7"/>
        <v>62.015</v>
      </c>
      <c r="T349" s="6">
        <f t="shared" si="7"/>
        <v>388</v>
      </c>
      <c r="U349" s="6">
        <f t="shared" si="7"/>
        <v>256.9</v>
      </c>
      <c r="V349" s="6">
        <f t="shared" si="7"/>
        <v>0</v>
      </c>
      <c r="W349" s="6">
        <f>SUM(W2:W348)</f>
        <v>2846.165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topLeftCell="A318" workbookViewId="0">
      <selection activeCell="W349" sqref="W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1685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>
        <v>1.8</v>
      </c>
      <c r="O2" s="5">
        <v>1.4</v>
      </c>
      <c r="P2" s="5">
        <v>7.65</v>
      </c>
      <c r="Q2" s="5"/>
      <c r="R2" s="5"/>
      <c r="S2" s="5">
        <v>2.22</v>
      </c>
      <c r="T2" s="5">
        <v>11.05</v>
      </c>
      <c r="U2" s="5">
        <v>1.6</v>
      </c>
      <c r="V2" s="5"/>
      <c r="W2" s="5">
        <f t="shared" ref="W2:W67" si="0">SUM(C2:V2)</f>
        <v>25.72</v>
      </c>
    </row>
    <row r="3" spans="1:23">
      <c r="A3" s="3">
        <v>1017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>
        <v>10.9</v>
      </c>
      <c r="P3" s="5">
        <v>26.9</v>
      </c>
      <c r="Q3" s="5"/>
      <c r="R3" s="5"/>
      <c r="S3" s="5"/>
      <c r="T3" s="5">
        <f>18.9+22.55</f>
        <v>41.45</v>
      </c>
      <c r="U3" s="5">
        <f>14.2+20.7</f>
        <v>34.9</v>
      </c>
      <c r="V3" s="5"/>
      <c r="W3" s="5">
        <f t="shared" si="0"/>
        <v>114.15</v>
      </c>
    </row>
    <row r="4" spans="1:23">
      <c r="A4" s="3"/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>
        <f t="shared" si="0"/>
        <v>0</v>
      </c>
    </row>
    <row r="5" spans="1:23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f t="shared" si="0"/>
        <v>0</v>
      </c>
    </row>
    <row r="6" spans="1:23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f t="shared" si="0"/>
        <v>0</v>
      </c>
    </row>
    <row r="7" spans="1:23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f t="shared" si="0"/>
        <v>0</v>
      </c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f t="shared" si="0"/>
        <v>0</v>
      </c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f t="shared" si="0"/>
        <v>0</v>
      </c>
    </row>
    <row r="10" spans="1:2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f t="shared" si="0"/>
        <v>0</v>
      </c>
    </row>
    <row r="11" spans="1:23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si="0"/>
        <v>0</v>
      </c>
    </row>
    <row r="12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f t="shared" si="0"/>
        <v>0</v>
      </c>
    </row>
    <row r="13" spans="1:23">
      <c r="A13" s="3"/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f t="shared" si="0"/>
        <v>0</v>
      </c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si="0"/>
        <v>0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0</v>
      </c>
      <c r="N349" s="6">
        <f t="shared" si="6"/>
        <v>1.8</v>
      </c>
      <c r="O349" s="6">
        <f t="shared" si="6"/>
        <v>12.3</v>
      </c>
      <c r="P349" s="6">
        <f t="shared" si="6"/>
        <v>34.55</v>
      </c>
      <c r="Q349" s="6">
        <f t="shared" si="6"/>
        <v>0</v>
      </c>
      <c r="R349" s="6">
        <f t="shared" si="6"/>
        <v>0</v>
      </c>
      <c r="S349" s="6">
        <f t="shared" si="6"/>
        <v>2.22</v>
      </c>
      <c r="T349" s="6">
        <f t="shared" si="6"/>
        <v>52.5</v>
      </c>
      <c r="U349" s="6">
        <f t="shared" si="6"/>
        <v>36.5</v>
      </c>
      <c r="V349" s="6">
        <f t="shared" si="6"/>
        <v>0</v>
      </c>
      <c r="W349" s="6">
        <f>SUM(W2:W348)</f>
        <v>139.87</v>
      </c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abSelected="1" topLeftCell="A2" workbookViewId="0">
      <selection activeCell="W31" sqref="W31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9.42564102564103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>
        <v>144.6</v>
      </c>
      <c r="N2" s="5">
        <v>390.2</v>
      </c>
      <c r="O2" s="5">
        <v>519</v>
      </c>
      <c r="P2" s="5">
        <v>665.8</v>
      </c>
      <c r="Q2" s="5">
        <v>219.05</v>
      </c>
      <c r="R2" s="5">
        <v>0</v>
      </c>
      <c r="S2" s="5">
        <v>55.55</v>
      </c>
      <c r="T2" s="5">
        <v>376.9</v>
      </c>
      <c r="U2" s="5">
        <v>277.4</v>
      </c>
      <c r="V2" s="5">
        <v>0</v>
      </c>
      <c r="W2" s="5">
        <f t="shared" ref="W2:W30" si="0">SUM(C2:V2)</f>
        <v>2648.5</v>
      </c>
    </row>
    <row r="3" spans="1:23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v>174.2</v>
      </c>
      <c r="N3" s="5">
        <v>486.05</v>
      </c>
      <c r="O3" s="5">
        <v>643</v>
      </c>
      <c r="P3" s="5">
        <v>580.15</v>
      </c>
      <c r="Q3" s="5">
        <v>239.1</v>
      </c>
      <c r="R3" s="5">
        <v>0</v>
      </c>
      <c r="S3" s="5">
        <v>49.45</v>
      </c>
      <c r="T3" s="5">
        <v>326.38</v>
      </c>
      <c r="U3" s="5">
        <v>236.25</v>
      </c>
      <c r="V3" s="5">
        <v>0</v>
      </c>
      <c r="W3" s="5">
        <f t="shared" si="0"/>
        <v>2734.58</v>
      </c>
    </row>
    <row r="4" spans="1:23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v>178.6</v>
      </c>
      <c r="N4" s="5">
        <v>508.2</v>
      </c>
      <c r="O4" s="5">
        <v>653.5</v>
      </c>
      <c r="P4" s="5">
        <v>594.35</v>
      </c>
      <c r="Q4" s="5">
        <v>204.6</v>
      </c>
      <c r="R4" s="5">
        <v>0</v>
      </c>
      <c r="S4" s="5">
        <v>62.015</v>
      </c>
      <c r="T4" s="5">
        <v>388</v>
      </c>
      <c r="U4" s="5">
        <v>256.9</v>
      </c>
      <c r="V4" s="5">
        <v>0</v>
      </c>
      <c r="W4" s="5">
        <f t="shared" si="0"/>
        <v>2846.165</v>
      </c>
    </row>
    <row r="5" spans="1:23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v>204.65</v>
      </c>
      <c r="N5" s="5">
        <v>494.85</v>
      </c>
      <c r="O5" s="5">
        <v>544.25</v>
      </c>
      <c r="P5" s="5">
        <v>583.9</v>
      </c>
      <c r="Q5" s="5">
        <v>263.75</v>
      </c>
      <c r="R5" s="5">
        <v>0</v>
      </c>
      <c r="S5" s="5">
        <v>57.1</v>
      </c>
      <c r="T5" s="5">
        <v>286.1</v>
      </c>
      <c r="U5" s="5">
        <v>193.95</v>
      </c>
      <c r="V5" s="5">
        <v>0</v>
      </c>
      <c r="W5" s="5">
        <f t="shared" si="0"/>
        <v>2628.55</v>
      </c>
    </row>
    <row r="6" spans="1:23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v>144</v>
      </c>
      <c r="N6" s="5">
        <v>322.2</v>
      </c>
      <c r="O6" s="5">
        <v>345.4</v>
      </c>
      <c r="P6" s="5">
        <v>467.65</v>
      </c>
      <c r="Q6" s="5">
        <v>160.5</v>
      </c>
      <c r="R6" s="5">
        <v>0</v>
      </c>
      <c r="S6" s="5">
        <v>104.35</v>
      </c>
      <c r="T6" s="5">
        <v>452.6</v>
      </c>
      <c r="U6" s="5">
        <v>220.8</v>
      </c>
      <c r="V6" s="5">
        <v>0</v>
      </c>
      <c r="W6" s="5">
        <f t="shared" si="0"/>
        <v>2217.5</v>
      </c>
    </row>
    <row r="7" spans="1:23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v>70.45</v>
      </c>
      <c r="N7" s="5">
        <v>265.95</v>
      </c>
      <c r="O7" s="5">
        <v>246.05</v>
      </c>
      <c r="P7" s="5">
        <v>167.7</v>
      </c>
      <c r="Q7" s="5">
        <v>80.45</v>
      </c>
      <c r="R7" s="5">
        <v>0</v>
      </c>
      <c r="S7" s="5">
        <v>37.4</v>
      </c>
      <c r="T7" s="5">
        <v>295.8</v>
      </c>
      <c r="U7" s="5">
        <v>152.35</v>
      </c>
      <c r="V7" s="5">
        <v>0</v>
      </c>
      <c r="W7" s="5">
        <f t="shared" si="0"/>
        <v>1316.15</v>
      </c>
    </row>
    <row r="8" spans="1:23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v>101.15</v>
      </c>
      <c r="N8" s="5">
        <v>228.5</v>
      </c>
      <c r="O8" s="5">
        <v>304.1</v>
      </c>
      <c r="P8" s="5">
        <v>306.95</v>
      </c>
      <c r="Q8" s="5">
        <v>138.6</v>
      </c>
      <c r="R8" s="5">
        <v>0</v>
      </c>
      <c r="S8" s="5">
        <v>31</v>
      </c>
      <c r="T8" s="5">
        <v>168.95</v>
      </c>
      <c r="U8" s="5">
        <v>90.25</v>
      </c>
      <c r="V8" s="8">
        <v>0</v>
      </c>
      <c r="W8" s="5">
        <f t="shared" si="0"/>
        <v>1369.5</v>
      </c>
    </row>
    <row r="9" spans="1:23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v>99.15</v>
      </c>
      <c r="N9" s="5">
        <v>314.9</v>
      </c>
      <c r="O9" s="5">
        <v>449.55</v>
      </c>
      <c r="P9" s="5">
        <v>540.15</v>
      </c>
      <c r="Q9" s="5">
        <v>226.55</v>
      </c>
      <c r="R9" s="5">
        <v>0</v>
      </c>
      <c r="S9" s="5">
        <v>48.8</v>
      </c>
      <c r="T9" s="5">
        <v>242.9</v>
      </c>
      <c r="U9" s="5">
        <v>200</v>
      </c>
      <c r="V9" s="5">
        <v>0</v>
      </c>
      <c r="W9" s="5">
        <f t="shared" si="0"/>
        <v>2122</v>
      </c>
    </row>
    <row r="10" spans="1:23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6">
        <v>102.55</v>
      </c>
      <c r="N10" s="6">
        <v>307.6</v>
      </c>
      <c r="O10" s="6">
        <v>341.5</v>
      </c>
      <c r="P10" s="6">
        <v>387.75</v>
      </c>
      <c r="Q10" s="6">
        <v>159.15</v>
      </c>
      <c r="R10" s="6">
        <v>0</v>
      </c>
      <c r="S10" s="6">
        <v>29.9</v>
      </c>
      <c r="T10" s="6">
        <v>174.1</v>
      </c>
      <c r="U10" s="6">
        <v>154.65</v>
      </c>
      <c r="V10" s="6">
        <v>0</v>
      </c>
      <c r="W10" s="5">
        <f t="shared" si="0"/>
        <v>1657.2</v>
      </c>
    </row>
    <row r="11" spans="1:23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v>109.15</v>
      </c>
      <c r="N11" s="5">
        <v>255.35</v>
      </c>
      <c r="O11" s="5">
        <v>377.15</v>
      </c>
      <c r="P11" s="5">
        <v>443.95</v>
      </c>
      <c r="Q11" s="5">
        <v>195.6</v>
      </c>
      <c r="R11" s="5">
        <v>0</v>
      </c>
      <c r="S11" s="5">
        <v>27.4</v>
      </c>
      <c r="T11" s="5">
        <v>216.15</v>
      </c>
      <c r="U11" s="5">
        <v>165.05</v>
      </c>
      <c r="V11" s="5">
        <v>0</v>
      </c>
      <c r="W11" s="5">
        <f t="shared" si="0"/>
        <v>1789.8</v>
      </c>
    </row>
    <row r="12" spans="1:23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>
        <v>60</v>
      </c>
      <c r="N12" s="5">
        <v>233.85</v>
      </c>
      <c r="O12" s="5">
        <v>369.9</v>
      </c>
      <c r="P12" s="5">
        <v>532.9</v>
      </c>
      <c r="Q12" s="5">
        <v>258.9</v>
      </c>
      <c r="R12" s="5">
        <v>0</v>
      </c>
      <c r="S12" s="5">
        <v>14.7</v>
      </c>
      <c r="T12" s="5">
        <v>209.6</v>
      </c>
      <c r="U12" s="5">
        <v>207.5</v>
      </c>
      <c r="V12" s="5">
        <v>0</v>
      </c>
      <c r="W12" s="5">
        <f t="shared" si="0"/>
        <v>1887.35</v>
      </c>
    </row>
    <row r="13" spans="1:23">
      <c r="A13" s="3">
        <v>12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>
        <v>44.45</v>
      </c>
      <c r="N13" s="5">
        <v>128.45</v>
      </c>
      <c r="O13" s="5">
        <v>268.15</v>
      </c>
      <c r="P13" s="5">
        <v>363.55</v>
      </c>
      <c r="Q13" s="5">
        <v>100.55</v>
      </c>
      <c r="R13" s="5">
        <v>0</v>
      </c>
      <c r="S13" s="5">
        <v>14.1</v>
      </c>
      <c r="T13" s="5">
        <v>179.25</v>
      </c>
      <c r="U13" s="5">
        <v>193</v>
      </c>
      <c r="V13" s="5">
        <v>0</v>
      </c>
      <c r="W13" s="5">
        <f t="shared" si="0"/>
        <v>1291.5</v>
      </c>
    </row>
    <row r="14" spans="1:23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>
        <v>56.15</v>
      </c>
      <c r="N14" s="5">
        <v>127.8</v>
      </c>
      <c r="O14" s="5">
        <v>204.1</v>
      </c>
      <c r="P14" s="5">
        <v>277.45</v>
      </c>
      <c r="Q14" s="5">
        <v>130</v>
      </c>
      <c r="R14" s="5">
        <v>0</v>
      </c>
      <c r="S14" s="5">
        <v>17.05</v>
      </c>
      <c r="T14" s="5">
        <v>126.85</v>
      </c>
      <c r="U14" s="5">
        <v>95.15</v>
      </c>
      <c r="V14" s="5">
        <v>0</v>
      </c>
      <c r="W14" s="5">
        <f t="shared" si="0"/>
        <v>1034.55</v>
      </c>
    </row>
    <row r="15" spans="1:23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>
        <v>58.55</v>
      </c>
      <c r="N15" s="5">
        <v>142.05</v>
      </c>
      <c r="O15" s="5">
        <v>208.4</v>
      </c>
      <c r="P15" s="5">
        <v>247.05</v>
      </c>
      <c r="Q15" s="5">
        <v>120.05</v>
      </c>
      <c r="R15" s="5">
        <v>0</v>
      </c>
      <c r="S15" s="5">
        <v>20.2</v>
      </c>
      <c r="T15" s="5">
        <v>110.65</v>
      </c>
      <c r="U15" s="5">
        <v>90.1</v>
      </c>
      <c r="V15" s="5">
        <v>0</v>
      </c>
      <c r="W15" s="5">
        <f t="shared" si="0"/>
        <v>997.05</v>
      </c>
    </row>
    <row r="16" spans="1:23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>
        <v>68.25</v>
      </c>
      <c r="N16" s="5">
        <v>206.15</v>
      </c>
      <c r="O16" s="5">
        <v>408.85</v>
      </c>
      <c r="P16" s="5">
        <v>585.7</v>
      </c>
      <c r="Q16" s="5">
        <v>211.55</v>
      </c>
      <c r="R16" s="5">
        <v>0</v>
      </c>
      <c r="S16" s="5">
        <v>27.35</v>
      </c>
      <c r="T16" s="5">
        <v>164.6</v>
      </c>
      <c r="U16" s="5">
        <v>173.5</v>
      </c>
      <c r="V16" s="5">
        <v>0</v>
      </c>
      <c r="W16" s="5">
        <f t="shared" si="0"/>
        <v>1845.95</v>
      </c>
    </row>
    <row r="17" spans="1:23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>
        <v>88.6</v>
      </c>
      <c r="N17" s="5">
        <v>331.25</v>
      </c>
      <c r="O17" s="5">
        <v>449.95</v>
      </c>
      <c r="P17" s="5">
        <v>472.65</v>
      </c>
      <c r="Q17" s="5">
        <v>186.4</v>
      </c>
      <c r="R17" s="5">
        <v>0</v>
      </c>
      <c r="S17" s="5">
        <v>7.4</v>
      </c>
      <c r="T17" s="5">
        <v>106.3</v>
      </c>
      <c r="U17" s="5">
        <v>135.45</v>
      </c>
      <c r="V17" s="5">
        <v>0</v>
      </c>
      <c r="W17" s="5">
        <f t="shared" si="0"/>
        <v>1778</v>
      </c>
    </row>
    <row r="18" spans="1:23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>
        <v>55</v>
      </c>
      <c r="N18" s="5">
        <v>188.1</v>
      </c>
      <c r="O18" s="5">
        <v>334</v>
      </c>
      <c r="P18" s="5">
        <v>369.5</v>
      </c>
      <c r="Q18" s="5">
        <v>105.5</v>
      </c>
      <c r="R18" s="5">
        <v>0</v>
      </c>
      <c r="S18" s="5">
        <v>45.9</v>
      </c>
      <c r="T18" s="5">
        <v>165.25</v>
      </c>
      <c r="U18" s="5">
        <v>113.65</v>
      </c>
      <c r="V18" s="5">
        <v>0</v>
      </c>
      <c r="W18" s="5">
        <f t="shared" si="0"/>
        <v>1376.9</v>
      </c>
    </row>
    <row r="19" spans="1:23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>
        <v>94.85</v>
      </c>
      <c r="N19" s="5">
        <v>243.8</v>
      </c>
      <c r="O19" s="5">
        <v>317.65</v>
      </c>
      <c r="P19" s="5">
        <v>391.35</v>
      </c>
      <c r="Q19" s="5">
        <v>133.9</v>
      </c>
      <c r="R19" s="5">
        <v>0</v>
      </c>
      <c r="S19" s="5">
        <v>56.15</v>
      </c>
      <c r="T19" s="5">
        <v>209.05</v>
      </c>
      <c r="U19" s="5">
        <v>107.95</v>
      </c>
      <c r="V19" s="5">
        <v>0</v>
      </c>
      <c r="W19" s="5">
        <f t="shared" si="0"/>
        <v>1554.7</v>
      </c>
    </row>
    <row r="20" spans="1:23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>
        <v>138.1</v>
      </c>
      <c r="N20" s="5">
        <v>259.15</v>
      </c>
      <c r="O20" s="5">
        <v>309.25</v>
      </c>
      <c r="P20" s="5">
        <v>340.35</v>
      </c>
      <c r="Q20" s="5">
        <v>155.55</v>
      </c>
      <c r="R20" s="5">
        <v>0</v>
      </c>
      <c r="S20" s="5">
        <v>43.4</v>
      </c>
      <c r="T20" s="5">
        <v>180.45</v>
      </c>
      <c r="U20" s="5">
        <v>120</v>
      </c>
      <c r="V20" s="5">
        <v>0</v>
      </c>
      <c r="W20" s="5">
        <f t="shared" si="0"/>
        <v>1546.25</v>
      </c>
    </row>
    <row r="21" spans="1:23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>
        <v>121.55</v>
      </c>
      <c r="N21" s="5">
        <v>188.65</v>
      </c>
      <c r="O21" s="5">
        <v>288.45</v>
      </c>
      <c r="P21" s="5">
        <v>371.45</v>
      </c>
      <c r="Q21" s="5">
        <v>117.8</v>
      </c>
      <c r="R21" s="5">
        <v>0</v>
      </c>
      <c r="S21" s="5">
        <v>15.3</v>
      </c>
      <c r="T21" s="5">
        <v>140.25</v>
      </c>
      <c r="U21" s="5">
        <v>87.2</v>
      </c>
      <c r="V21" s="5">
        <v>0</v>
      </c>
      <c r="W21" s="5">
        <f t="shared" si="0"/>
        <v>1330.65</v>
      </c>
    </row>
    <row r="22" spans="1:23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>
        <v>84.65</v>
      </c>
      <c r="N22" s="5">
        <v>209.2</v>
      </c>
      <c r="O22" s="5">
        <v>312.95</v>
      </c>
      <c r="P22" s="5">
        <v>326.55</v>
      </c>
      <c r="Q22" s="5">
        <v>108.9</v>
      </c>
      <c r="R22" s="5">
        <v>0</v>
      </c>
      <c r="S22" s="5">
        <v>78.6</v>
      </c>
      <c r="T22" s="5">
        <v>190.35</v>
      </c>
      <c r="U22" s="5">
        <v>120.3</v>
      </c>
      <c r="V22" s="5">
        <v>0</v>
      </c>
      <c r="W22" s="5">
        <f t="shared" si="0"/>
        <v>1431.5</v>
      </c>
    </row>
    <row r="23" spans="1:23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>
        <v>32.55</v>
      </c>
      <c r="N23" s="5">
        <v>152.95</v>
      </c>
      <c r="O23" s="5">
        <v>226.85</v>
      </c>
      <c r="P23" s="5">
        <v>269.6</v>
      </c>
      <c r="Q23" s="5">
        <v>103.35</v>
      </c>
      <c r="R23" s="5">
        <v>0</v>
      </c>
      <c r="S23" s="5">
        <v>54.85</v>
      </c>
      <c r="T23" s="5">
        <v>164.3</v>
      </c>
      <c r="U23" s="5">
        <v>117.95</v>
      </c>
      <c r="V23" s="5">
        <v>0</v>
      </c>
      <c r="W23" s="5">
        <f t="shared" si="0"/>
        <v>1122.4</v>
      </c>
    </row>
    <row r="24" spans="1:23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>
        <v>42.2</v>
      </c>
      <c r="N24" s="5">
        <v>134.15</v>
      </c>
      <c r="O24" s="5">
        <v>150.25</v>
      </c>
      <c r="P24" s="5">
        <v>245.3</v>
      </c>
      <c r="Q24" s="5">
        <v>117.15</v>
      </c>
      <c r="R24" s="5">
        <v>0</v>
      </c>
      <c r="S24" s="5">
        <v>13.15</v>
      </c>
      <c r="T24" s="5">
        <v>141.25</v>
      </c>
      <c r="U24" s="5">
        <v>60.8</v>
      </c>
      <c r="V24" s="5">
        <v>0</v>
      </c>
      <c r="W24" s="5">
        <f t="shared" si="0"/>
        <v>904.25</v>
      </c>
    </row>
    <row r="25" spans="1:23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>
        <v>55.9</v>
      </c>
      <c r="N25" s="5">
        <v>132.05</v>
      </c>
      <c r="O25" s="5">
        <v>185.7</v>
      </c>
      <c r="P25" s="5">
        <v>245</v>
      </c>
      <c r="Q25" s="5">
        <v>87.7</v>
      </c>
      <c r="R25" s="5">
        <v>0</v>
      </c>
      <c r="S25" s="5">
        <v>25.6</v>
      </c>
      <c r="T25" s="5">
        <v>242.55</v>
      </c>
      <c r="U25" s="5">
        <v>115.7</v>
      </c>
      <c r="V25" s="5">
        <v>0</v>
      </c>
      <c r="W25" s="5">
        <f t="shared" si="0"/>
        <v>1090.2</v>
      </c>
    </row>
    <row r="26" spans="1:23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>
        <v>67.5</v>
      </c>
      <c r="N26" s="5">
        <v>118.75</v>
      </c>
      <c r="O26" s="5">
        <v>127.35</v>
      </c>
      <c r="P26" s="5">
        <v>159.8</v>
      </c>
      <c r="Q26" s="5">
        <v>63.75</v>
      </c>
      <c r="R26" s="5">
        <v>0</v>
      </c>
      <c r="S26" s="5">
        <v>38.4</v>
      </c>
      <c r="T26" s="5">
        <v>205.1</v>
      </c>
      <c r="U26" s="5">
        <v>103.95</v>
      </c>
      <c r="V26" s="5">
        <v>0</v>
      </c>
      <c r="W26" s="5">
        <f t="shared" si="0"/>
        <v>884.6</v>
      </c>
    </row>
    <row r="27" spans="1:23">
      <c r="A27" s="3">
        <v>26</v>
      </c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>
        <v>19.3</v>
      </c>
      <c r="N27" s="5">
        <v>60.8</v>
      </c>
      <c r="O27" s="5">
        <v>51.65</v>
      </c>
      <c r="P27" s="5">
        <v>88.95</v>
      </c>
      <c r="Q27" s="5">
        <v>20.35</v>
      </c>
      <c r="R27" s="5">
        <v>0</v>
      </c>
      <c r="S27" s="5">
        <v>20</v>
      </c>
      <c r="T27" s="5">
        <v>132.3</v>
      </c>
      <c r="U27" s="5">
        <v>55.05</v>
      </c>
      <c r="V27" s="5">
        <v>0</v>
      </c>
      <c r="W27" s="5">
        <f t="shared" si="0"/>
        <v>448.4</v>
      </c>
    </row>
    <row r="28" spans="1:23">
      <c r="A28" s="3">
        <v>27</v>
      </c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>
        <v>29.55</v>
      </c>
      <c r="N28" s="5">
        <v>20.95</v>
      </c>
      <c r="O28" s="5">
        <v>30.1</v>
      </c>
      <c r="P28" s="5">
        <v>52</v>
      </c>
      <c r="Q28" s="5">
        <v>26.3</v>
      </c>
      <c r="R28" s="5">
        <v>0</v>
      </c>
      <c r="S28" s="5">
        <v>14</v>
      </c>
      <c r="T28" s="5">
        <v>119.05</v>
      </c>
      <c r="U28" s="5">
        <v>29.7</v>
      </c>
      <c r="V28" s="5">
        <v>0</v>
      </c>
      <c r="W28" s="5">
        <f t="shared" si="0"/>
        <v>321.65</v>
      </c>
    </row>
    <row r="29" spans="1:23">
      <c r="A29" s="3">
        <v>28</v>
      </c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>
        <v>8.05</v>
      </c>
      <c r="N29" s="5">
        <v>22.25</v>
      </c>
      <c r="O29" s="5">
        <v>16.3</v>
      </c>
      <c r="P29" s="5">
        <v>23.85</v>
      </c>
      <c r="Q29" s="5">
        <v>14.5</v>
      </c>
      <c r="R29" s="5">
        <v>0</v>
      </c>
      <c r="S29" s="5">
        <v>9.55</v>
      </c>
      <c r="T29" s="5">
        <v>120.05</v>
      </c>
      <c r="U29" s="5">
        <v>54.5</v>
      </c>
      <c r="V29" s="5">
        <v>0</v>
      </c>
      <c r="W29" s="5">
        <f t="shared" si="0"/>
        <v>269.05</v>
      </c>
    </row>
    <row r="30" spans="1:23">
      <c r="A30" s="3">
        <v>29</v>
      </c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>
        <v>0</v>
      </c>
      <c r="N30" s="5">
        <v>21.6</v>
      </c>
      <c r="O30" s="5">
        <v>12.2</v>
      </c>
      <c r="P30" s="5">
        <v>15</v>
      </c>
      <c r="Q30" s="5">
        <v>4.8</v>
      </c>
      <c r="R30" s="5">
        <v>0</v>
      </c>
      <c r="S30" s="5">
        <v>9.85</v>
      </c>
      <c r="T30" s="5">
        <v>242.15</v>
      </c>
      <c r="U30" s="5">
        <v>114.6</v>
      </c>
      <c r="V30" s="5">
        <v>0</v>
      </c>
      <c r="W30" s="5">
        <f t="shared" si="0"/>
        <v>420.2</v>
      </c>
    </row>
    <row r="31" spans="1:23">
      <c r="A31" s="3">
        <v>30</v>
      </c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>
        <v>0</v>
      </c>
      <c r="N31" s="5">
        <v>1.8</v>
      </c>
      <c r="O31" s="5">
        <v>12.3</v>
      </c>
      <c r="P31" s="5">
        <v>34.55</v>
      </c>
      <c r="Q31" s="5">
        <v>0</v>
      </c>
      <c r="R31" s="5">
        <v>0</v>
      </c>
      <c r="S31" s="5">
        <v>2.22</v>
      </c>
      <c r="T31" s="5">
        <v>52.5</v>
      </c>
      <c r="U31" s="5">
        <v>36.5</v>
      </c>
      <c r="V31" s="5">
        <v>0</v>
      </c>
      <c r="W31" s="5">
        <f t="shared" ref="W31" si="1">SUM(C31:V31)</f>
        <v>139.87</v>
      </c>
    </row>
    <row r="32" spans="3:23">
      <c r="C32" s="6">
        <f t="shared" ref="C32:V32" si="2">SUM(C1:C31)</f>
        <v>0</v>
      </c>
      <c r="D32" s="6">
        <f t="shared" si="2"/>
        <v>0</v>
      </c>
      <c r="E32" s="6">
        <f t="shared" si="2"/>
        <v>0</v>
      </c>
      <c r="F32" s="6">
        <f t="shared" si="2"/>
        <v>0</v>
      </c>
      <c r="G32" s="6">
        <f t="shared" si="2"/>
        <v>0</v>
      </c>
      <c r="H32" s="6">
        <f t="shared" si="2"/>
        <v>0</v>
      </c>
      <c r="I32" s="6">
        <f t="shared" si="2"/>
        <v>0</v>
      </c>
      <c r="J32" s="6">
        <f t="shared" si="2"/>
        <v>0</v>
      </c>
      <c r="K32" s="6">
        <f t="shared" si="2"/>
        <v>0</v>
      </c>
      <c r="L32" s="6">
        <f t="shared" si="2"/>
        <v>0</v>
      </c>
      <c r="M32" s="6">
        <f t="shared" si="2"/>
        <v>2453.7</v>
      </c>
      <c r="N32" s="6">
        <f t="shared" si="2"/>
        <v>6497.55</v>
      </c>
      <c r="O32" s="6">
        <f t="shared" si="2"/>
        <v>8707.85</v>
      </c>
      <c r="P32" s="6">
        <f t="shared" si="2"/>
        <v>10150.9</v>
      </c>
      <c r="Q32" s="6">
        <f t="shared" si="2"/>
        <v>3954.35</v>
      </c>
      <c r="R32" s="6">
        <f t="shared" si="2"/>
        <v>0</v>
      </c>
      <c r="S32" s="6">
        <f t="shared" si="2"/>
        <v>1030.735</v>
      </c>
      <c r="T32" s="6">
        <f t="shared" si="2"/>
        <v>6129.73</v>
      </c>
      <c r="U32" s="6">
        <f t="shared" si="2"/>
        <v>4080.15</v>
      </c>
      <c r="V32" s="6">
        <f t="shared" si="2"/>
        <v>0</v>
      </c>
      <c r="W32" s="6">
        <f>SUM(W2:W31)</f>
        <v>43004.965</v>
      </c>
    </row>
    <row r="34" spans="13:13">
      <c r="M34" s="7"/>
    </row>
    <row r="35" spans="13:13">
      <c r="M35" s="7"/>
    </row>
  </sheetData>
  <pageMargins left="0.7" right="0.7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4.2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999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>
        <v>10.5</v>
      </c>
      <c r="N2" s="5">
        <v>12.05</v>
      </c>
      <c r="O2" s="5">
        <v>21.2</v>
      </c>
      <c r="P2" s="5">
        <v>21.35</v>
      </c>
      <c r="Q2" s="5">
        <v>3.9</v>
      </c>
      <c r="R2" s="5"/>
      <c r="S2" s="5"/>
      <c r="T2" s="5"/>
      <c r="U2" s="5"/>
      <c r="V2" s="5"/>
      <c r="W2" s="5">
        <f t="shared" ref="W2:W67" si="0">SUM(C2:V2)</f>
        <v>69</v>
      </c>
    </row>
    <row r="3" spans="1:23">
      <c r="A3" s="3">
        <v>1006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v>2</v>
      </c>
      <c r="N3" s="5">
        <v>7.05</v>
      </c>
      <c r="O3" s="5">
        <v>11.65</v>
      </c>
      <c r="P3" s="5">
        <v>11.05</v>
      </c>
      <c r="Q3" s="5">
        <v>2.45</v>
      </c>
      <c r="R3" s="5"/>
      <c r="S3" s="5"/>
      <c r="T3" s="5"/>
      <c r="U3" s="5">
        <v>0.85</v>
      </c>
      <c r="V3" s="5"/>
      <c r="W3" s="5">
        <f t="shared" si="0"/>
        <v>35.05</v>
      </c>
    </row>
    <row r="4" spans="1:23">
      <c r="A4" s="3">
        <v>309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f>12.25+23</f>
        <v>35.25</v>
      </c>
      <c r="N4" s="5">
        <f>19.45+16.7+26.9+19.35+17.15</f>
        <v>99.55</v>
      </c>
      <c r="O4" s="5">
        <f>20.3+15.55+17.5+16.2+12.95+20.35+18.6</f>
        <v>121.45</v>
      </c>
      <c r="P4" s="5">
        <f>18.05+15.6+20.25+17.35+17.45+13.05+23.6+29.8</f>
        <v>155.15</v>
      </c>
      <c r="Q4" s="5">
        <f>18.25+18.9+11.35+20.8</f>
        <v>69.3</v>
      </c>
      <c r="R4" s="5"/>
      <c r="S4" s="5">
        <v>14.2</v>
      </c>
      <c r="T4" s="5">
        <f>15.25+21.05+25.5</f>
        <v>61.8</v>
      </c>
      <c r="U4" s="5">
        <f>20+27.15</f>
        <v>47.15</v>
      </c>
      <c r="V4" s="5"/>
      <c r="W4" s="5">
        <f t="shared" si="0"/>
        <v>603.85</v>
      </c>
    </row>
    <row r="5" spans="1:23">
      <c r="A5" s="3">
        <v>2161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v>8.3</v>
      </c>
      <c r="N5" s="5">
        <v>18.25</v>
      </c>
      <c r="O5" s="5">
        <v>2.85</v>
      </c>
      <c r="P5" s="5">
        <v>4.55</v>
      </c>
      <c r="Q5" s="5">
        <v>2.6</v>
      </c>
      <c r="R5" s="5"/>
      <c r="S5" s="5"/>
      <c r="T5" s="5">
        <v>6.95</v>
      </c>
      <c r="U5" s="5">
        <v>2.8</v>
      </c>
      <c r="V5" s="5"/>
      <c r="W5" s="5">
        <f t="shared" si="0"/>
        <v>46.3</v>
      </c>
    </row>
    <row r="6" spans="1:23">
      <c r="A6" s="3">
        <v>2425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>
        <v>4.1</v>
      </c>
      <c r="P6" s="5">
        <v>7.9</v>
      </c>
      <c r="Q6" s="5">
        <v>0.85</v>
      </c>
      <c r="R6" s="5"/>
      <c r="S6" s="5"/>
      <c r="T6" s="5"/>
      <c r="U6" s="5">
        <v>0.55</v>
      </c>
      <c r="V6" s="5"/>
      <c r="W6" s="5">
        <f t="shared" si="0"/>
        <v>13.4</v>
      </c>
    </row>
    <row r="7" spans="1:23">
      <c r="A7" s="3">
        <v>1013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v>11.7</v>
      </c>
      <c r="N7" s="5">
        <f>16.15+15.55</f>
        <v>31.7</v>
      </c>
      <c r="O7" s="5">
        <f>17.85+19.35+2.95</f>
        <v>40.15</v>
      </c>
      <c r="P7" s="5">
        <f>16.4+15.6+18+16.65+20.05</f>
        <v>86.7</v>
      </c>
      <c r="Q7" s="5">
        <f>15.7+16.8+15.75</f>
        <v>48.25</v>
      </c>
      <c r="R7" s="5"/>
      <c r="S7" s="5"/>
      <c r="T7" s="5">
        <v>16.85</v>
      </c>
      <c r="U7" s="5">
        <v>15.25</v>
      </c>
      <c r="V7" s="5"/>
      <c r="W7" s="5">
        <f t="shared" si="0"/>
        <v>250.6</v>
      </c>
    </row>
    <row r="8" spans="1:23">
      <c r="A8" s="3">
        <v>451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f>18.25+6.45</f>
        <v>24.7</v>
      </c>
      <c r="N8" s="5">
        <f>17.35+16+15.5</f>
        <v>48.85</v>
      </c>
      <c r="O8" s="5">
        <f>15.55+14.7+16.65+9.3</f>
        <v>56.2</v>
      </c>
      <c r="P8" s="5">
        <f>15.9+18.2+17.15+4.2</f>
        <v>55.45</v>
      </c>
      <c r="Q8" s="5">
        <f>12.15+16.45+8.5</f>
        <v>37.1</v>
      </c>
      <c r="R8" s="5"/>
      <c r="S8" s="5">
        <v>6.9</v>
      </c>
      <c r="T8" s="5">
        <v>10.6</v>
      </c>
      <c r="U8" s="5">
        <v>18.45</v>
      </c>
      <c r="V8" s="5"/>
      <c r="W8" s="5">
        <f t="shared" si="0"/>
        <v>258.25</v>
      </c>
    </row>
    <row r="9" spans="1:23">
      <c r="A9" s="3">
        <v>2425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v>2.35</v>
      </c>
      <c r="N9" s="5">
        <v>6.9</v>
      </c>
      <c r="O9" s="5">
        <v>18.05</v>
      </c>
      <c r="P9" s="5">
        <v>15.95</v>
      </c>
      <c r="Q9" s="5">
        <v>8.55</v>
      </c>
      <c r="R9" s="5"/>
      <c r="S9" s="5"/>
      <c r="T9" s="5">
        <v>16.2</v>
      </c>
      <c r="U9" s="5">
        <v>9.4</v>
      </c>
      <c r="V9" s="5"/>
      <c r="W9" s="5">
        <f t="shared" si="0"/>
        <v>77.4</v>
      </c>
    </row>
    <row r="10" spans="1:23">
      <c r="A10" s="3">
        <v>260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>
        <v>27</v>
      </c>
      <c r="N10" s="5">
        <f>20.35+21.5+20.9</f>
        <v>62.75</v>
      </c>
      <c r="O10" s="5">
        <f>17.8+20.9+13.9+1.5</f>
        <v>54.1</v>
      </c>
      <c r="P10" s="5">
        <f>18.4+20.95+20.95+20.95</f>
        <v>81.25</v>
      </c>
      <c r="Q10" s="5">
        <f>21.9+9.05</f>
        <v>30.95</v>
      </c>
      <c r="R10" s="5"/>
      <c r="S10" s="5">
        <v>10</v>
      </c>
      <c r="T10" s="5">
        <f>23.9+21.4+12.35</f>
        <v>57.65</v>
      </c>
      <c r="U10" s="5">
        <f>14.5+17.3</f>
        <v>31.8</v>
      </c>
      <c r="V10" s="5"/>
      <c r="W10" s="5">
        <f t="shared" si="0"/>
        <v>355.5</v>
      </c>
    </row>
    <row r="11" spans="1:23">
      <c r="A11" s="3">
        <v>1036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f>20.55+2.3</f>
        <v>22.85</v>
      </c>
      <c r="N11" s="5">
        <f>17.55+21.65+20+15.15</f>
        <v>74.35</v>
      </c>
      <c r="O11" s="5">
        <f>21.2+22.65+18.35+23.65</f>
        <v>85.85</v>
      </c>
      <c r="P11" s="5">
        <v>7.6</v>
      </c>
      <c r="Q11" s="5">
        <v>1.7</v>
      </c>
      <c r="R11" s="5"/>
      <c r="S11" s="5">
        <v>2.1</v>
      </c>
      <c r="T11" s="5">
        <v>10.3</v>
      </c>
      <c r="U11" s="5">
        <v>0.85</v>
      </c>
      <c r="V11" s="5"/>
      <c r="W11" s="5">
        <f t="shared" si="0"/>
        <v>205.6</v>
      </c>
    </row>
    <row r="12" spans="1:23">
      <c r="A12" s="3">
        <v>1036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>
        <f>22.85+3.25</f>
        <v>26.1</v>
      </c>
      <c r="O12" s="5">
        <f>22.6+4.35</f>
        <v>26.95</v>
      </c>
      <c r="P12" s="5">
        <v>2.55</v>
      </c>
      <c r="Q12" s="5"/>
      <c r="R12" s="5"/>
      <c r="S12" s="5"/>
      <c r="T12" s="5">
        <v>2.75</v>
      </c>
      <c r="U12" s="5"/>
      <c r="V12" s="5"/>
      <c r="W12" s="5">
        <f t="shared" si="0"/>
        <v>58.35</v>
      </c>
    </row>
    <row r="13" spans="1:23">
      <c r="A13" s="3">
        <v>354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>
        <v>8.6</v>
      </c>
      <c r="N13" s="5">
        <f>18.05+4.9</f>
        <v>22.95</v>
      </c>
      <c r="O13" s="5">
        <f>16.85+20.9</f>
        <v>37.75</v>
      </c>
      <c r="P13" s="5">
        <f>15.9+15.9+12.25</f>
        <v>44.05</v>
      </c>
      <c r="Q13" s="5">
        <v>18</v>
      </c>
      <c r="R13" s="5"/>
      <c r="S13" s="5">
        <v>7.2</v>
      </c>
      <c r="T13" s="5">
        <v>14.5</v>
      </c>
      <c r="U13" s="5">
        <v>17.75</v>
      </c>
      <c r="V13" s="5"/>
      <c r="W13" s="5">
        <f t="shared" si="0"/>
        <v>170.8</v>
      </c>
    </row>
    <row r="14" spans="1:23">
      <c r="A14" s="3">
        <v>1791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>
        <v>9.45</v>
      </c>
      <c r="N14" s="5">
        <f>18.85+1.6</f>
        <v>20.45</v>
      </c>
      <c r="O14" s="5"/>
      <c r="P14" s="5">
        <v>9.85</v>
      </c>
      <c r="Q14" s="5">
        <v>9.6</v>
      </c>
      <c r="R14" s="5"/>
      <c r="S14" s="5">
        <v>2.8</v>
      </c>
      <c r="T14" s="5">
        <v>6.45</v>
      </c>
      <c r="U14" s="5">
        <v>7.5</v>
      </c>
      <c r="V14" s="5"/>
      <c r="W14" s="5">
        <f t="shared" si="0"/>
        <v>66.1</v>
      </c>
    </row>
    <row r="15" spans="1:23">
      <c r="A15" s="3">
        <v>342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>
        <v>2.05</v>
      </c>
      <c r="N15" s="5">
        <v>5.15</v>
      </c>
      <c r="O15" s="5">
        <v>5.8</v>
      </c>
      <c r="P15" s="5">
        <v>6.55</v>
      </c>
      <c r="Q15" s="5">
        <v>0.9</v>
      </c>
      <c r="R15" s="5"/>
      <c r="S15" s="5"/>
      <c r="T15" s="5">
        <v>9.8</v>
      </c>
      <c r="U15" s="5"/>
      <c r="V15" s="5"/>
      <c r="W15" s="5">
        <f t="shared" si="0"/>
        <v>30.25</v>
      </c>
    </row>
    <row r="16" spans="1:23">
      <c r="A16" s="3">
        <v>1017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>
        <v>5.2</v>
      </c>
      <c r="N16" s="5">
        <v>7.1</v>
      </c>
      <c r="O16" s="5">
        <v>4.1</v>
      </c>
      <c r="P16" s="5">
        <f>4.4+0.95</f>
        <v>5.35</v>
      </c>
      <c r="Q16" s="5"/>
      <c r="R16" s="5"/>
      <c r="S16" s="5"/>
      <c r="T16" s="5">
        <v>13.15</v>
      </c>
      <c r="U16" s="5">
        <v>7.6</v>
      </c>
      <c r="V16" s="5"/>
      <c r="W16" s="5">
        <f t="shared" si="0"/>
        <v>42.5</v>
      </c>
    </row>
    <row r="17" spans="1:23">
      <c r="A17" s="3">
        <v>1009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>
        <f>21.25+8.5</f>
        <v>29.75</v>
      </c>
      <c r="N17" s="5">
        <f>16.3+19.85+10.35</f>
        <v>46.5</v>
      </c>
      <c r="O17" s="5">
        <f>17+16.4</f>
        <v>33.4</v>
      </c>
      <c r="P17" s="5">
        <f>17.65+16.55+16.9</f>
        <v>51.1</v>
      </c>
      <c r="Q17" s="5">
        <f>15.75+6.2</f>
        <v>21.95</v>
      </c>
      <c r="R17" s="5"/>
      <c r="S17" s="5">
        <v>6.2</v>
      </c>
      <c r="T17" s="5">
        <v>18.7</v>
      </c>
      <c r="U17" s="5">
        <v>13.6</v>
      </c>
      <c r="V17" s="5"/>
      <c r="W17" s="5">
        <f t="shared" si="0"/>
        <v>221.2</v>
      </c>
    </row>
    <row r="18" spans="1:23">
      <c r="A18" s="3">
        <v>309</v>
      </c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>
        <v>5.15</v>
      </c>
      <c r="O18" s="5">
        <f>16+3.1</f>
        <v>19.1</v>
      </c>
      <c r="P18" s="5">
        <f>14.15+1.2</f>
        <v>15.35</v>
      </c>
      <c r="Q18" s="5">
        <v>4.75</v>
      </c>
      <c r="R18" s="5"/>
      <c r="S18" s="5">
        <f>2.5+5.2</f>
        <v>7.7</v>
      </c>
      <c r="T18" s="5">
        <f>19.3+10.05+2.85</f>
        <v>32.2</v>
      </c>
      <c r="U18" s="5">
        <f>8.95+5.95</f>
        <v>14.9</v>
      </c>
      <c r="V18" s="5"/>
      <c r="W18" s="5">
        <f t="shared" si="0"/>
        <v>99.15</v>
      </c>
    </row>
    <row r="19" spans="1:23">
      <c r="A19" s="3">
        <v>1030</v>
      </c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>
        <v>4.95</v>
      </c>
      <c r="N19" s="5"/>
      <c r="O19" s="5">
        <v>1.55</v>
      </c>
      <c r="P19" s="5">
        <v>2.15</v>
      </c>
      <c r="Q19" s="5">
        <v>2.9</v>
      </c>
      <c r="R19" s="5"/>
      <c r="S19" s="5"/>
      <c r="T19" s="5">
        <v>8.2</v>
      </c>
      <c r="U19" s="5">
        <v>5.5</v>
      </c>
      <c r="V19" s="5"/>
      <c r="W19" s="5">
        <f t="shared" si="0"/>
        <v>25.25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204.65</v>
      </c>
      <c r="N349" s="6">
        <f t="shared" si="6"/>
        <v>494.85</v>
      </c>
      <c r="O349" s="6">
        <f t="shared" si="6"/>
        <v>544.25</v>
      </c>
      <c r="P349" s="6">
        <f t="shared" si="6"/>
        <v>583.9</v>
      </c>
      <c r="Q349" s="6">
        <f t="shared" si="6"/>
        <v>263.75</v>
      </c>
      <c r="R349" s="6">
        <f t="shared" si="6"/>
        <v>0</v>
      </c>
      <c r="S349" s="6">
        <f t="shared" si="6"/>
        <v>57.1</v>
      </c>
      <c r="T349" s="6">
        <f t="shared" si="6"/>
        <v>286.1</v>
      </c>
      <c r="U349" s="6">
        <f t="shared" si="6"/>
        <v>193.95</v>
      </c>
      <c r="V349" s="6">
        <f t="shared" si="6"/>
        <v>0</v>
      </c>
      <c r="W349" s="6">
        <f>SUM(W2:W348)</f>
        <v>2628.55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309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>
        <f>16.8+16.85+9</f>
        <v>42.65</v>
      </c>
      <c r="N2" s="5">
        <f>20+13.7+12.55+17.75</f>
        <v>64</v>
      </c>
      <c r="O2" s="5">
        <f>15.6+13.35+13.95+16.7+22.9+10.25</f>
        <v>92.75</v>
      </c>
      <c r="P2" s="5">
        <f>11.6+15+13.5+18.95+14.05+17.3+17.25+15.35+17.25</f>
        <v>140.25</v>
      </c>
      <c r="Q2" s="5">
        <f>11.1+20.35+18.85</f>
        <v>50.3</v>
      </c>
      <c r="R2" s="5"/>
      <c r="S2" s="5">
        <f>10.95+19.05</f>
        <v>30</v>
      </c>
      <c r="T2" s="5">
        <f>15.2+16.25+20.15+18.3+22.35+18.8+21.35+18.1+22.9+7.8</f>
        <v>181.2</v>
      </c>
      <c r="U2" s="5">
        <f>18.3+18.55+17.5+16.95</f>
        <v>71.3</v>
      </c>
      <c r="V2" s="5"/>
      <c r="W2" s="5">
        <f t="shared" ref="W2:W67" si="0">SUM(C2:V2)</f>
        <v>672.45</v>
      </c>
    </row>
    <row r="3" spans="1:23">
      <c r="A3" s="3">
        <v>2161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>
        <v>3.85</v>
      </c>
      <c r="O3" s="5">
        <v>5.85</v>
      </c>
      <c r="P3" s="5">
        <v>12.1</v>
      </c>
      <c r="Q3" s="5"/>
      <c r="R3" s="5"/>
      <c r="S3" s="5"/>
      <c r="T3" s="5">
        <v>24.7</v>
      </c>
      <c r="U3" s="5">
        <v>7.2</v>
      </c>
      <c r="V3" s="5"/>
      <c r="W3" s="5">
        <f t="shared" si="0"/>
        <v>53.7</v>
      </c>
    </row>
    <row r="4" spans="1:23">
      <c r="A4" s="3">
        <v>260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f>14.95+4.55</f>
        <v>19.5</v>
      </c>
      <c r="N4" s="5">
        <f>15.05+15.2+8.85</f>
        <v>39.1</v>
      </c>
      <c r="O4" s="5">
        <f>19.75+17.05+8.75</f>
        <v>45.55</v>
      </c>
      <c r="P4" s="5">
        <f>16.05+15.15+9.1</f>
        <v>40.3</v>
      </c>
      <c r="Q4" s="5">
        <f>19.8+4.6</f>
        <v>24.4</v>
      </c>
      <c r="R4" s="5"/>
      <c r="S4" s="5">
        <f>14.4+6.7</f>
        <v>21.1</v>
      </c>
      <c r="T4" s="5">
        <f>21.2+23.85+8</f>
        <v>53.05</v>
      </c>
      <c r="U4" s="5">
        <f>20.85+7.75</f>
        <v>28.6</v>
      </c>
      <c r="V4" s="5"/>
      <c r="W4" s="5">
        <f t="shared" si="0"/>
        <v>271.6</v>
      </c>
    </row>
    <row r="5" spans="1:23">
      <c r="A5" s="3">
        <v>996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>
        <v>10.3</v>
      </c>
      <c r="O5" s="5"/>
      <c r="P5" s="5">
        <v>1.2</v>
      </c>
      <c r="Q5" s="5"/>
      <c r="R5" s="5"/>
      <c r="S5" s="5"/>
      <c r="T5" s="5"/>
      <c r="U5" s="5"/>
      <c r="V5" s="5"/>
      <c r="W5" s="5">
        <f t="shared" si="0"/>
        <v>11.5</v>
      </c>
    </row>
    <row r="6" spans="1:23">
      <c r="A6" s="3">
        <v>451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v>16.15</v>
      </c>
      <c r="N6" s="5">
        <f>18.8+7.3</f>
        <v>26.1</v>
      </c>
      <c r="O6" s="5">
        <f>12.5+14.5</f>
        <v>27</v>
      </c>
      <c r="P6" s="5">
        <f>22.25+16+15.25</f>
        <v>53.5</v>
      </c>
      <c r="Q6" s="5">
        <f>18.65+4.9</f>
        <v>23.55</v>
      </c>
      <c r="R6" s="5"/>
      <c r="S6" s="5">
        <v>3.25</v>
      </c>
      <c r="T6" s="5">
        <f>18.7+1.45</f>
        <v>20.15</v>
      </c>
      <c r="U6" s="5">
        <f>7.6+22.05</f>
        <v>29.65</v>
      </c>
      <c r="V6" s="5"/>
      <c r="W6" s="5">
        <f t="shared" si="0"/>
        <v>199.35</v>
      </c>
    </row>
    <row r="7" spans="1:23">
      <c r="A7" s="3">
        <v>2425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>
        <v>1.9</v>
      </c>
      <c r="O7" s="5">
        <v>2.85</v>
      </c>
      <c r="P7" s="5"/>
      <c r="Q7" s="5"/>
      <c r="R7" s="5"/>
      <c r="S7" s="5"/>
      <c r="T7" s="5">
        <v>8.55</v>
      </c>
      <c r="U7" s="5">
        <v>8.2</v>
      </c>
      <c r="V7" s="5"/>
      <c r="W7" s="5">
        <f t="shared" si="0"/>
        <v>21.5</v>
      </c>
    </row>
    <row r="8" spans="1:23">
      <c r="A8" s="3">
        <v>1036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f>19.3+4.25</f>
        <v>23.55</v>
      </c>
      <c r="N8" s="5">
        <f>21.25+18.2+14.45+15.25</f>
        <v>69.15</v>
      </c>
      <c r="O8" s="5">
        <f>19.3+15.55+15.35+13.55</f>
        <v>63.75</v>
      </c>
      <c r="P8" s="5">
        <f>14.1+18.15+14.35+9.55+16.6</f>
        <v>72.75</v>
      </c>
      <c r="Q8" s="5"/>
      <c r="R8" s="5"/>
      <c r="S8" s="5">
        <v>16.25</v>
      </c>
      <c r="T8" s="5">
        <f>21.15+14.9</f>
        <v>36.05</v>
      </c>
      <c r="U8" s="5">
        <v>2.1</v>
      </c>
      <c r="V8" s="5"/>
      <c r="W8" s="5">
        <f t="shared" si="0"/>
        <v>283.6</v>
      </c>
    </row>
    <row r="9" spans="1:23">
      <c r="A9" s="3">
        <v>1005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v>2.4</v>
      </c>
      <c r="N9" s="5"/>
      <c r="O9" s="5">
        <v>4.05</v>
      </c>
      <c r="P9" s="5">
        <v>5.4</v>
      </c>
      <c r="Q9" s="5">
        <v>5.05</v>
      </c>
      <c r="R9" s="5"/>
      <c r="S9" s="5"/>
      <c r="T9" s="5">
        <v>1.3</v>
      </c>
      <c r="U9" s="5"/>
      <c r="V9" s="5"/>
      <c r="W9" s="5">
        <f t="shared" si="0"/>
        <v>18.2</v>
      </c>
    </row>
    <row r="10" spans="1:23">
      <c r="A10" s="3">
        <v>1006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>
        <v>8.8</v>
      </c>
      <c r="O10" s="5">
        <v>3.9</v>
      </c>
      <c r="P10" s="5">
        <v>3.35</v>
      </c>
      <c r="Q10" s="5">
        <v>0.85</v>
      </c>
      <c r="R10" s="5"/>
      <c r="S10" s="5">
        <v>2.15</v>
      </c>
      <c r="T10" s="5">
        <v>8.9</v>
      </c>
      <c r="U10" s="5"/>
      <c r="V10" s="5"/>
      <c r="W10" s="5">
        <f t="shared" si="0"/>
        <v>27.95</v>
      </c>
    </row>
    <row r="11" spans="1:23">
      <c r="A11" s="3">
        <v>999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v>2.35</v>
      </c>
      <c r="N11" s="5">
        <v>8.6</v>
      </c>
      <c r="O11" s="5">
        <v>6.6</v>
      </c>
      <c r="P11" s="5">
        <v>8.6</v>
      </c>
      <c r="Q11" s="5"/>
      <c r="R11" s="5"/>
      <c r="S11" s="5">
        <v>4.55</v>
      </c>
      <c r="T11" s="5">
        <v>14.75</v>
      </c>
      <c r="U11" s="5">
        <v>9.2</v>
      </c>
      <c r="V11" s="5"/>
      <c r="W11" s="5">
        <f t="shared" si="0"/>
        <v>54.65</v>
      </c>
    </row>
    <row r="12" spans="1:23">
      <c r="A12" s="3">
        <v>1013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>
        <v>4.75</v>
      </c>
      <c r="N12" s="5">
        <v>13.65</v>
      </c>
      <c r="O12" s="5">
        <v>9.25</v>
      </c>
      <c r="P12" s="5">
        <f>19.65+20.1+17.1</f>
        <v>56.85</v>
      </c>
      <c r="Q12" s="5">
        <f>20.85+0.85</f>
        <v>21.7</v>
      </c>
      <c r="R12" s="5"/>
      <c r="S12" s="5">
        <v>2.05</v>
      </c>
      <c r="T12" s="5">
        <v>15.9</v>
      </c>
      <c r="U12" s="5">
        <v>17.5</v>
      </c>
      <c r="V12" s="5"/>
      <c r="W12" s="5">
        <f t="shared" si="0"/>
        <v>141.65</v>
      </c>
    </row>
    <row r="13" spans="1:23">
      <c r="A13" s="3">
        <v>1017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>
        <v>1.75</v>
      </c>
      <c r="O13" s="5">
        <v>2.5</v>
      </c>
      <c r="P13" s="5"/>
      <c r="Q13" s="5">
        <v>1.9</v>
      </c>
      <c r="R13" s="5"/>
      <c r="S13" s="5"/>
      <c r="T13" s="5">
        <v>7.1</v>
      </c>
      <c r="U13" s="5">
        <v>9.8</v>
      </c>
      <c r="V13" s="5"/>
      <c r="W13" s="5">
        <f t="shared" si="0"/>
        <v>23.05</v>
      </c>
    </row>
    <row r="14" spans="1:23">
      <c r="A14" s="3">
        <v>429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>
        <v>9.4</v>
      </c>
      <c r="P14" s="5">
        <v>2</v>
      </c>
      <c r="Q14" s="5">
        <v>2.25</v>
      </c>
      <c r="R14" s="5"/>
      <c r="S14" s="5"/>
      <c r="T14" s="5">
        <v>1.95</v>
      </c>
      <c r="U14" s="5">
        <v>2.85</v>
      </c>
      <c r="V14" s="5"/>
      <c r="W14" s="5">
        <f t="shared" si="0"/>
        <v>18.45</v>
      </c>
    </row>
    <row r="15" spans="1:23">
      <c r="A15" s="3">
        <v>1009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>
        <f>15.9+10.5</f>
        <v>26.4</v>
      </c>
      <c r="N15" s="5">
        <f>17.95+19.5+6.55</f>
        <v>44</v>
      </c>
      <c r="O15" s="5">
        <f>17.35+10.2</f>
        <v>27.55</v>
      </c>
      <c r="P15" s="5">
        <f>19.35+15.25+7.1</f>
        <v>41.7</v>
      </c>
      <c r="Q15" s="5">
        <v>20.9</v>
      </c>
      <c r="R15" s="5"/>
      <c r="S15" s="5">
        <v>16.85</v>
      </c>
      <c r="T15" s="5">
        <f>17.75+18.5</f>
        <v>36.25</v>
      </c>
      <c r="U15" s="5">
        <v>14.45</v>
      </c>
      <c r="V15" s="5"/>
      <c r="W15" s="5">
        <f t="shared" si="0"/>
        <v>228.1</v>
      </c>
    </row>
    <row r="16" spans="1:23">
      <c r="A16" s="3">
        <v>1791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>
        <v>6.25</v>
      </c>
      <c r="N16" s="5"/>
      <c r="O16" s="5">
        <v>10.15</v>
      </c>
      <c r="P16" s="5">
        <v>3.45</v>
      </c>
      <c r="Q16" s="5">
        <v>3.3</v>
      </c>
      <c r="R16" s="5"/>
      <c r="S16" s="5">
        <v>5.95</v>
      </c>
      <c r="T16" s="5">
        <v>6.7</v>
      </c>
      <c r="U16" s="5">
        <v>2.75</v>
      </c>
      <c r="V16" s="5"/>
      <c r="W16" s="5">
        <f t="shared" si="0"/>
        <v>38.55</v>
      </c>
    </row>
    <row r="17" spans="1:23">
      <c r="A17" s="3">
        <v>1036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>
        <f>18.95+6.9</f>
        <v>25.85</v>
      </c>
      <c r="O17" s="5">
        <f>18.55+7</f>
        <v>25.55</v>
      </c>
      <c r="P17" s="5"/>
      <c r="Q17" s="5"/>
      <c r="R17" s="5"/>
      <c r="S17" s="5"/>
      <c r="T17" s="5">
        <v>10.05</v>
      </c>
      <c r="U17" s="5"/>
      <c r="V17" s="5"/>
      <c r="W17" s="5">
        <f t="shared" si="0"/>
        <v>61.45</v>
      </c>
    </row>
    <row r="18" spans="1:23">
      <c r="A18" s="3">
        <v>354</v>
      </c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>
        <f>3.2+1.95</f>
        <v>5.15</v>
      </c>
      <c r="O18" s="5">
        <v>8.7</v>
      </c>
      <c r="P18" s="5">
        <v>14.4</v>
      </c>
      <c r="Q18" s="5">
        <v>6.3</v>
      </c>
      <c r="R18" s="5"/>
      <c r="S18" s="5">
        <v>2.2</v>
      </c>
      <c r="T18" s="5">
        <v>21.9</v>
      </c>
      <c r="U18" s="5">
        <v>8.3</v>
      </c>
      <c r="V18" s="5"/>
      <c r="W18" s="5">
        <f t="shared" si="0"/>
        <v>66.95</v>
      </c>
    </row>
    <row r="19" spans="1:23">
      <c r="A19" s="3">
        <v>342</v>
      </c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>
        <v>11.8</v>
      </c>
      <c r="Q19" s="5"/>
      <c r="R19" s="5"/>
      <c r="S19" s="5"/>
      <c r="T19" s="5">
        <v>4.1</v>
      </c>
      <c r="U19" s="5">
        <v>8.9</v>
      </c>
      <c r="V19" s="5"/>
      <c r="W19" s="5">
        <f t="shared" si="0"/>
        <v>24.8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144</v>
      </c>
      <c r="N349" s="6">
        <f t="shared" si="6"/>
        <v>322.2</v>
      </c>
      <c r="O349" s="6">
        <f t="shared" si="6"/>
        <v>345.4</v>
      </c>
      <c r="P349" s="6">
        <f t="shared" si="6"/>
        <v>467.65</v>
      </c>
      <c r="Q349" s="6">
        <f t="shared" si="6"/>
        <v>160.5</v>
      </c>
      <c r="R349" s="6">
        <f t="shared" si="6"/>
        <v>0</v>
      </c>
      <c r="S349" s="6">
        <f t="shared" si="6"/>
        <v>104.35</v>
      </c>
      <c r="T349" s="6">
        <f t="shared" si="6"/>
        <v>452.6</v>
      </c>
      <c r="U349" s="6">
        <f t="shared" si="6"/>
        <v>220.8</v>
      </c>
      <c r="V349" s="6">
        <f t="shared" si="6"/>
        <v>0</v>
      </c>
      <c r="W349" s="6">
        <f>SUM(W2:W348)</f>
        <v>2217.5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996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>
        <v>12.35</v>
      </c>
      <c r="O2" s="5">
        <v>4.3</v>
      </c>
      <c r="P2" s="5">
        <v>2.2</v>
      </c>
      <c r="Q2" s="5"/>
      <c r="R2" s="5"/>
      <c r="S2" s="5"/>
      <c r="T2" s="5"/>
      <c r="U2" s="5"/>
      <c r="V2" s="5"/>
      <c r="W2" s="5">
        <f t="shared" ref="W2:W67" si="0">SUM(C2:V2)</f>
        <v>18.85</v>
      </c>
    </row>
    <row r="3" spans="1:23">
      <c r="A3" s="3" t="s">
        <v>25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v>10</v>
      </c>
      <c r="N3" s="5">
        <f>21+9.45</f>
        <v>30.45</v>
      </c>
      <c r="O3" s="5">
        <f>19.15+13</f>
        <v>32.15</v>
      </c>
      <c r="P3" s="5">
        <v>22.75</v>
      </c>
      <c r="Q3" s="5">
        <v>3</v>
      </c>
      <c r="R3" s="5"/>
      <c r="S3" s="5"/>
      <c r="T3" s="5">
        <v>13.8</v>
      </c>
      <c r="U3" s="5">
        <v>1.35</v>
      </c>
      <c r="V3" s="5"/>
      <c r="W3" s="5">
        <f t="shared" si="0"/>
        <v>113.5</v>
      </c>
    </row>
    <row r="4" spans="1:23">
      <c r="A4" s="3">
        <v>451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>
        <f>15.4+2.05</f>
        <v>17.45</v>
      </c>
      <c r="N4" s="5">
        <f>17.4+14.9</f>
        <v>32.3</v>
      </c>
      <c r="O4" s="5">
        <f>18.7+11.7</f>
        <v>30.4</v>
      </c>
      <c r="P4" s="5">
        <f>16.55+14.65+5.95</f>
        <v>37.15</v>
      </c>
      <c r="Q4" s="5">
        <v>21.75</v>
      </c>
      <c r="R4" s="5"/>
      <c r="S4" s="5">
        <v>16.65</v>
      </c>
      <c r="T4" s="5">
        <f>18.4+24.4+14.25+8.75</f>
        <v>65.8</v>
      </c>
      <c r="U4" s="5">
        <f>16.85+17.1+8.7</f>
        <v>42.65</v>
      </c>
      <c r="V4" s="5"/>
      <c r="W4" s="5">
        <f t="shared" si="0"/>
        <v>264.15</v>
      </c>
    </row>
    <row r="5" spans="1:23">
      <c r="A5" s="3">
        <v>260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>
        <f>15.95+18.15+19.25+10.35</f>
        <v>63.7</v>
      </c>
      <c r="O5" s="5">
        <f>14.75+15.85+10.7+7.15</f>
        <v>48.45</v>
      </c>
      <c r="P5" s="5">
        <v>15.55</v>
      </c>
      <c r="Q5" s="5">
        <v>19.55</v>
      </c>
      <c r="R5" s="5"/>
      <c r="S5" s="5">
        <v>4.35</v>
      </c>
      <c r="T5" s="5">
        <f>15.2+16.25</f>
        <v>31.45</v>
      </c>
      <c r="U5" s="5">
        <f>16.15+7+19.55</f>
        <v>42.7</v>
      </c>
      <c r="V5" s="5"/>
      <c r="W5" s="5">
        <f t="shared" si="0"/>
        <v>225.75</v>
      </c>
    </row>
    <row r="6" spans="1:23">
      <c r="A6" s="3">
        <v>1013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v>14.55</v>
      </c>
      <c r="N6" s="5">
        <f>16.2+11.45</f>
        <v>27.65</v>
      </c>
      <c r="O6" s="5">
        <f>15.45+18.55</f>
        <v>34</v>
      </c>
      <c r="P6" s="5">
        <f>17.15+12.5+12.35</f>
        <v>42</v>
      </c>
      <c r="Q6" s="5">
        <v>14.5</v>
      </c>
      <c r="R6" s="5"/>
      <c r="S6" s="5">
        <v>2.45</v>
      </c>
      <c r="T6" s="5">
        <f>21.1+10</f>
        <v>31.1</v>
      </c>
      <c r="U6" s="5">
        <v>14.35</v>
      </c>
      <c r="V6" s="5"/>
      <c r="W6" s="5">
        <f t="shared" si="0"/>
        <v>180.6</v>
      </c>
    </row>
    <row r="7" spans="1:23">
      <c r="A7" s="3">
        <v>1009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v>9.55</v>
      </c>
      <c r="N7" s="5">
        <f>15.9+9.05</f>
        <v>24.95</v>
      </c>
      <c r="O7" s="5">
        <v>14.7</v>
      </c>
      <c r="P7" s="5">
        <f>17.05+1.2+6.4</f>
        <v>24.65</v>
      </c>
      <c r="Q7" s="5">
        <v>11.15</v>
      </c>
      <c r="R7" s="5"/>
      <c r="S7" s="5">
        <v>2.45</v>
      </c>
      <c r="T7" s="5">
        <v>13.7</v>
      </c>
      <c r="U7" s="5">
        <f>10.7+0.85</f>
        <v>11.55</v>
      </c>
      <c r="V7" s="5"/>
      <c r="W7" s="5">
        <f t="shared" si="0"/>
        <v>112.7</v>
      </c>
    </row>
    <row r="8" spans="1:23">
      <c r="A8" s="3">
        <v>1005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>
        <v>10.2</v>
      </c>
      <c r="U8" s="5">
        <v>7.7</v>
      </c>
      <c r="V8" s="5"/>
      <c r="W8" s="5">
        <f t="shared" si="0"/>
        <v>17.9</v>
      </c>
    </row>
    <row r="9" spans="1:23">
      <c r="A9" s="3">
        <v>999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v>2.1</v>
      </c>
      <c r="N9" s="5">
        <v>19.4</v>
      </c>
      <c r="O9" s="5">
        <v>12.2</v>
      </c>
      <c r="P9" s="5">
        <v>12.75</v>
      </c>
      <c r="Q9" s="5">
        <v>6.05</v>
      </c>
      <c r="R9" s="5"/>
      <c r="S9" s="5">
        <v>2.35</v>
      </c>
      <c r="T9" s="5">
        <v>12.85</v>
      </c>
      <c r="U9" s="5">
        <v>2.6</v>
      </c>
      <c r="V9" s="5"/>
      <c r="W9" s="5">
        <f t="shared" si="0"/>
        <v>70.3</v>
      </c>
    </row>
    <row r="10" spans="1:23">
      <c r="A10" s="3">
        <v>1791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>
        <v>10</v>
      </c>
      <c r="N10" s="5">
        <v>13.75</v>
      </c>
      <c r="O10" s="5"/>
      <c r="P10" s="5"/>
      <c r="Q10" s="5"/>
      <c r="R10" s="5"/>
      <c r="S10" s="5"/>
      <c r="T10" s="5">
        <v>4.3</v>
      </c>
      <c r="U10" s="5"/>
      <c r="V10" s="5"/>
      <c r="W10" s="5">
        <f t="shared" si="0"/>
        <v>28.05</v>
      </c>
    </row>
    <row r="11" spans="1:23">
      <c r="A11" s="3">
        <v>342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>
        <f>16.1+9.65</f>
        <v>25.75</v>
      </c>
      <c r="P11" s="5"/>
      <c r="Q11" s="5"/>
      <c r="R11" s="5"/>
      <c r="S11" s="5"/>
      <c r="T11" s="5">
        <v>1.5</v>
      </c>
      <c r="U11" s="5"/>
      <c r="V11" s="5"/>
      <c r="W11" s="5">
        <f t="shared" si="0"/>
        <v>27.25</v>
      </c>
    </row>
    <row r="12" spans="1:23">
      <c r="A12" s="3">
        <v>354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>
        <v>6.8</v>
      </c>
      <c r="N12" s="5">
        <f>16.25+1.75</f>
        <v>18</v>
      </c>
      <c r="O12" s="5">
        <f>16.15+8.95+2.75</f>
        <v>27.85</v>
      </c>
      <c r="P12" s="5"/>
      <c r="Q12" s="5"/>
      <c r="R12" s="5"/>
      <c r="S12" s="5">
        <v>4.55</v>
      </c>
      <c r="T12" s="5">
        <v>7.2</v>
      </c>
      <c r="U12" s="5"/>
      <c r="V12" s="5"/>
      <c r="W12" s="5">
        <f t="shared" si="0"/>
        <v>64.4</v>
      </c>
    </row>
    <row r="13" spans="1:23">
      <c r="A13" s="3">
        <v>309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>
        <f>15.05+8.35</f>
        <v>23.4</v>
      </c>
      <c r="O13" s="5">
        <f>13.4+2.85</f>
        <v>16.25</v>
      </c>
      <c r="P13" s="5">
        <v>10.65</v>
      </c>
      <c r="Q13" s="5">
        <v>4.45</v>
      </c>
      <c r="R13" s="5"/>
      <c r="S13" s="5">
        <v>4.6</v>
      </c>
      <c r="T13" s="5">
        <f>20.35+20.2+18.7+26.35</f>
        <v>85.6</v>
      </c>
      <c r="U13" s="5">
        <f>21.1+3.25</f>
        <v>24.35</v>
      </c>
      <c r="V13" s="5"/>
      <c r="W13" s="5">
        <f t="shared" si="0"/>
        <v>169.3</v>
      </c>
    </row>
    <row r="14" spans="1:23">
      <c r="A14" s="3">
        <v>2425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>
        <v>18.3</v>
      </c>
      <c r="U14" s="5">
        <v>5.1</v>
      </c>
      <c r="V14" s="5"/>
      <c r="W14" s="5">
        <f t="shared" si="0"/>
        <v>23.4</v>
      </c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si="0"/>
        <v>0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si="0"/>
        <v>0</v>
      </c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f t="shared" si="0"/>
        <v>0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70.45</v>
      </c>
      <c r="N349" s="6">
        <f t="shared" si="6"/>
        <v>265.95</v>
      </c>
      <c r="O349" s="6">
        <f t="shared" si="6"/>
        <v>246.05</v>
      </c>
      <c r="P349" s="6">
        <f t="shared" si="6"/>
        <v>167.7</v>
      </c>
      <c r="Q349" s="6">
        <f t="shared" si="6"/>
        <v>80.45</v>
      </c>
      <c r="R349" s="6">
        <f t="shared" si="6"/>
        <v>0</v>
      </c>
      <c r="S349" s="6">
        <f t="shared" si="6"/>
        <v>37.4</v>
      </c>
      <c r="T349" s="6">
        <f t="shared" si="6"/>
        <v>295.8</v>
      </c>
      <c r="U349" s="6">
        <f t="shared" si="6"/>
        <v>152.35</v>
      </c>
      <c r="V349" s="6">
        <f t="shared" si="6"/>
        <v>0</v>
      </c>
      <c r="W349" s="6">
        <f>SUM(W2:W348)</f>
        <v>1316.15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1031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>
        <v>2.19</v>
      </c>
      <c r="T2" s="5"/>
      <c r="U2" s="5"/>
      <c r="V2" s="5"/>
      <c r="W2" s="5">
        <f t="shared" ref="W2:W67" si="0">SUM(C2:V2)</f>
        <v>2.19</v>
      </c>
    </row>
    <row r="3" spans="1:23">
      <c r="A3" s="3">
        <v>996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>
        <v>8.35</v>
      </c>
      <c r="O3" s="5"/>
      <c r="P3" s="5"/>
      <c r="Q3" s="5"/>
      <c r="R3" s="5"/>
      <c r="S3" s="5"/>
      <c r="T3" s="5"/>
      <c r="U3" s="5"/>
      <c r="V3" s="5"/>
      <c r="W3" s="5">
        <f t="shared" si="0"/>
        <v>8.35</v>
      </c>
    </row>
    <row r="4" spans="1:23">
      <c r="A4" s="3">
        <v>1163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>
        <v>3.16</v>
      </c>
      <c r="O4" s="5">
        <v>4.1</v>
      </c>
      <c r="P4" s="5">
        <v>1.99</v>
      </c>
      <c r="Q4" s="5"/>
      <c r="R4" s="5"/>
      <c r="S4" s="5"/>
      <c r="T4" s="5"/>
      <c r="U4" s="5"/>
      <c r="V4" s="5"/>
      <c r="W4" s="5">
        <f t="shared" si="0"/>
        <v>9.25</v>
      </c>
    </row>
    <row r="5" spans="1:23">
      <c r="A5" s="3">
        <v>1038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>
        <f>15.67+6.97</f>
        <v>22.64</v>
      </c>
      <c r="N5" s="5">
        <f>14.28+19.88</f>
        <v>34.16</v>
      </c>
      <c r="O5" s="5">
        <f>16.53+11.97</f>
        <v>28.5</v>
      </c>
      <c r="P5" s="5">
        <f>17.99+16.9+2.1</f>
        <v>36.99</v>
      </c>
      <c r="Q5" s="5">
        <f>15.6+13.99</f>
        <v>29.59</v>
      </c>
      <c r="R5" s="5"/>
      <c r="S5" s="5"/>
      <c r="T5" s="5"/>
      <c r="U5" s="5">
        <v>4.32</v>
      </c>
      <c r="V5" s="5"/>
      <c r="W5" s="5">
        <f t="shared" si="0"/>
        <v>156.2</v>
      </c>
    </row>
    <row r="6" spans="1:23">
      <c r="A6" s="3">
        <v>361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v>4.49</v>
      </c>
      <c r="N6" s="5">
        <v>4.77</v>
      </c>
      <c r="O6" s="5">
        <v>2.82</v>
      </c>
      <c r="P6" s="5">
        <v>2.33</v>
      </c>
      <c r="Q6" s="5"/>
      <c r="R6" s="5"/>
      <c r="S6" s="5">
        <v>2.5</v>
      </c>
      <c r="T6" s="5">
        <v>3.51</v>
      </c>
      <c r="U6" s="5">
        <v>1.49</v>
      </c>
      <c r="V6" s="5"/>
      <c r="W6" s="5">
        <f t="shared" si="0"/>
        <v>21.91</v>
      </c>
    </row>
    <row r="7" spans="1:23">
      <c r="A7" s="3">
        <v>2475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>
        <v>6.51</v>
      </c>
      <c r="O7" s="5">
        <v>1.3</v>
      </c>
      <c r="P7" s="5">
        <v>3.59</v>
      </c>
      <c r="Q7" s="5">
        <v>3.78</v>
      </c>
      <c r="R7" s="5"/>
      <c r="S7" s="5"/>
      <c r="T7" s="5">
        <v>1.21</v>
      </c>
      <c r="U7" s="5">
        <v>0.79</v>
      </c>
      <c r="V7" s="5"/>
      <c r="W7" s="5">
        <f t="shared" si="0"/>
        <v>17.18</v>
      </c>
    </row>
    <row r="8" spans="1:23">
      <c r="A8" s="3">
        <v>297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v>2.14</v>
      </c>
      <c r="N8" s="5">
        <v>12.12</v>
      </c>
      <c r="O8" s="5">
        <v>3.5</v>
      </c>
      <c r="P8" s="5">
        <v>3.09</v>
      </c>
      <c r="Q8" s="5"/>
      <c r="R8" s="5"/>
      <c r="S8" s="5">
        <v>3.43</v>
      </c>
      <c r="T8" s="5"/>
      <c r="U8" s="5"/>
      <c r="V8" s="5"/>
      <c r="W8" s="5">
        <f t="shared" si="0"/>
        <v>24.28</v>
      </c>
    </row>
    <row r="9" spans="1:23">
      <c r="A9" s="3">
        <v>1009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v>14.42</v>
      </c>
      <c r="N9" s="5">
        <f>19.32+17+14.94+4.91</f>
        <v>56.17</v>
      </c>
      <c r="O9" s="5">
        <f>16.3+21.2+9.93</f>
        <v>47.43</v>
      </c>
      <c r="P9" s="5">
        <f>13.84+21.17+15.34</f>
        <v>50.35</v>
      </c>
      <c r="Q9" s="5">
        <f>19.58+9.92</f>
        <v>29.5</v>
      </c>
      <c r="R9" s="5"/>
      <c r="S9" s="5">
        <v>9.8</v>
      </c>
      <c r="T9" s="5">
        <v>6.99</v>
      </c>
      <c r="U9" s="5">
        <f>15.13+6.32</f>
        <v>21.45</v>
      </c>
      <c r="V9" s="5"/>
      <c r="W9" s="5">
        <f t="shared" si="0"/>
        <v>236.11</v>
      </c>
    </row>
    <row r="10" spans="1:23">
      <c r="A10" s="3">
        <v>1651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>
        <v>9.66</v>
      </c>
      <c r="N10" s="5">
        <v>11.55</v>
      </c>
      <c r="O10" s="5">
        <v>23.04</v>
      </c>
      <c r="P10" s="5">
        <f>17.5+12.74</f>
        <v>30.24</v>
      </c>
      <c r="Q10" s="5">
        <v>24.87</v>
      </c>
      <c r="R10" s="5"/>
      <c r="S10" s="5"/>
      <c r="T10" s="5">
        <v>7.16</v>
      </c>
      <c r="U10" s="5">
        <v>6.95</v>
      </c>
      <c r="V10" s="5"/>
      <c r="W10" s="5">
        <f t="shared" si="0"/>
        <v>113.47</v>
      </c>
    </row>
    <row r="11" spans="1:23">
      <c r="A11" s="3">
        <v>904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>
        <v>3.78</v>
      </c>
      <c r="O11" s="5">
        <v>1.36</v>
      </c>
      <c r="P11" s="5"/>
      <c r="Q11" s="5">
        <v>12.9</v>
      </c>
      <c r="R11" s="5"/>
      <c r="S11" s="5">
        <v>2.02</v>
      </c>
      <c r="T11" s="5"/>
      <c r="U11" s="5">
        <v>8.26</v>
      </c>
      <c r="V11" s="5"/>
      <c r="W11" s="5">
        <f t="shared" si="0"/>
        <v>28.32</v>
      </c>
    </row>
    <row r="12" spans="1:23">
      <c r="A12" s="3">
        <v>260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>
        <v>4.57</v>
      </c>
      <c r="P12" s="5">
        <v>7.07</v>
      </c>
      <c r="Q12" s="5"/>
      <c r="R12" s="5"/>
      <c r="S12" s="5"/>
      <c r="T12" s="5">
        <v>8.04</v>
      </c>
      <c r="U12" s="5">
        <v>5.46</v>
      </c>
      <c r="V12" s="5"/>
      <c r="W12" s="5">
        <f t="shared" si="0"/>
        <v>25.14</v>
      </c>
    </row>
    <row r="13" spans="1:23">
      <c r="A13" s="3">
        <v>4001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>
        <v>16.32</v>
      </c>
      <c r="O13" s="5">
        <f>17.59+7.36</f>
        <v>24.95</v>
      </c>
      <c r="P13" s="5">
        <f>14.5+15.01</f>
        <v>29.51</v>
      </c>
      <c r="Q13" s="5">
        <f>13.92+4.05</f>
        <v>17.97</v>
      </c>
      <c r="R13" s="5"/>
      <c r="S13" s="5">
        <f>8.22+2.46</f>
        <v>10.68</v>
      </c>
      <c r="T13" s="5">
        <f>16.28+1.67</f>
        <v>17.95</v>
      </c>
      <c r="U13" s="5">
        <f>25.3+7.74</f>
        <v>33.04</v>
      </c>
      <c r="V13" s="5"/>
      <c r="W13" s="5">
        <f t="shared" si="0"/>
        <v>150.42</v>
      </c>
    </row>
    <row r="14" spans="1:23">
      <c r="A14" s="3">
        <v>2161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>
        <v>1.82</v>
      </c>
      <c r="O14" s="5">
        <v>2.97</v>
      </c>
      <c r="P14" s="5">
        <v>4.72</v>
      </c>
      <c r="Q14" s="5">
        <v>2.69</v>
      </c>
      <c r="R14" s="5"/>
      <c r="S14" s="5"/>
      <c r="T14" s="5"/>
      <c r="U14" s="5">
        <v>1.37</v>
      </c>
      <c r="V14" s="5"/>
      <c r="W14" s="5">
        <f t="shared" si="0"/>
        <v>13.57</v>
      </c>
    </row>
    <row r="15" spans="1:23">
      <c r="A15" s="3">
        <v>881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>
        <v>12.37</v>
      </c>
      <c r="N15" s="5">
        <f>21.1+11.2</f>
        <v>32.3</v>
      </c>
      <c r="O15" s="5">
        <f>17.79+12.5</f>
        <v>30.29</v>
      </c>
      <c r="P15" s="5">
        <f>14.31+17.17+11.61</f>
        <v>43.09</v>
      </c>
      <c r="Q15" s="5">
        <f>17.55+12.83+7.23</f>
        <v>37.61</v>
      </c>
      <c r="R15" s="5"/>
      <c r="S15" s="5">
        <v>5.04</v>
      </c>
      <c r="T15" s="5">
        <v>1.83</v>
      </c>
      <c r="U15" s="5">
        <v>5.76</v>
      </c>
      <c r="V15" s="5"/>
      <c r="W15" s="5">
        <f t="shared" si="0"/>
        <v>168.29</v>
      </c>
    </row>
    <row r="16" spans="1:23">
      <c r="A16" s="3">
        <v>478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>
        <v>1.56</v>
      </c>
      <c r="O16" s="5">
        <v>1.31</v>
      </c>
      <c r="P16" s="5">
        <v>3.05</v>
      </c>
      <c r="Q16" s="5"/>
      <c r="R16" s="5"/>
      <c r="S16" s="5"/>
      <c r="T16" s="5"/>
      <c r="U16" s="5">
        <v>1.83</v>
      </c>
      <c r="V16" s="5"/>
      <c r="W16" s="5">
        <f t="shared" si="0"/>
        <v>7.75</v>
      </c>
    </row>
    <row r="17" spans="1:23">
      <c r="A17" s="3">
        <v>309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>
        <v>3.67</v>
      </c>
      <c r="O17" s="5">
        <v>7.59</v>
      </c>
      <c r="P17" s="5">
        <v>14.62</v>
      </c>
      <c r="Q17" s="5">
        <v>15.35</v>
      </c>
      <c r="R17" s="5"/>
      <c r="S17" s="5"/>
      <c r="T17" s="5">
        <v>19.16</v>
      </c>
      <c r="U17" s="5">
        <v>8.66</v>
      </c>
      <c r="V17" s="5"/>
      <c r="W17" s="5">
        <f t="shared" si="0"/>
        <v>69.05</v>
      </c>
    </row>
    <row r="18" spans="1:23">
      <c r="A18" s="3">
        <v>881</v>
      </c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>
        <v>2.46</v>
      </c>
      <c r="N18" s="5">
        <v>5.16</v>
      </c>
      <c r="O18" s="5">
        <v>2.64</v>
      </c>
      <c r="P18" s="5">
        <v>5.75</v>
      </c>
      <c r="Q18" s="5"/>
      <c r="R18" s="5"/>
      <c r="S18" s="5"/>
      <c r="T18" s="5">
        <v>6.27</v>
      </c>
      <c r="U18" s="5">
        <v>3.45</v>
      </c>
      <c r="V18" s="5"/>
      <c r="W18" s="5">
        <f t="shared" si="0"/>
        <v>25.73</v>
      </c>
    </row>
    <row r="19" spans="1:23">
      <c r="A19" s="3">
        <v>1795</v>
      </c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>
        <v>3.57</v>
      </c>
      <c r="O19" s="5"/>
      <c r="P19" s="5">
        <v>3.66</v>
      </c>
      <c r="Q19" s="5">
        <v>0.94</v>
      </c>
      <c r="R19" s="5"/>
      <c r="S19" s="5"/>
      <c r="T19" s="5"/>
      <c r="U19" s="5"/>
      <c r="V19" s="5"/>
      <c r="W19" s="5">
        <f t="shared" si="0"/>
        <v>8.17</v>
      </c>
    </row>
    <row r="20" spans="1:23">
      <c r="A20" s="3">
        <v>444</v>
      </c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>
        <v>7.28</v>
      </c>
      <c r="O20" s="5">
        <v>2.74</v>
      </c>
      <c r="P20" s="5">
        <f>0.99+10.28</f>
        <v>11.27</v>
      </c>
      <c r="Q20" s="5"/>
      <c r="R20" s="5"/>
      <c r="S20" s="5">
        <v>4.51</v>
      </c>
      <c r="T20" s="5">
        <v>10.38</v>
      </c>
      <c r="U20" s="5">
        <v>8.9</v>
      </c>
      <c r="V20" s="5"/>
      <c r="W20" s="5">
        <f t="shared" si="0"/>
        <v>45.08</v>
      </c>
    </row>
    <row r="21" spans="1:23">
      <c r="A21" s="3">
        <v>1791</v>
      </c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>
        <v>1.92</v>
      </c>
      <c r="O21" s="5">
        <f>12.72+7.92</f>
        <v>20.64</v>
      </c>
      <c r="P21" s="5">
        <f>6.78+6.45</f>
        <v>13.23</v>
      </c>
      <c r="Q21" s="5">
        <f>5.65+5.03</f>
        <v>10.68</v>
      </c>
      <c r="R21" s="5"/>
      <c r="S21" s="5">
        <v>3.03</v>
      </c>
      <c r="T21" s="5">
        <f>15.42+4.34</f>
        <v>19.76</v>
      </c>
      <c r="U21" s="5">
        <f>23.68+11.7</f>
        <v>35.38</v>
      </c>
      <c r="V21" s="5"/>
      <c r="W21" s="5">
        <f t="shared" si="0"/>
        <v>104.64</v>
      </c>
    </row>
    <row r="22" spans="1:23">
      <c r="A22" s="3">
        <v>1651</v>
      </c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>
        <v>1.83</v>
      </c>
      <c r="O22" s="5">
        <v>3.1</v>
      </c>
      <c r="P22" s="5">
        <v>8.88</v>
      </c>
      <c r="Q22" s="5">
        <v>9.94</v>
      </c>
      <c r="R22" s="5"/>
      <c r="S22" s="5"/>
      <c r="T22" s="5">
        <v>1.38</v>
      </c>
      <c r="U22" s="5">
        <v>2.44</v>
      </c>
      <c r="V22" s="5"/>
      <c r="W22" s="5">
        <f t="shared" si="0"/>
        <v>27.57</v>
      </c>
    </row>
    <row r="23" spans="1:23">
      <c r="A23" s="3">
        <v>881</v>
      </c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>
        <v>2.1</v>
      </c>
      <c r="N23" s="5">
        <v>8.68</v>
      </c>
      <c r="O23" s="5">
        <v>6.16</v>
      </c>
      <c r="P23" s="5">
        <v>2.35</v>
      </c>
      <c r="Q23" s="5">
        <v>0.93</v>
      </c>
      <c r="R23" s="5"/>
      <c r="S23" s="5"/>
      <c r="T23" s="5">
        <v>5.74</v>
      </c>
      <c r="U23" s="5">
        <v>1.44</v>
      </c>
      <c r="V23" s="5"/>
      <c r="W23" s="5">
        <f t="shared" si="0"/>
        <v>27.4</v>
      </c>
    </row>
    <row r="24" spans="1:23">
      <c r="A24" s="3">
        <v>368</v>
      </c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>
        <v>1.77</v>
      </c>
      <c r="O24" s="5">
        <v>7.48</v>
      </c>
      <c r="P24" s="5">
        <v>8.69</v>
      </c>
      <c r="Q24" s="5">
        <v>8.83</v>
      </c>
      <c r="R24" s="5"/>
      <c r="S24" s="5">
        <v>2.03</v>
      </c>
      <c r="T24" s="5">
        <v>12.56</v>
      </c>
      <c r="U24" s="5">
        <v>16.85</v>
      </c>
      <c r="V24" s="5"/>
      <c r="W24" s="5">
        <f t="shared" si="0"/>
        <v>58.21</v>
      </c>
    </row>
    <row r="25" spans="1:23">
      <c r="A25" s="3">
        <v>4001</v>
      </c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>
        <v>1.84</v>
      </c>
      <c r="O25" s="5"/>
      <c r="P25" s="5"/>
      <c r="Q25" s="5"/>
      <c r="R25" s="5"/>
      <c r="S25" s="5"/>
      <c r="T25" s="5">
        <v>19.36</v>
      </c>
      <c r="U25" s="5">
        <v>5.08</v>
      </c>
      <c r="V25" s="5"/>
      <c r="W25" s="5">
        <f t="shared" si="0"/>
        <v>26.28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70.28</v>
      </c>
      <c r="N349" s="6">
        <f t="shared" si="6"/>
        <v>228.29</v>
      </c>
      <c r="O349" s="6">
        <f t="shared" si="6"/>
        <v>226.49</v>
      </c>
      <c r="P349" s="6">
        <f t="shared" si="6"/>
        <v>284.47</v>
      </c>
      <c r="Q349" s="6">
        <f t="shared" si="6"/>
        <v>205.58</v>
      </c>
      <c r="R349" s="6">
        <f t="shared" si="6"/>
        <v>0</v>
      </c>
      <c r="S349" s="6">
        <f t="shared" si="6"/>
        <v>45.23</v>
      </c>
      <c r="T349" s="6">
        <f t="shared" si="6"/>
        <v>141.3</v>
      </c>
      <c r="U349" s="6">
        <f t="shared" si="6"/>
        <v>172.92</v>
      </c>
      <c r="V349" s="6">
        <f t="shared" si="6"/>
        <v>0</v>
      </c>
      <c r="W349" s="6">
        <f>SUM(W2:W348)</f>
        <v>1374.56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309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>
        <v>9</v>
      </c>
      <c r="N2" s="5">
        <f>18.85+19.3+16.7+21.45+5.1</f>
        <v>81.4</v>
      </c>
      <c r="O2" s="5">
        <f>16.05+23.8+18.45+17.1+24.45+23.15</f>
        <v>123</v>
      </c>
      <c r="P2" s="5">
        <f>7.25+23.7+20.25+22.55+19.4+28.35+9.4+23.75+20.7</f>
        <v>175.35</v>
      </c>
      <c r="Q2" s="5">
        <f>20.7+26.5+22.7+7.3+18.6</f>
        <v>95.8</v>
      </c>
      <c r="R2" s="5"/>
      <c r="S2" s="5">
        <v>17.9</v>
      </c>
      <c r="T2" s="5">
        <f>26.15+17.2+29.75+5.4</f>
        <v>78.5</v>
      </c>
      <c r="U2" s="5">
        <f>24.35+28.35+17.2</f>
        <v>69.9</v>
      </c>
      <c r="V2" s="5"/>
      <c r="W2" s="5">
        <f t="shared" ref="W2:W67" si="0">SUM(C2:V2)</f>
        <v>650.85</v>
      </c>
    </row>
    <row r="3" spans="1:23">
      <c r="A3" s="3">
        <v>2161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v>2.85</v>
      </c>
      <c r="N3" s="5">
        <v>1.8</v>
      </c>
      <c r="O3" s="5">
        <v>3.05</v>
      </c>
      <c r="P3" s="5">
        <v>10.1</v>
      </c>
      <c r="Q3" s="5">
        <v>5.2</v>
      </c>
      <c r="R3" s="5"/>
      <c r="S3" s="5"/>
      <c r="T3" s="5">
        <v>1.3</v>
      </c>
      <c r="U3" s="5">
        <v>1.35</v>
      </c>
      <c r="V3" s="5"/>
      <c r="W3" s="5">
        <f t="shared" si="0"/>
        <v>25.65</v>
      </c>
    </row>
    <row r="4" spans="1:23">
      <c r="A4" s="3">
        <v>996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>
        <v>5.2</v>
      </c>
      <c r="O4" s="5">
        <v>7.4</v>
      </c>
      <c r="P4" s="5">
        <v>1.2</v>
      </c>
      <c r="Q4" s="5"/>
      <c r="R4" s="5"/>
      <c r="S4" s="5"/>
      <c r="T4" s="5">
        <v>1.55</v>
      </c>
      <c r="U4" s="5"/>
      <c r="V4" s="5"/>
      <c r="W4" s="5">
        <f t="shared" si="0"/>
        <v>15.35</v>
      </c>
    </row>
    <row r="5" spans="1:23">
      <c r="A5" s="3">
        <v>2198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>
        <v>3.15</v>
      </c>
      <c r="Q5" s="5">
        <v>3.45</v>
      </c>
      <c r="R5" s="5"/>
      <c r="S5" s="5"/>
      <c r="T5" s="5"/>
      <c r="U5" s="5"/>
      <c r="V5" s="5"/>
      <c r="W5" s="5">
        <f t="shared" si="0"/>
        <v>6.6</v>
      </c>
    </row>
    <row r="6" spans="1:23">
      <c r="A6" s="3">
        <v>2425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>
        <v>1.8</v>
      </c>
      <c r="O6" s="5">
        <v>8.25</v>
      </c>
      <c r="P6" s="5">
        <v>3.65</v>
      </c>
      <c r="Q6" s="5">
        <v>1.7</v>
      </c>
      <c r="R6" s="5"/>
      <c r="S6" s="5">
        <v>3</v>
      </c>
      <c r="T6" s="5">
        <v>1.4</v>
      </c>
      <c r="U6" s="5">
        <v>3</v>
      </c>
      <c r="V6" s="5"/>
      <c r="W6" s="5">
        <f t="shared" si="0"/>
        <v>22.8</v>
      </c>
    </row>
    <row r="7" spans="1:23">
      <c r="A7" s="3">
        <v>260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>
        <f>17+11.75</f>
        <v>28.75</v>
      </c>
      <c r="N7" s="5">
        <f>22.7+13.95+8.4</f>
        <v>45.05</v>
      </c>
      <c r="O7" s="5">
        <f>19.2+21.75+14.75+22.45</f>
        <v>78.15</v>
      </c>
      <c r="P7" s="5">
        <f>22.1+28.2+21+12.6+19</f>
        <v>102.9</v>
      </c>
      <c r="Q7" s="5">
        <f>17.05+10.65</f>
        <v>27.7</v>
      </c>
      <c r="R7" s="5"/>
      <c r="S7" s="5">
        <v>12.25</v>
      </c>
      <c r="T7" s="5">
        <f>15.55+27+13.95</f>
        <v>56.5</v>
      </c>
      <c r="U7" s="5">
        <f>21.05+20.95+4.9</f>
        <v>46.9</v>
      </c>
      <c r="V7" s="5"/>
      <c r="W7" s="5">
        <f t="shared" si="0"/>
        <v>398.2</v>
      </c>
    </row>
    <row r="8" spans="1:23">
      <c r="A8" s="3">
        <v>451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>
        <f>18.25+7.25</f>
        <v>25.5</v>
      </c>
      <c r="N8" s="5">
        <f>16.15+20.8+7.8</f>
        <v>44.75</v>
      </c>
      <c r="O8" s="5">
        <f>16.05+15.25+13.2</f>
        <v>44.5</v>
      </c>
      <c r="P8" s="5">
        <f>18.05+14.25+17.3</f>
        <v>49.6</v>
      </c>
      <c r="Q8" s="5">
        <f>14.6+12.7</f>
        <v>27.3</v>
      </c>
      <c r="R8" s="5"/>
      <c r="S8" s="5">
        <v>2.1</v>
      </c>
      <c r="T8" s="5">
        <v>7.35</v>
      </c>
      <c r="U8" s="5">
        <v>18.55</v>
      </c>
      <c r="V8" s="5"/>
      <c r="W8" s="5">
        <f t="shared" si="0"/>
        <v>219.65</v>
      </c>
    </row>
    <row r="9" spans="1:23">
      <c r="A9" s="3">
        <v>1009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>
        <v>18.8</v>
      </c>
      <c r="N9" s="5">
        <f>18.95+11.95</f>
        <v>30.9</v>
      </c>
      <c r="O9" s="5">
        <f>12.85+13.65+2.65+1</f>
        <v>30.15</v>
      </c>
      <c r="P9" s="5">
        <f>17.7+12.2</f>
        <v>29.9</v>
      </c>
      <c r="Q9" s="5">
        <v>17.5</v>
      </c>
      <c r="R9" s="5"/>
      <c r="S9" s="5">
        <v>4.7</v>
      </c>
      <c r="T9" s="5">
        <f>8.65+10.15</f>
        <v>18.8</v>
      </c>
      <c r="U9" s="5">
        <f>19.45+2.5</f>
        <v>21.95</v>
      </c>
      <c r="V9" s="5"/>
      <c r="W9" s="5">
        <f t="shared" si="0"/>
        <v>172.7</v>
      </c>
    </row>
    <row r="10" spans="1:23">
      <c r="A10" s="3">
        <v>2167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>
        <v>4.75</v>
      </c>
      <c r="N10" s="5">
        <f>12.85+8.5</f>
        <v>21.35</v>
      </c>
      <c r="O10" s="5">
        <f>15.05+15.45+15.15</f>
        <v>45.65</v>
      </c>
      <c r="P10" s="5">
        <f>18.05+19.9+15.9+12.55</f>
        <v>66.4</v>
      </c>
      <c r="Q10" s="5">
        <v>8.25</v>
      </c>
      <c r="R10" s="5"/>
      <c r="S10" s="5">
        <v>6.4</v>
      </c>
      <c r="T10" s="5">
        <f>17.35+15.25+5.6</f>
        <v>38.2</v>
      </c>
      <c r="U10" s="5">
        <v>7</v>
      </c>
      <c r="V10" s="5"/>
      <c r="W10" s="5">
        <f t="shared" si="0"/>
        <v>198</v>
      </c>
    </row>
    <row r="11" spans="1:23">
      <c r="A11" s="3">
        <v>1013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>
        <f>18.7+12.7</f>
        <v>31.4</v>
      </c>
      <c r="O11" s="5">
        <f>16+11.6</f>
        <v>27.6</v>
      </c>
      <c r="P11" s="5">
        <f>24.2+20.05</f>
        <v>44.25</v>
      </c>
      <c r="Q11" s="5">
        <v>19.5</v>
      </c>
      <c r="R11" s="5"/>
      <c r="S11" s="5">
        <v>2.45</v>
      </c>
      <c r="T11" s="5">
        <v>3.7</v>
      </c>
      <c r="U11" s="5">
        <v>11.75</v>
      </c>
      <c r="V11" s="5"/>
      <c r="W11" s="5">
        <f t="shared" si="0"/>
        <v>140.65</v>
      </c>
    </row>
    <row r="12" spans="1:23">
      <c r="A12" s="3">
        <v>999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>
        <v>2.15</v>
      </c>
      <c r="N12" s="5">
        <f>9.15+1.95</f>
        <v>11.1</v>
      </c>
      <c r="O12" s="5">
        <v>16.75</v>
      </c>
      <c r="P12" s="5">
        <v>21.65</v>
      </c>
      <c r="Q12" s="5">
        <v>0.9</v>
      </c>
      <c r="R12" s="5"/>
      <c r="S12" s="5"/>
      <c r="T12" s="5">
        <v>1</v>
      </c>
      <c r="U12" s="5">
        <v>1.95</v>
      </c>
      <c r="V12" s="5"/>
      <c r="W12" s="5">
        <f t="shared" si="0"/>
        <v>55.5</v>
      </c>
    </row>
    <row r="13" spans="1:23">
      <c r="A13" s="3">
        <v>1006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>
        <v>5.05</v>
      </c>
      <c r="O13" s="5">
        <v>7.95</v>
      </c>
      <c r="P13" s="5">
        <v>7.2</v>
      </c>
      <c r="Q13" s="5">
        <v>2.5</v>
      </c>
      <c r="R13" s="5"/>
      <c r="S13" s="5"/>
      <c r="T13" s="5"/>
      <c r="U13" s="5"/>
      <c r="V13" s="5"/>
      <c r="W13" s="5">
        <f t="shared" si="0"/>
        <v>22.7</v>
      </c>
    </row>
    <row r="14" spans="1:23">
      <c r="A14" s="3">
        <v>1005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>
        <v>1.75</v>
      </c>
      <c r="O14" s="5"/>
      <c r="P14" s="5">
        <v>3.2</v>
      </c>
      <c r="Q14" s="5"/>
      <c r="R14" s="5"/>
      <c r="S14" s="5"/>
      <c r="T14" s="5">
        <v>4.15</v>
      </c>
      <c r="U14" s="5">
        <v>3.85</v>
      </c>
      <c r="V14" s="5"/>
      <c r="W14" s="5">
        <f t="shared" si="0"/>
        <v>12.95</v>
      </c>
    </row>
    <row r="15" spans="1:23">
      <c r="A15" s="3">
        <v>354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>
        <v>7.35</v>
      </c>
      <c r="N15" s="5">
        <f>15.7+10.9</f>
        <v>26.6</v>
      </c>
      <c r="O15" s="5">
        <v>13.1</v>
      </c>
      <c r="P15" s="5">
        <f>11.45+1.2</f>
        <v>12.65</v>
      </c>
      <c r="Q15" s="5">
        <v>10.75</v>
      </c>
      <c r="R15" s="5"/>
      <c r="S15" s="5"/>
      <c r="T15" s="5">
        <f>16.85+4.2</f>
        <v>21.05</v>
      </c>
      <c r="U15" s="5">
        <v>4.1</v>
      </c>
      <c r="V15" s="5"/>
      <c r="W15" s="5">
        <f t="shared" si="0"/>
        <v>95.6</v>
      </c>
    </row>
    <row r="16" spans="1:23">
      <c r="A16" s="3">
        <v>1791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>
        <v>1.7</v>
      </c>
      <c r="O16" s="5">
        <f>18.15+5.7</f>
        <v>23.85</v>
      </c>
      <c r="P16" s="5">
        <v>8.95</v>
      </c>
      <c r="Q16" s="5">
        <v>6</v>
      </c>
      <c r="R16" s="5"/>
      <c r="S16" s="5"/>
      <c r="T16" s="5">
        <v>8.05</v>
      </c>
      <c r="U16" s="5">
        <v>9.7</v>
      </c>
      <c r="V16" s="5"/>
      <c r="W16" s="5">
        <f t="shared" si="0"/>
        <v>58.25</v>
      </c>
    </row>
    <row r="17" spans="1:23">
      <c r="A17" s="3">
        <v>342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>
        <v>5.05</v>
      </c>
      <c r="O17" s="5">
        <v>20.15</v>
      </c>
      <c r="P17" s="5"/>
      <c r="Q17" s="5"/>
      <c r="R17" s="5"/>
      <c r="S17" s="5"/>
      <c r="T17" s="5">
        <v>1.35</v>
      </c>
      <c r="U17" s="5"/>
      <c r="V17" s="5"/>
      <c r="W17" s="5">
        <f t="shared" si="0"/>
        <v>26.55</v>
      </c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si="0"/>
        <v>0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99.15</v>
      </c>
      <c r="N349" s="6">
        <f t="shared" si="6"/>
        <v>314.9</v>
      </c>
      <c r="O349" s="6">
        <f t="shared" si="6"/>
        <v>449.55</v>
      </c>
      <c r="P349" s="6">
        <f t="shared" si="6"/>
        <v>540.15</v>
      </c>
      <c r="Q349" s="6">
        <f t="shared" si="6"/>
        <v>226.55</v>
      </c>
      <c r="R349" s="6">
        <f t="shared" si="6"/>
        <v>0</v>
      </c>
      <c r="S349" s="6">
        <f t="shared" si="6"/>
        <v>48.8</v>
      </c>
      <c r="T349" s="6">
        <f t="shared" si="6"/>
        <v>242.9</v>
      </c>
      <c r="U349" s="6">
        <f t="shared" si="6"/>
        <v>200</v>
      </c>
      <c r="V349" s="6">
        <f t="shared" si="6"/>
        <v>0</v>
      </c>
      <c r="W349" s="6">
        <f>SUM(W2:W348)</f>
        <v>2122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9"/>
  <sheetViews>
    <sheetView workbookViewId="0">
      <pane ySplit="1" topLeftCell="A338" activePane="bottomLeft" state="frozen"/>
      <selection/>
      <selection pane="bottomLeft" activeCell="M349" sqref="M349:V349"/>
    </sheetView>
  </sheetViews>
  <sheetFormatPr defaultColWidth="11" defaultRowHeight="14.25"/>
  <cols>
    <col min="1" max="1" width="9.56923076923077" customWidth="1"/>
    <col min="2" max="12" width="11" hidden="1" customWidth="1"/>
    <col min="13" max="14" width="7.85641025641026" customWidth="1"/>
    <col min="15" max="15" width="7.42564102564103" customWidth="1"/>
    <col min="16" max="16" width="8" customWidth="1"/>
    <col min="17" max="17" width="8.85641025641026" customWidth="1"/>
    <col min="18" max="18" width="7.85641025641026" customWidth="1"/>
    <col min="19" max="19" width="10" customWidth="1"/>
    <col min="20" max="20" width="8.42564102564103" customWidth="1"/>
    <col min="21" max="21" width="9.42564102564103" customWidth="1"/>
    <col min="23" max="23" width="8.13846153846154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2198</v>
      </c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>
        <v>1.25</v>
      </c>
      <c r="P2" s="5">
        <v>1.05</v>
      </c>
      <c r="Q2" s="5">
        <v>1.35</v>
      </c>
      <c r="R2" s="5"/>
      <c r="S2" s="5"/>
      <c r="T2" s="5"/>
      <c r="U2" s="5"/>
      <c r="V2" s="5"/>
      <c r="W2" s="5">
        <f t="shared" ref="W2:W67" si="0">SUM(C2:V2)</f>
        <v>3.65</v>
      </c>
    </row>
    <row r="3" spans="1:23">
      <c r="A3" s="3">
        <v>1034</v>
      </c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>
        <v>6.3</v>
      </c>
      <c r="N3" s="5">
        <v>18</v>
      </c>
      <c r="O3" s="5">
        <v>13.15</v>
      </c>
      <c r="P3" s="5">
        <v>16.95</v>
      </c>
      <c r="Q3" s="5">
        <v>3.2</v>
      </c>
      <c r="R3" s="5"/>
      <c r="S3" s="5">
        <v>2.05</v>
      </c>
      <c r="T3" s="5">
        <v>11.8</v>
      </c>
      <c r="U3" s="5">
        <v>4.2</v>
      </c>
      <c r="V3" s="5"/>
      <c r="W3" s="5">
        <f t="shared" si="0"/>
        <v>75.65</v>
      </c>
    </row>
    <row r="4" spans="1:23">
      <c r="A4" s="3">
        <v>354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>
        <v>6.8</v>
      </c>
      <c r="O4" s="5">
        <v>12.9</v>
      </c>
      <c r="P4" s="5">
        <v>23.2</v>
      </c>
      <c r="Q4" s="5">
        <v>1.4</v>
      </c>
      <c r="R4" s="5"/>
      <c r="S4" s="5"/>
      <c r="T4" s="5">
        <v>5.4</v>
      </c>
      <c r="U4" s="5">
        <v>5.3</v>
      </c>
      <c r="V4" s="5"/>
      <c r="W4" s="5">
        <f t="shared" si="0"/>
        <v>55</v>
      </c>
    </row>
    <row r="5" spans="1:23">
      <c r="A5" s="3">
        <v>342</v>
      </c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>
        <f>1.9+10.05</f>
        <v>11.95</v>
      </c>
      <c r="O5" s="5">
        <v>14.95</v>
      </c>
      <c r="P5" s="5"/>
      <c r="Q5" s="5"/>
      <c r="R5" s="5"/>
      <c r="S5" s="5">
        <v>2.85</v>
      </c>
      <c r="T5" s="5">
        <v>1.4</v>
      </c>
      <c r="U5" s="5"/>
      <c r="V5" s="5"/>
      <c r="W5" s="5">
        <f t="shared" si="0"/>
        <v>31.15</v>
      </c>
    </row>
    <row r="6" spans="1:23">
      <c r="A6" s="3">
        <v>2425</v>
      </c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>
        <v>2</v>
      </c>
      <c r="N6" s="5">
        <v>11.05</v>
      </c>
      <c r="O6" s="5">
        <v>6.4</v>
      </c>
      <c r="P6" s="5">
        <v>3.85</v>
      </c>
      <c r="Q6" s="5">
        <v>5.05</v>
      </c>
      <c r="R6" s="5"/>
      <c r="S6" s="5"/>
      <c r="T6" s="5">
        <v>1.7</v>
      </c>
      <c r="U6" s="5">
        <v>2.95</v>
      </c>
      <c r="V6" s="5"/>
      <c r="W6" s="5">
        <f t="shared" si="0"/>
        <v>33</v>
      </c>
    </row>
    <row r="7" spans="1:23">
      <c r="A7" s="3">
        <v>1791</v>
      </c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>
        <f>20.7+1.85</f>
        <v>22.55</v>
      </c>
      <c r="O7" s="5">
        <v>8.45</v>
      </c>
      <c r="P7" s="5"/>
      <c r="Q7" s="5"/>
      <c r="R7" s="5"/>
      <c r="S7" s="5"/>
      <c r="T7" s="5"/>
      <c r="U7" s="5"/>
      <c r="V7" s="5"/>
      <c r="W7" s="5">
        <f t="shared" si="0"/>
        <v>31</v>
      </c>
    </row>
    <row r="8" spans="1:23">
      <c r="A8" s="3">
        <v>999</v>
      </c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>
        <v>4.8</v>
      </c>
      <c r="O8" s="5">
        <v>12.3</v>
      </c>
      <c r="P8" s="5">
        <v>7.2</v>
      </c>
      <c r="Q8" s="5">
        <v>9.25</v>
      </c>
      <c r="R8" s="5"/>
      <c r="S8" s="5"/>
      <c r="T8" s="5">
        <v>1.1</v>
      </c>
      <c r="U8" s="5">
        <v>2.6</v>
      </c>
      <c r="V8" s="5"/>
      <c r="W8" s="5">
        <f t="shared" si="0"/>
        <v>37.25</v>
      </c>
    </row>
    <row r="9" spans="1:23">
      <c r="A9" s="3">
        <v>1005</v>
      </c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>
        <v>1</v>
      </c>
      <c r="Q9" s="5"/>
      <c r="R9" s="5"/>
      <c r="S9" s="5"/>
      <c r="T9" s="5">
        <v>1.1</v>
      </c>
      <c r="U9" s="5">
        <v>0.75</v>
      </c>
      <c r="V9" s="5"/>
      <c r="W9" s="5">
        <f t="shared" si="0"/>
        <v>2.85</v>
      </c>
    </row>
    <row r="10" spans="1:23">
      <c r="A10" s="3">
        <v>2167</v>
      </c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>
        <v>4.7</v>
      </c>
      <c r="N10" s="5">
        <f>21.1+13.9</f>
        <v>35</v>
      </c>
      <c r="O10" s="5">
        <f>17.8+23.8</f>
        <v>41.6</v>
      </c>
      <c r="P10" s="5">
        <f>28.8+9.95</f>
        <v>38.75</v>
      </c>
      <c r="Q10" s="5">
        <v>9.5</v>
      </c>
      <c r="R10" s="5"/>
      <c r="S10" s="5">
        <v>2.1</v>
      </c>
      <c r="T10" s="5">
        <v>6.2</v>
      </c>
      <c r="U10" s="5">
        <v>3.45</v>
      </c>
      <c r="V10" s="5"/>
      <c r="W10" s="5">
        <f t="shared" si="0"/>
        <v>141.3</v>
      </c>
    </row>
    <row r="11" spans="1:23">
      <c r="A11" s="3">
        <v>451</v>
      </c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>
        <v>15.25</v>
      </c>
      <c r="N11" s="5">
        <f>20.6+15.7+15.6</f>
        <v>51.9</v>
      </c>
      <c r="O11" s="5">
        <f>28.1+21.6</f>
        <v>49.7</v>
      </c>
      <c r="P11" s="5">
        <f>22.2+14+16.15</f>
        <v>52.35</v>
      </c>
      <c r="Q11" s="5">
        <f>16.95+15.7+3.4</f>
        <v>36.05</v>
      </c>
      <c r="R11" s="5"/>
      <c r="S11" s="5">
        <v>4.7</v>
      </c>
      <c r="T11" s="5">
        <v>16.1</v>
      </c>
      <c r="U11" s="5">
        <v>23.25</v>
      </c>
      <c r="V11" s="5"/>
      <c r="W11" s="5">
        <f t="shared" si="0"/>
        <v>249.3</v>
      </c>
    </row>
    <row r="12" spans="1:23">
      <c r="A12" s="3">
        <v>260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>
        <f>8.25+18.8</f>
        <v>27.05</v>
      </c>
      <c r="N12" s="5">
        <f>16.5+15.15</f>
        <v>31.65</v>
      </c>
      <c r="O12" s="5">
        <f>22.85+17.2</f>
        <v>40.05</v>
      </c>
      <c r="P12" s="5">
        <f>27.15+17.9</f>
        <v>45.05</v>
      </c>
      <c r="Q12" s="5">
        <f>10+15.8</f>
        <v>25.8</v>
      </c>
      <c r="R12" s="5"/>
      <c r="S12" s="5">
        <v>3.3</v>
      </c>
      <c r="T12" s="5">
        <f>16.15+1.55</f>
        <v>17.7</v>
      </c>
      <c r="U12" s="5">
        <f>16.45+5.2</f>
        <v>21.65</v>
      </c>
      <c r="V12" s="5"/>
      <c r="W12" s="5">
        <f t="shared" si="0"/>
        <v>212.25</v>
      </c>
    </row>
    <row r="13" spans="1:23">
      <c r="A13" s="3">
        <v>1009</v>
      </c>
      <c r="B13" s="4"/>
      <c r="C13" s="3"/>
      <c r="D13" s="3"/>
      <c r="E13" s="3"/>
      <c r="F13" s="3"/>
      <c r="G13" s="3"/>
      <c r="H13" s="3"/>
      <c r="I13" s="3"/>
      <c r="J13" s="3"/>
      <c r="K13" s="5"/>
      <c r="L13" s="5"/>
      <c r="M13" s="5">
        <v>17.3</v>
      </c>
      <c r="N13" s="5">
        <v>14.95</v>
      </c>
      <c r="O13" s="5">
        <f>18.05+2.45</f>
        <v>20.5</v>
      </c>
      <c r="P13" s="5">
        <f>14.55+9.8</f>
        <v>24.35</v>
      </c>
      <c r="Q13" s="5">
        <v>7.1</v>
      </c>
      <c r="R13" s="5"/>
      <c r="S13" s="5">
        <v>2</v>
      </c>
      <c r="T13" s="5"/>
      <c r="U13" s="5">
        <v>6.25</v>
      </c>
      <c r="V13" s="5"/>
      <c r="W13" s="5">
        <f t="shared" si="0"/>
        <v>92.45</v>
      </c>
    </row>
    <row r="14" spans="1:23">
      <c r="A14" s="3">
        <v>1013</v>
      </c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>
        <v>9.6</v>
      </c>
      <c r="N14" s="5">
        <v>19.5</v>
      </c>
      <c r="O14" s="5">
        <f>19.3+12.1</f>
        <v>31.4</v>
      </c>
      <c r="P14" s="5">
        <v>14.1</v>
      </c>
      <c r="Q14" s="5">
        <v>4.7</v>
      </c>
      <c r="R14" s="5"/>
      <c r="S14" s="5">
        <v>2.7</v>
      </c>
      <c r="T14" s="5">
        <v>4.25</v>
      </c>
      <c r="U14" s="5">
        <v>6.65</v>
      </c>
      <c r="V14" s="5"/>
      <c r="W14" s="5">
        <f t="shared" si="0"/>
        <v>92.9</v>
      </c>
    </row>
    <row r="15" spans="1:23">
      <c r="A15" s="3">
        <v>1017</v>
      </c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>
        <v>3.45</v>
      </c>
      <c r="O15" s="5"/>
      <c r="P15" s="5">
        <v>6.7</v>
      </c>
      <c r="Q15" s="5"/>
      <c r="R15" s="5"/>
      <c r="S15" s="5"/>
      <c r="T15" s="5">
        <v>2.9</v>
      </c>
      <c r="U15" s="5">
        <v>0.7</v>
      </c>
      <c r="V15" s="5"/>
      <c r="W15" s="5">
        <f t="shared" si="0"/>
        <v>13.75</v>
      </c>
    </row>
    <row r="16" spans="1:23">
      <c r="A16" s="3">
        <v>260</v>
      </c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>
        <v>2.4</v>
      </c>
      <c r="N16" s="5">
        <v>10.65</v>
      </c>
      <c r="O16" s="5">
        <v>4.4</v>
      </c>
      <c r="P16" s="5">
        <v>16.45</v>
      </c>
      <c r="Q16" s="5">
        <v>0.8</v>
      </c>
      <c r="R16" s="5"/>
      <c r="S16" s="5">
        <v>2.3</v>
      </c>
      <c r="T16" s="5">
        <f>16.6+21.55</f>
        <v>38.15</v>
      </c>
      <c r="U16" s="5">
        <v>12.65</v>
      </c>
      <c r="V16" s="5"/>
      <c r="W16" s="5">
        <f t="shared" si="0"/>
        <v>87.8</v>
      </c>
    </row>
    <row r="17" spans="1:23">
      <c r="A17" s="3">
        <v>309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>
        <v>17.95</v>
      </c>
      <c r="N17" s="5">
        <f>19.6+20.15+25.6</f>
        <v>65.35</v>
      </c>
      <c r="O17" s="5">
        <f>19.55+17.3+14.25+27.4+3.05</f>
        <v>81.55</v>
      </c>
      <c r="P17" s="5">
        <f>26.75+20.6+19.75+19.2+21.15+19.95</f>
        <v>127.4</v>
      </c>
      <c r="Q17" s="5">
        <f>19.1+18.5+13.6</f>
        <v>51.2</v>
      </c>
      <c r="R17" s="5"/>
      <c r="S17" s="5">
        <v>7.9</v>
      </c>
      <c r="T17" s="5">
        <f>20.25+15.4+13.9+14.25</f>
        <v>63.8</v>
      </c>
      <c r="U17" s="5">
        <f>28.05+16.85+16.65</f>
        <v>61.55</v>
      </c>
      <c r="V17" s="5"/>
      <c r="W17" s="5">
        <f t="shared" si="0"/>
        <v>476.7</v>
      </c>
    </row>
    <row r="18" spans="1:23">
      <c r="A18" s="3">
        <v>2161</v>
      </c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>
        <v>2.9</v>
      </c>
      <c r="P18" s="5">
        <v>9.35</v>
      </c>
      <c r="Q18" s="5">
        <v>3.75</v>
      </c>
      <c r="R18" s="5"/>
      <c r="S18" s="5"/>
      <c r="T18" s="5">
        <v>2.5</v>
      </c>
      <c r="U18" s="5">
        <v>2.7</v>
      </c>
      <c r="V18" s="5"/>
      <c r="W18" s="5">
        <f t="shared" si="0"/>
        <v>21.2</v>
      </c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f t="shared" si="0"/>
        <v>0</v>
      </c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si="0"/>
        <v>0</v>
      </c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f t="shared" si="0"/>
        <v>0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0"/>
        <v>0</v>
      </c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 t="shared" si="0"/>
        <v>0</v>
      </c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f t="shared" si="0"/>
        <v>0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 t="shared" si="0"/>
        <v>0</v>
      </c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f t="shared" si="0"/>
        <v>0</v>
      </c>
    </row>
    <row r="27" spans="1:23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f t="shared" si="0"/>
        <v>0</v>
      </c>
    </row>
    <row r="28" spans="1:23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f t="shared" si="0"/>
        <v>0</v>
      </c>
    </row>
    <row r="29" spans="1:23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f t="shared" si="0"/>
        <v>0</v>
      </c>
    </row>
    <row r="30" spans="1:23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f t="shared" si="0"/>
        <v>0</v>
      </c>
    </row>
    <row r="31" spans="1:23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f t="shared" si="0"/>
        <v>0</v>
      </c>
    </row>
    <row r="32" spans="1:23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f t="shared" si="0"/>
        <v>0</v>
      </c>
    </row>
    <row r="33" spans="1:2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f t="shared" si="0"/>
        <v>0</v>
      </c>
    </row>
    <row r="34" spans="1:23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f t="shared" si="0"/>
        <v>0</v>
      </c>
    </row>
    <row r="35" spans="1:23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f t="shared" si="0"/>
        <v>0</v>
      </c>
    </row>
    <row r="36" spans="1:23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f t="shared" si="0"/>
        <v>0</v>
      </c>
    </row>
    <row r="37" spans="1:23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f t="shared" si="0"/>
        <v>0</v>
      </c>
    </row>
    <row r="38" spans="1:23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f t="shared" si="0"/>
        <v>0</v>
      </c>
    </row>
    <row r="39" spans="1:23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f t="shared" si="0"/>
        <v>0</v>
      </c>
    </row>
    <row r="40" spans="1:23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f t="shared" si="0"/>
        <v>0</v>
      </c>
    </row>
    <row r="41" spans="1:23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f t="shared" si="0"/>
        <v>0</v>
      </c>
    </row>
    <row r="42" spans="1:23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f t="shared" si="0"/>
        <v>0</v>
      </c>
    </row>
    <row r="43" spans="1:23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>
        <f t="shared" si="0"/>
        <v>0</v>
      </c>
    </row>
    <row r="44" spans="1:23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f t="shared" si="0"/>
        <v>0</v>
      </c>
    </row>
    <row r="45" spans="1:23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f t="shared" si="0"/>
        <v>0</v>
      </c>
    </row>
    <row r="46" spans="1:23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f t="shared" si="0"/>
        <v>0</v>
      </c>
    </row>
    <row r="47" spans="1:23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f t="shared" si="0"/>
        <v>0</v>
      </c>
    </row>
    <row r="48" spans="1:23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 t="shared" si="0"/>
        <v>0</v>
      </c>
    </row>
    <row r="49" spans="1:23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f t="shared" si="0"/>
        <v>0</v>
      </c>
    </row>
    <row r="50" spans="1:23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f t="shared" si="0"/>
        <v>0</v>
      </c>
    </row>
    <row r="51" spans="1:23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f t="shared" si="0"/>
        <v>0</v>
      </c>
    </row>
    <row r="52" spans="1:23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f t="shared" si="0"/>
        <v>0</v>
      </c>
    </row>
    <row r="53" spans="1:23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f t="shared" si="0"/>
        <v>0</v>
      </c>
    </row>
    <row r="54" spans="1:23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 t="shared" si="0"/>
        <v>0</v>
      </c>
    </row>
    <row r="55" spans="1:23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 t="shared" si="0"/>
        <v>0</v>
      </c>
    </row>
    <row r="56" spans="1:23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f t="shared" si="0"/>
        <v>0</v>
      </c>
    </row>
    <row r="57" spans="1:23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f t="shared" si="0"/>
        <v>0</v>
      </c>
    </row>
    <row r="58" spans="1:23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f t="shared" si="0"/>
        <v>0</v>
      </c>
    </row>
    <row r="59" spans="1:23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>
        <f t="shared" si="0"/>
        <v>0</v>
      </c>
    </row>
    <row r="60" spans="1:23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f t="shared" si="0"/>
        <v>0</v>
      </c>
    </row>
    <row r="61" spans="1:23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f t="shared" si="0"/>
        <v>0</v>
      </c>
    </row>
    <row r="62" spans="1:23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f t="shared" si="0"/>
        <v>0</v>
      </c>
    </row>
    <row r="63" spans="1:23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 t="shared" si="0"/>
        <v>0</v>
      </c>
    </row>
    <row r="64" spans="1:23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>
        <f t="shared" si="0"/>
        <v>0</v>
      </c>
    </row>
    <row r="65" spans="1:23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>
        <f t="shared" si="0"/>
        <v>0</v>
      </c>
    </row>
    <row r="66" spans="1:23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>
        <f t="shared" si="0"/>
        <v>0</v>
      </c>
    </row>
    <row r="67" spans="1:23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>
        <f t="shared" si="0"/>
        <v>0</v>
      </c>
    </row>
    <row r="68" spans="1:23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f t="shared" ref="W68:W131" si="1">SUM(C68:V68)</f>
        <v>0</v>
      </c>
    </row>
    <row r="69" spans="1:23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f t="shared" si="1"/>
        <v>0</v>
      </c>
    </row>
    <row r="70" spans="1:23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>
        <f t="shared" si="1"/>
        <v>0</v>
      </c>
    </row>
    <row r="71" spans="1:23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>
        <f t="shared" si="1"/>
        <v>0</v>
      </c>
    </row>
    <row r="72" spans="1:23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f t="shared" si="1"/>
        <v>0</v>
      </c>
    </row>
    <row r="73" spans="1:23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f t="shared" si="1"/>
        <v>0</v>
      </c>
    </row>
    <row r="74" spans="1:23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f t="shared" si="1"/>
        <v>0</v>
      </c>
    </row>
    <row r="75" spans="1:23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f t="shared" si="1"/>
        <v>0</v>
      </c>
    </row>
    <row r="76" spans="1:23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f t="shared" si="1"/>
        <v>0</v>
      </c>
    </row>
    <row r="77" spans="1:23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f t="shared" si="1"/>
        <v>0</v>
      </c>
    </row>
    <row r="78" spans="1:23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f t="shared" si="1"/>
        <v>0</v>
      </c>
    </row>
    <row r="79" spans="1:23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>
        <f t="shared" si="1"/>
        <v>0</v>
      </c>
    </row>
    <row r="80" spans="1:23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>
        <f t="shared" si="1"/>
        <v>0</v>
      </c>
    </row>
    <row r="81" spans="1:23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>
        <f t="shared" si="1"/>
        <v>0</v>
      </c>
    </row>
    <row r="82" spans="1:23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f t="shared" si="1"/>
        <v>0</v>
      </c>
    </row>
    <row r="83" spans="1:23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>
        <f t="shared" si="1"/>
        <v>0</v>
      </c>
    </row>
    <row r="84" spans="1:23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>
        <f t="shared" si="1"/>
        <v>0</v>
      </c>
    </row>
    <row r="85" spans="1:23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f t="shared" si="1"/>
        <v>0</v>
      </c>
    </row>
    <row r="86" spans="1:2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>
        <f t="shared" si="1"/>
        <v>0</v>
      </c>
    </row>
    <row r="87" spans="1:2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f t="shared" si="1"/>
        <v>0</v>
      </c>
    </row>
    <row r="88" spans="1:23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f t="shared" si="1"/>
        <v>0</v>
      </c>
    </row>
    <row r="89" spans="1:23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>
        <f t="shared" si="1"/>
        <v>0</v>
      </c>
    </row>
    <row r="90" spans="1:23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f t="shared" si="1"/>
        <v>0</v>
      </c>
    </row>
    <row r="91" spans="1:23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>
        <f t="shared" si="1"/>
        <v>0</v>
      </c>
    </row>
    <row r="92" spans="1:23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>
        <f t="shared" si="1"/>
        <v>0</v>
      </c>
    </row>
    <row r="93" spans="1:23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f t="shared" si="1"/>
        <v>0</v>
      </c>
    </row>
    <row r="94" spans="1:23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 t="shared" si="1"/>
        <v>0</v>
      </c>
    </row>
    <row r="95" spans="1:23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>
        <f t="shared" si="1"/>
        <v>0</v>
      </c>
    </row>
    <row r="96" spans="1:23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f t="shared" si="1"/>
        <v>0</v>
      </c>
    </row>
    <row r="97" spans="1:23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f t="shared" si="1"/>
        <v>0</v>
      </c>
    </row>
    <row r="98" spans="1:23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f t="shared" si="1"/>
        <v>0</v>
      </c>
    </row>
    <row r="99" spans="1:23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f t="shared" si="1"/>
        <v>0</v>
      </c>
    </row>
    <row r="100" spans="1:23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f t="shared" si="1"/>
        <v>0</v>
      </c>
    </row>
    <row r="101" spans="1:23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>
        <f t="shared" si="1"/>
        <v>0</v>
      </c>
    </row>
    <row r="102" spans="1:23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f t="shared" si="1"/>
        <v>0</v>
      </c>
    </row>
    <row r="103" spans="1:23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 t="shared" si="1"/>
        <v>0</v>
      </c>
    </row>
    <row r="104" spans="1:23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>
        <f t="shared" si="1"/>
        <v>0</v>
      </c>
    </row>
    <row r="105" spans="1:23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f t="shared" si="1"/>
        <v>0</v>
      </c>
    </row>
    <row r="106" spans="1:23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f t="shared" si="1"/>
        <v>0</v>
      </c>
    </row>
    <row r="107" spans="1:23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>
        <f t="shared" si="1"/>
        <v>0</v>
      </c>
    </row>
    <row r="108" spans="1:23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>
        <f t="shared" si="1"/>
        <v>0</v>
      </c>
    </row>
    <row r="109" spans="1:23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f t="shared" si="1"/>
        <v>0</v>
      </c>
    </row>
    <row r="110" spans="1:23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>
        <f t="shared" si="1"/>
        <v>0</v>
      </c>
    </row>
    <row r="111" spans="1:23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>
        <f t="shared" si="1"/>
        <v>0</v>
      </c>
    </row>
    <row r="112" spans="1:23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>
        <f t="shared" si="1"/>
        <v>0</v>
      </c>
    </row>
    <row r="113" spans="1:23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>
        <f t="shared" si="1"/>
        <v>0</v>
      </c>
    </row>
    <row r="114" spans="1:23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>
        <f t="shared" si="1"/>
        <v>0</v>
      </c>
    </row>
    <row r="115" spans="1:23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>
        <f t="shared" si="1"/>
        <v>0</v>
      </c>
    </row>
    <row r="116" spans="1:23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>
        <f t="shared" si="1"/>
        <v>0</v>
      </c>
    </row>
    <row r="117" spans="1:23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>
        <f t="shared" si="1"/>
        <v>0</v>
      </c>
    </row>
    <row r="118" spans="1:23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f t="shared" si="1"/>
        <v>0</v>
      </c>
    </row>
    <row r="119" spans="1:23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>
        <f t="shared" si="1"/>
        <v>0</v>
      </c>
    </row>
    <row r="120" spans="1:23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f t="shared" si="1"/>
        <v>0</v>
      </c>
    </row>
    <row r="121" spans="1:23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>
        <f t="shared" si="1"/>
        <v>0</v>
      </c>
    </row>
    <row r="122" spans="1:23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>
        <f t="shared" si="1"/>
        <v>0</v>
      </c>
    </row>
    <row r="123" spans="1:23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>
        <f t="shared" si="1"/>
        <v>0</v>
      </c>
    </row>
    <row r="124" spans="1:23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f t="shared" si="1"/>
        <v>0</v>
      </c>
    </row>
    <row r="125" spans="1:23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>
        <f t="shared" si="1"/>
        <v>0</v>
      </c>
    </row>
    <row r="126" spans="1:23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>
        <f t="shared" si="1"/>
        <v>0</v>
      </c>
    </row>
    <row r="127" spans="1:23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f t="shared" si="1"/>
        <v>0</v>
      </c>
    </row>
    <row r="128" spans="1:23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>
        <f t="shared" si="1"/>
        <v>0</v>
      </c>
    </row>
    <row r="129" spans="1:23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>
        <f t="shared" si="1"/>
        <v>0</v>
      </c>
    </row>
    <row r="130" spans="1:23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f t="shared" si="1"/>
        <v>0</v>
      </c>
    </row>
    <row r="131" spans="1:23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>
        <f t="shared" si="1"/>
        <v>0</v>
      </c>
    </row>
    <row r="132" spans="1:23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f t="shared" ref="W132:W195" si="2">SUM(C132:V132)</f>
        <v>0</v>
      </c>
    </row>
    <row r="133" spans="1:23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>
        <f t="shared" si="2"/>
        <v>0</v>
      </c>
    </row>
    <row r="134" spans="1:23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>
        <f t="shared" si="2"/>
        <v>0</v>
      </c>
    </row>
    <row r="135" spans="1:23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>
        <f t="shared" si="2"/>
        <v>0</v>
      </c>
    </row>
    <row r="136" spans="1:23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f t="shared" si="2"/>
        <v>0</v>
      </c>
    </row>
    <row r="137" spans="1:23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>
        <f t="shared" si="2"/>
        <v>0</v>
      </c>
    </row>
    <row r="138" spans="1:23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f t="shared" si="2"/>
        <v>0</v>
      </c>
    </row>
    <row r="139" spans="1:23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f t="shared" si="2"/>
        <v>0</v>
      </c>
    </row>
    <row r="140" spans="1:23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f t="shared" si="2"/>
        <v>0</v>
      </c>
    </row>
    <row r="141" spans="1:23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f t="shared" si="2"/>
        <v>0</v>
      </c>
    </row>
    <row r="142" spans="1:23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f t="shared" si="2"/>
        <v>0</v>
      </c>
    </row>
    <row r="143" spans="1:23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>
        <f t="shared" si="2"/>
        <v>0</v>
      </c>
    </row>
    <row r="144" spans="1:23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>
        <f t="shared" si="2"/>
        <v>0</v>
      </c>
    </row>
    <row r="145" spans="1:23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>
        <f t="shared" si="2"/>
        <v>0</v>
      </c>
    </row>
    <row r="146" spans="1:23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f t="shared" si="2"/>
        <v>0</v>
      </c>
    </row>
    <row r="147" spans="1:23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>
        <f t="shared" si="2"/>
        <v>0</v>
      </c>
    </row>
    <row r="148" spans="1:23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f t="shared" si="2"/>
        <v>0</v>
      </c>
    </row>
    <row r="149" spans="1:23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>
        <f t="shared" si="2"/>
        <v>0</v>
      </c>
    </row>
    <row r="150" spans="1:23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f t="shared" si="2"/>
        <v>0</v>
      </c>
    </row>
    <row r="151" spans="1:23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>
        <f t="shared" si="2"/>
        <v>0</v>
      </c>
    </row>
    <row r="152" spans="1:23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>
        <f t="shared" si="2"/>
        <v>0</v>
      </c>
    </row>
    <row r="153" spans="1:23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f t="shared" si="2"/>
        <v>0</v>
      </c>
    </row>
    <row r="154" spans="1:23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f t="shared" si="2"/>
        <v>0</v>
      </c>
    </row>
    <row r="155" spans="1:23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>
        <f t="shared" si="2"/>
        <v>0</v>
      </c>
    </row>
    <row r="156" spans="1:23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>
        <f t="shared" si="2"/>
        <v>0</v>
      </c>
    </row>
    <row r="157" spans="1:23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>
        <f t="shared" si="2"/>
        <v>0</v>
      </c>
    </row>
    <row r="158" spans="1:23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>
        <f t="shared" si="2"/>
        <v>0</v>
      </c>
    </row>
    <row r="159" spans="1:23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f t="shared" si="2"/>
        <v>0</v>
      </c>
    </row>
    <row r="160" spans="1:23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f t="shared" si="2"/>
        <v>0</v>
      </c>
    </row>
    <row r="161" spans="1:23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>
        <f t="shared" si="2"/>
        <v>0</v>
      </c>
    </row>
    <row r="162" spans="1:23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>
        <f t="shared" si="2"/>
        <v>0</v>
      </c>
    </row>
    <row r="163" spans="1:23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f t="shared" si="2"/>
        <v>0</v>
      </c>
    </row>
    <row r="164" spans="1:23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f t="shared" si="2"/>
        <v>0</v>
      </c>
    </row>
    <row r="165" spans="1:23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f t="shared" si="2"/>
        <v>0</v>
      </c>
    </row>
    <row r="166" spans="1:23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f t="shared" si="2"/>
        <v>0</v>
      </c>
    </row>
    <row r="167" spans="1:23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f t="shared" si="2"/>
        <v>0</v>
      </c>
    </row>
    <row r="168" spans="1:23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f t="shared" si="2"/>
        <v>0</v>
      </c>
    </row>
    <row r="169" spans="1:23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f t="shared" si="2"/>
        <v>0</v>
      </c>
    </row>
    <row r="170" spans="1:23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f t="shared" si="2"/>
        <v>0</v>
      </c>
    </row>
    <row r="171" spans="1:23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f t="shared" si="2"/>
        <v>0</v>
      </c>
    </row>
    <row r="172" spans="1:23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f t="shared" si="2"/>
        <v>0</v>
      </c>
    </row>
    <row r="173" spans="1:23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f t="shared" si="2"/>
        <v>0</v>
      </c>
    </row>
    <row r="174" spans="1:23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f t="shared" si="2"/>
        <v>0</v>
      </c>
    </row>
    <row r="175" spans="1:23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f t="shared" si="2"/>
        <v>0</v>
      </c>
    </row>
    <row r="176" spans="1:23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f t="shared" si="2"/>
        <v>0</v>
      </c>
    </row>
    <row r="177" spans="1:23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f t="shared" si="2"/>
        <v>0</v>
      </c>
    </row>
    <row r="178" spans="1:23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f t="shared" si="2"/>
        <v>0</v>
      </c>
    </row>
    <row r="179" spans="1:23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f t="shared" si="2"/>
        <v>0</v>
      </c>
    </row>
    <row r="180" spans="1:23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f t="shared" si="2"/>
        <v>0</v>
      </c>
    </row>
    <row r="181" spans="1:23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f t="shared" si="2"/>
        <v>0</v>
      </c>
    </row>
    <row r="182" spans="1:23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f t="shared" si="2"/>
        <v>0</v>
      </c>
    </row>
    <row r="183" spans="1:23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f t="shared" si="2"/>
        <v>0</v>
      </c>
    </row>
    <row r="184" spans="1:23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f t="shared" si="2"/>
        <v>0</v>
      </c>
    </row>
    <row r="185" spans="1:23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f t="shared" si="2"/>
        <v>0</v>
      </c>
    </row>
    <row r="186" spans="1:23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f t="shared" si="2"/>
        <v>0</v>
      </c>
    </row>
    <row r="187" spans="1:23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f t="shared" si="2"/>
        <v>0</v>
      </c>
    </row>
    <row r="188" spans="1:23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f t="shared" si="2"/>
        <v>0</v>
      </c>
    </row>
    <row r="189" spans="1:23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f t="shared" si="2"/>
        <v>0</v>
      </c>
    </row>
    <row r="190" spans="1:23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f t="shared" si="2"/>
        <v>0</v>
      </c>
    </row>
    <row r="191" spans="1:23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f t="shared" si="2"/>
        <v>0</v>
      </c>
    </row>
    <row r="192" spans="1:23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f t="shared" si="2"/>
        <v>0</v>
      </c>
    </row>
    <row r="193" spans="1:23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f t="shared" si="2"/>
        <v>0</v>
      </c>
    </row>
    <row r="194" spans="1:23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f t="shared" si="2"/>
        <v>0</v>
      </c>
    </row>
    <row r="195" spans="1:23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f t="shared" si="2"/>
        <v>0</v>
      </c>
    </row>
    <row r="196" spans="1:23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f t="shared" ref="W196:W259" si="3">SUM(C196:V196)</f>
        <v>0</v>
      </c>
    </row>
    <row r="197" spans="1:23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f t="shared" si="3"/>
        <v>0</v>
      </c>
    </row>
    <row r="198" spans="1:23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f t="shared" si="3"/>
        <v>0</v>
      </c>
    </row>
    <row r="199" spans="1:23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f t="shared" si="3"/>
        <v>0</v>
      </c>
    </row>
    <row r="200" spans="1:23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f t="shared" si="3"/>
        <v>0</v>
      </c>
    </row>
    <row r="201" spans="1:23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>
        <f t="shared" si="3"/>
        <v>0</v>
      </c>
    </row>
    <row r="202" spans="1:23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f t="shared" si="3"/>
        <v>0</v>
      </c>
    </row>
    <row r="203" spans="1:23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>
        <f t="shared" si="3"/>
        <v>0</v>
      </c>
    </row>
    <row r="204" spans="1:23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>
        <f t="shared" si="3"/>
        <v>0</v>
      </c>
    </row>
    <row r="205" spans="1:23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f t="shared" si="3"/>
        <v>0</v>
      </c>
    </row>
    <row r="206" spans="1:23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f t="shared" si="3"/>
        <v>0</v>
      </c>
    </row>
    <row r="207" spans="1:23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>
        <f t="shared" si="3"/>
        <v>0</v>
      </c>
    </row>
    <row r="208" spans="1:23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>
        <f t="shared" si="3"/>
        <v>0</v>
      </c>
    </row>
    <row r="209" spans="1:23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>
        <f t="shared" si="3"/>
        <v>0</v>
      </c>
    </row>
    <row r="210" spans="1:23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f t="shared" si="3"/>
        <v>0</v>
      </c>
    </row>
    <row r="211" spans="1:23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>
        <f t="shared" si="3"/>
        <v>0</v>
      </c>
    </row>
    <row r="212" spans="1:23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>
        <f t="shared" si="3"/>
        <v>0</v>
      </c>
    </row>
    <row r="213" spans="1:23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>
        <f t="shared" si="3"/>
        <v>0</v>
      </c>
    </row>
    <row r="214" spans="1:23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f t="shared" si="3"/>
        <v>0</v>
      </c>
    </row>
    <row r="215" spans="1:23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>
        <f t="shared" si="3"/>
        <v>0</v>
      </c>
    </row>
    <row r="216" spans="1:23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f t="shared" si="3"/>
        <v>0</v>
      </c>
    </row>
    <row r="217" spans="1:23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>
        <f t="shared" si="3"/>
        <v>0</v>
      </c>
    </row>
    <row r="218" spans="1:23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>
        <f t="shared" si="3"/>
        <v>0</v>
      </c>
    </row>
    <row r="219" spans="1:23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>
        <f t="shared" si="3"/>
        <v>0</v>
      </c>
    </row>
    <row r="220" spans="1:23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f t="shared" si="3"/>
        <v>0</v>
      </c>
    </row>
    <row r="221" spans="1:23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>
        <f t="shared" si="3"/>
        <v>0</v>
      </c>
    </row>
    <row r="222" spans="1:23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f t="shared" si="3"/>
        <v>0</v>
      </c>
    </row>
    <row r="223" spans="1:23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>
        <f t="shared" si="3"/>
        <v>0</v>
      </c>
    </row>
    <row r="224" spans="1:23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f t="shared" si="3"/>
        <v>0</v>
      </c>
    </row>
    <row r="225" spans="1:23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>
        <f t="shared" si="3"/>
        <v>0</v>
      </c>
    </row>
    <row r="226" spans="1:23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>
        <f t="shared" si="3"/>
        <v>0</v>
      </c>
    </row>
    <row r="227" spans="1:23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>
        <f t="shared" si="3"/>
        <v>0</v>
      </c>
    </row>
    <row r="228" spans="1:23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>
        <f t="shared" si="3"/>
        <v>0</v>
      </c>
    </row>
    <row r="229" spans="1:23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f t="shared" si="3"/>
        <v>0</v>
      </c>
    </row>
    <row r="230" spans="1:23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>
        <f t="shared" si="3"/>
        <v>0</v>
      </c>
    </row>
    <row r="231" spans="1:23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f t="shared" si="3"/>
        <v>0</v>
      </c>
    </row>
    <row r="232" spans="1:23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f t="shared" si="3"/>
        <v>0</v>
      </c>
    </row>
    <row r="233" spans="1:23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>
        <f t="shared" si="3"/>
        <v>0</v>
      </c>
    </row>
    <row r="234" spans="1:23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>
        <f t="shared" si="3"/>
        <v>0</v>
      </c>
    </row>
    <row r="235" spans="1:23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>
        <f t="shared" si="3"/>
        <v>0</v>
      </c>
    </row>
    <row r="236" spans="1:23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f t="shared" si="3"/>
        <v>0</v>
      </c>
    </row>
    <row r="237" spans="1:23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>
        <f t="shared" si="3"/>
        <v>0</v>
      </c>
    </row>
    <row r="238" spans="1:23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f t="shared" si="3"/>
        <v>0</v>
      </c>
    </row>
    <row r="239" spans="1:23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>
        <f t="shared" si="3"/>
        <v>0</v>
      </c>
    </row>
    <row r="240" spans="1:23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>
        <f t="shared" si="3"/>
        <v>0</v>
      </c>
    </row>
    <row r="241" spans="1:23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f t="shared" si="3"/>
        <v>0</v>
      </c>
    </row>
    <row r="242" spans="1:23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>
        <f t="shared" si="3"/>
        <v>0</v>
      </c>
    </row>
    <row r="243" spans="1:23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>
        <f t="shared" si="3"/>
        <v>0</v>
      </c>
    </row>
    <row r="244" spans="1:23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f t="shared" si="3"/>
        <v>0</v>
      </c>
    </row>
    <row r="245" spans="1:23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>
        <f t="shared" si="3"/>
        <v>0</v>
      </c>
    </row>
    <row r="246" spans="1:23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f t="shared" si="3"/>
        <v>0</v>
      </c>
    </row>
    <row r="247" spans="1:23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>
        <f t="shared" si="3"/>
        <v>0</v>
      </c>
    </row>
    <row r="248" spans="1:23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>
        <f t="shared" si="3"/>
        <v>0</v>
      </c>
    </row>
    <row r="249" spans="1:23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f t="shared" si="3"/>
        <v>0</v>
      </c>
    </row>
    <row r="250" spans="1:23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f t="shared" si="3"/>
        <v>0</v>
      </c>
    </row>
    <row r="251" spans="1:23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f t="shared" si="3"/>
        <v>0</v>
      </c>
    </row>
    <row r="252" spans="1:23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f t="shared" si="3"/>
        <v>0</v>
      </c>
    </row>
    <row r="253" spans="1:23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>
        <f t="shared" si="3"/>
        <v>0</v>
      </c>
    </row>
    <row r="254" spans="1:23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>
        <f t="shared" si="3"/>
        <v>0</v>
      </c>
    </row>
    <row r="255" spans="1:23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f t="shared" si="3"/>
        <v>0</v>
      </c>
    </row>
    <row r="256" spans="1:23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f t="shared" si="3"/>
        <v>0</v>
      </c>
    </row>
    <row r="257" spans="1:23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>
        <f t="shared" si="3"/>
        <v>0</v>
      </c>
    </row>
    <row r="258" spans="1:23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>
        <f t="shared" si="3"/>
        <v>0</v>
      </c>
    </row>
    <row r="259" spans="1:23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f t="shared" si="3"/>
        <v>0</v>
      </c>
    </row>
    <row r="260" spans="1:23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>
        <f t="shared" ref="W260:W323" si="4">SUM(C260:V260)</f>
        <v>0</v>
      </c>
    </row>
    <row r="261" spans="1:23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>
        <f t="shared" si="4"/>
        <v>0</v>
      </c>
    </row>
    <row r="262" spans="1:23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f t="shared" si="4"/>
        <v>0</v>
      </c>
    </row>
    <row r="263" spans="1:23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>
        <f t="shared" si="4"/>
        <v>0</v>
      </c>
    </row>
    <row r="264" spans="1:23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>
        <f t="shared" si="4"/>
        <v>0</v>
      </c>
    </row>
    <row r="265" spans="1:23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>
        <f t="shared" si="4"/>
        <v>0</v>
      </c>
    </row>
    <row r="266" spans="1:23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>
        <f t="shared" si="4"/>
        <v>0</v>
      </c>
    </row>
    <row r="267" spans="1:23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>
        <f t="shared" si="4"/>
        <v>0</v>
      </c>
    </row>
    <row r="268" spans="1:23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>
        <f t="shared" si="4"/>
        <v>0</v>
      </c>
    </row>
    <row r="269" spans="1:23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f t="shared" si="4"/>
        <v>0</v>
      </c>
    </row>
    <row r="270" spans="1:23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f t="shared" si="4"/>
        <v>0</v>
      </c>
    </row>
    <row r="271" spans="1:23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>
        <f t="shared" si="4"/>
        <v>0</v>
      </c>
    </row>
    <row r="272" spans="1:23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f t="shared" si="4"/>
        <v>0</v>
      </c>
    </row>
    <row r="273" spans="1:23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>
        <f t="shared" si="4"/>
        <v>0</v>
      </c>
    </row>
    <row r="274" spans="1:23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f t="shared" si="4"/>
        <v>0</v>
      </c>
    </row>
    <row r="275" spans="1:23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>
        <f t="shared" si="4"/>
        <v>0</v>
      </c>
    </row>
    <row r="276" spans="1:23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f t="shared" si="4"/>
        <v>0</v>
      </c>
    </row>
    <row r="277" spans="1:23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f t="shared" si="4"/>
        <v>0</v>
      </c>
    </row>
    <row r="278" spans="1:23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>
        <f t="shared" si="4"/>
        <v>0</v>
      </c>
    </row>
    <row r="279" spans="1:23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>
        <f t="shared" si="4"/>
        <v>0</v>
      </c>
    </row>
    <row r="280" spans="1:23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>
        <f t="shared" si="4"/>
        <v>0</v>
      </c>
    </row>
    <row r="281" spans="1:23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>
        <f t="shared" si="4"/>
        <v>0</v>
      </c>
    </row>
    <row r="282" spans="1:23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f t="shared" si="4"/>
        <v>0</v>
      </c>
    </row>
    <row r="283" spans="1:23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f t="shared" si="4"/>
        <v>0</v>
      </c>
    </row>
    <row r="284" spans="1:23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f t="shared" si="4"/>
        <v>0</v>
      </c>
    </row>
    <row r="285" spans="1:23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>
        <f t="shared" si="4"/>
        <v>0</v>
      </c>
    </row>
    <row r="286" spans="1:23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f t="shared" si="4"/>
        <v>0</v>
      </c>
    </row>
    <row r="287" spans="1:23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>
        <f t="shared" si="4"/>
        <v>0</v>
      </c>
    </row>
    <row r="288" spans="1:23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f t="shared" si="4"/>
        <v>0</v>
      </c>
    </row>
    <row r="289" spans="1:23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>
        <f t="shared" si="4"/>
        <v>0</v>
      </c>
    </row>
    <row r="290" spans="1:23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>
        <f t="shared" si="4"/>
        <v>0</v>
      </c>
    </row>
    <row r="291" spans="1:23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>
        <f t="shared" si="4"/>
        <v>0</v>
      </c>
    </row>
    <row r="292" spans="1:23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f t="shared" si="4"/>
        <v>0</v>
      </c>
    </row>
    <row r="293" spans="1:23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>
        <f t="shared" si="4"/>
        <v>0</v>
      </c>
    </row>
    <row r="294" spans="1:23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f t="shared" si="4"/>
        <v>0</v>
      </c>
    </row>
    <row r="295" spans="1:23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>
        <f t="shared" si="4"/>
        <v>0</v>
      </c>
    </row>
    <row r="296" spans="1:23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>
        <f t="shared" si="4"/>
        <v>0</v>
      </c>
    </row>
    <row r="297" spans="1:23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>
        <f t="shared" si="4"/>
        <v>0</v>
      </c>
    </row>
    <row r="298" spans="1:23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>
        <f t="shared" si="4"/>
        <v>0</v>
      </c>
    </row>
    <row r="299" spans="1:23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>
        <f t="shared" si="4"/>
        <v>0</v>
      </c>
    </row>
    <row r="300" spans="1:23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>
        <f t="shared" si="4"/>
        <v>0</v>
      </c>
    </row>
    <row r="301" spans="1:23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>
        <f t="shared" si="4"/>
        <v>0</v>
      </c>
    </row>
    <row r="302" spans="1:23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>
        <f t="shared" si="4"/>
        <v>0</v>
      </c>
    </row>
    <row r="303" spans="1:23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f t="shared" si="4"/>
        <v>0</v>
      </c>
    </row>
    <row r="304" spans="1:23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f t="shared" si="4"/>
        <v>0</v>
      </c>
    </row>
    <row r="305" spans="1:23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>
        <f t="shared" si="4"/>
        <v>0</v>
      </c>
    </row>
    <row r="306" spans="1:23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f t="shared" si="4"/>
        <v>0</v>
      </c>
    </row>
    <row r="307" spans="1:23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>
        <f t="shared" si="4"/>
        <v>0</v>
      </c>
    </row>
    <row r="308" spans="1:23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f t="shared" si="4"/>
        <v>0</v>
      </c>
    </row>
    <row r="309" spans="1:23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>
        <f t="shared" si="4"/>
        <v>0</v>
      </c>
    </row>
    <row r="310" spans="1:23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>
        <f t="shared" si="4"/>
        <v>0</v>
      </c>
    </row>
    <row r="311" spans="1:23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f t="shared" si="4"/>
        <v>0</v>
      </c>
    </row>
    <row r="312" spans="1:23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>
        <f t="shared" si="4"/>
        <v>0</v>
      </c>
    </row>
    <row r="313" spans="1:23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>
        <f t="shared" si="4"/>
        <v>0</v>
      </c>
    </row>
    <row r="314" spans="1:23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f t="shared" si="4"/>
        <v>0</v>
      </c>
    </row>
    <row r="315" spans="1:23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>
        <f t="shared" si="4"/>
        <v>0</v>
      </c>
    </row>
    <row r="316" spans="1:23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>
        <f t="shared" si="4"/>
        <v>0</v>
      </c>
    </row>
    <row r="317" spans="1:23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>
        <f t="shared" si="4"/>
        <v>0</v>
      </c>
    </row>
    <row r="318" spans="1:23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f t="shared" si="4"/>
        <v>0</v>
      </c>
    </row>
    <row r="319" spans="1:23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>
        <f t="shared" si="4"/>
        <v>0</v>
      </c>
    </row>
    <row r="320" spans="1:23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>
        <f t="shared" si="4"/>
        <v>0</v>
      </c>
    </row>
    <row r="321" spans="1:23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>
        <f t="shared" si="4"/>
        <v>0</v>
      </c>
    </row>
    <row r="322" spans="1:23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f t="shared" si="4"/>
        <v>0</v>
      </c>
    </row>
    <row r="323" spans="1:23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>
        <f t="shared" si="4"/>
        <v>0</v>
      </c>
    </row>
    <row r="324" spans="1:23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>
        <f t="shared" ref="W324:W348" si="5">SUM(C324:V324)</f>
        <v>0</v>
      </c>
    </row>
    <row r="325" spans="1:23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>
        <f t="shared" si="5"/>
        <v>0</v>
      </c>
    </row>
    <row r="326" spans="1:23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>
        <f t="shared" si="5"/>
        <v>0</v>
      </c>
    </row>
    <row r="327" spans="1:23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>
        <f t="shared" si="5"/>
        <v>0</v>
      </c>
    </row>
    <row r="328" spans="1:23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>
        <f t="shared" si="5"/>
        <v>0</v>
      </c>
    </row>
    <row r="329" spans="1:23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>
        <f t="shared" si="5"/>
        <v>0</v>
      </c>
    </row>
    <row r="330" spans="1:23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f t="shared" si="5"/>
        <v>0</v>
      </c>
    </row>
    <row r="331" spans="1:23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f t="shared" si="5"/>
        <v>0</v>
      </c>
    </row>
    <row r="332" spans="1:23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>
        <f t="shared" si="5"/>
        <v>0</v>
      </c>
    </row>
    <row r="333" spans="1:23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f t="shared" si="5"/>
        <v>0</v>
      </c>
    </row>
    <row r="334" spans="1:23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>
        <f t="shared" si="5"/>
        <v>0</v>
      </c>
    </row>
    <row r="335" spans="1:23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>
        <f t="shared" si="5"/>
        <v>0</v>
      </c>
    </row>
    <row r="336" spans="1:23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>
        <f t="shared" si="5"/>
        <v>0</v>
      </c>
    </row>
    <row r="337" spans="1:23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>
        <f t="shared" si="5"/>
        <v>0</v>
      </c>
    </row>
    <row r="338" spans="1:23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>
        <f t="shared" si="5"/>
        <v>0</v>
      </c>
    </row>
    <row r="339" spans="1:23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>
        <f t="shared" si="5"/>
        <v>0</v>
      </c>
    </row>
    <row r="340" spans="1:23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f t="shared" si="5"/>
        <v>0</v>
      </c>
    </row>
    <row r="341" spans="1:23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>
        <f t="shared" si="5"/>
        <v>0</v>
      </c>
    </row>
    <row r="342" spans="1:23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>
        <f t="shared" si="5"/>
        <v>0</v>
      </c>
    </row>
    <row r="343" spans="1:23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>
        <f t="shared" si="5"/>
        <v>0</v>
      </c>
    </row>
    <row r="344" spans="1:23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f t="shared" si="5"/>
        <v>0</v>
      </c>
    </row>
    <row r="345" spans="1:23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>
        <f t="shared" si="5"/>
        <v>0</v>
      </c>
    </row>
    <row r="346" spans="1:23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>
        <f t="shared" si="5"/>
        <v>0</v>
      </c>
    </row>
    <row r="347" spans="1:23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>
        <f t="shared" si="5"/>
        <v>0</v>
      </c>
    </row>
    <row r="348" spans="1:23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f t="shared" si="5"/>
        <v>0</v>
      </c>
    </row>
    <row r="349" spans="3:23">
      <c r="C349" s="6">
        <f t="shared" ref="C349:V349" si="6">SUM(C1:C348)</f>
        <v>0</v>
      </c>
      <c r="D349" s="6">
        <f t="shared" si="6"/>
        <v>0</v>
      </c>
      <c r="E349" s="6">
        <f t="shared" si="6"/>
        <v>0</v>
      </c>
      <c r="F349" s="6">
        <f t="shared" si="6"/>
        <v>0</v>
      </c>
      <c r="G349" s="6">
        <f t="shared" si="6"/>
        <v>0</v>
      </c>
      <c r="H349" s="6">
        <f t="shared" si="6"/>
        <v>0</v>
      </c>
      <c r="I349" s="6">
        <f t="shared" si="6"/>
        <v>0</v>
      </c>
      <c r="J349" s="6">
        <f t="shared" si="6"/>
        <v>0</v>
      </c>
      <c r="K349" s="6">
        <f t="shared" si="6"/>
        <v>0</v>
      </c>
      <c r="L349" s="6">
        <f t="shared" si="6"/>
        <v>0</v>
      </c>
      <c r="M349" s="6">
        <f t="shared" si="6"/>
        <v>102.55</v>
      </c>
      <c r="N349" s="6">
        <f t="shared" si="6"/>
        <v>307.6</v>
      </c>
      <c r="O349" s="6">
        <f t="shared" si="6"/>
        <v>341.5</v>
      </c>
      <c r="P349" s="6">
        <f t="shared" si="6"/>
        <v>387.75</v>
      </c>
      <c r="Q349" s="6">
        <f t="shared" si="6"/>
        <v>159.15</v>
      </c>
      <c r="R349" s="6">
        <f t="shared" si="6"/>
        <v>0</v>
      </c>
      <c r="S349" s="6">
        <f t="shared" si="6"/>
        <v>29.9</v>
      </c>
      <c r="T349" s="6">
        <f t="shared" si="6"/>
        <v>174.1</v>
      </c>
      <c r="U349" s="6">
        <f t="shared" si="6"/>
        <v>154.65</v>
      </c>
      <c r="V349" s="6">
        <f t="shared" si="6"/>
        <v>0</v>
      </c>
      <c r="W349" s="6">
        <f>SUM(W2:W348)</f>
        <v>1657.2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Sept.</vt:lpstr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abdo</cp:lastModifiedBy>
  <dcterms:created xsi:type="dcterms:W3CDTF">2014-10-22T10:40:00Z</dcterms:created>
  <cp:lastPrinted>2012-06-18T08:04:00Z</cp:lastPrinted>
  <dcterms:modified xsi:type="dcterms:W3CDTF">2022-10-12T10:18:20Z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