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85" windowHeight="9870" firstSheet="6" activeTab="18"/>
  </bookViews>
  <sheets>
    <sheet name="1" sheetId="16" r:id="rId1"/>
    <sheet name="2" sheetId="17" r:id="rId2"/>
    <sheet name="3" sheetId="18" r:id="rId3"/>
    <sheet name="4" sheetId="19" r:id="rId4"/>
    <sheet name="5" sheetId="20" r:id="rId5"/>
    <sheet name="6" sheetId="21" r:id="rId6"/>
    <sheet name="7" sheetId="22" r:id="rId7"/>
    <sheet name="8" sheetId="23" r:id="rId8"/>
    <sheet name="9" sheetId="24" r:id="rId9"/>
    <sheet name="10" sheetId="25" r:id="rId10"/>
    <sheet name="11" sheetId="26" r:id="rId11"/>
    <sheet name="12" sheetId="27" r:id="rId12"/>
    <sheet name="13" sheetId="28" r:id="rId13"/>
    <sheet name="14" sheetId="29" r:id="rId14"/>
    <sheet name="15" sheetId="30" r:id="rId15"/>
    <sheet name="16" sheetId="31" r:id="rId16"/>
    <sheet name="17" sheetId="7" r:id="rId17"/>
    <sheet name="18" sheetId="15" r:id="rId18"/>
    <sheet name="19" sheetId="2" r:id="rId19"/>
    <sheet name="20" sheetId="3" r:id="rId20"/>
    <sheet name="21" sheetId="4" r:id="rId21"/>
    <sheet name="22" sheetId="5" r:id="rId22"/>
    <sheet name="23" sheetId="6" r:id="rId23"/>
    <sheet name="24" sheetId="8" r:id="rId24"/>
    <sheet name="25" sheetId="9" r:id="rId25"/>
    <sheet name="26" sheetId="10" r:id="rId26"/>
    <sheet name="27" sheetId="11" r:id="rId27"/>
    <sheet name="28" sheetId="12" r:id="rId28"/>
    <sheet name="29" sheetId="13" r:id="rId29"/>
    <sheet name="30" sheetId="14" r:id="rId30"/>
    <sheet name="31" sheetId="32" r:id="rId31"/>
    <sheet name="Total" sheetId="33" r:id="rId32"/>
  </sheets>
  <calcPr calcId="144525"/>
</workbook>
</file>

<file path=xl/sharedStrings.xml><?xml version="1.0" encoding="utf-8"?>
<sst xmlns="http://schemas.openxmlformats.org/spreadsheetml/2006/main" count="739" uniqueCount="27">
  <si>
    <t>N° CPT</t>
  </si>
  <si>
    <t>FOURNISSEUR</t>
  </si>
  <si>
    <t>T1</t>
  </si>
  <si>
    <t>T2</t>
  </si>
  <si>
    <t>T3</t>
  </si>
  <si>
    <t>T4</t>
  </si>
  <si>
    <t>T5</t>
  </si>
  <si>
    <t>T6</t>
  </si>
  <si>
    <t>T7</t>
  </si>
  <si>
    <t>T8</t>
  </si>
  <si>
    <t>T01</t>
  </si>
  <si>
    <t>T02</t>
  </si>
  <si>
    <t>T03</t>
  </si>
  <si>
    <t>T04</t>
  </si>
  <si>
    <t>T05</t>
  </si>
  <si>
    <t>T06</t>
  </si>
  <si>
    <t>T07</t>
  </si>
  <si>
    <t>T08</t>
  </si>
  <si>
    <t>PR1</t>
  </si>
  <si>
    <t>PR2</t>
  </si>
  <si>
    <t>PR3</t>
  </si>
  <si>
    <t>PR</t>
  </si>
  <si>
    <t>TOTAL</t>
  </si>
  <si>
    <t xml:space="preserve"> </t>
  </si>
  <si>
    <t xml:space="preserve">                </t>
  </si>
  <si>
    <t>13,,4</t>
  </si>
  <si>
    <t xml:space="preserve">  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</si>
</sst>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0"/>
      <name val="MS Sans Serif"/>
      <charset val="134"/>
    </font>
    <font>
      <b/>
      <sz val="10"/>
      <name val="MS Sans Serif"/>
      <charset val="134"/>
    </font>
    <font>
      <sz val="10"/>
      <name val="Nimbus Roman No9 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5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58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2" borderId="1" xfId="0" applyNumberFormat="1" applyFill="1" applyBorder="1"/>
    <xf numFmtId="2" fontId="0" fillId="0" borderId="1" xfId="0" applyNumberFormat="1" applyFont="1" applyBorder="1"/>
    <xf numFmtId="2" fontId="2" fillId="0" borderId="1" xfId="0" applyNumberFormat="1" applyFont="1" applyBorder="1"/>
    <xf numFmtId="0" fontId="3" fillId="0" borderId="2" xfId="0" applyFont="1" applyBorder="1" applyAlignment="1">
      <alignment horizontal="right" wrapText="1" readingOrder="1"/>
    </xf>
    <xf numFmtId="0" fontId="3" fillId="0" borderId="2" xfId="0" applyFont="1" applyBorder="1" applyAlignment="1">
      <alignment wrapText="1" readingOrder="1"/>
    </xf>
    <xf numFmtId="2" fontId="0" fillId="0" borderId="3" xfId="0" applyNumberForma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59" activePane="bottomLeft" state="frozen"/>
      <selection/>
      <selection pane="bottomLeft" activeCell="A87" sqref="A87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ht="15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5" spans="1:23">
      <c r="A2" s="10">
        <v>1014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11"/>
      <c r="N2" s="10">
        <v>1.6</v>
      </c>
      <c r="O2" s="11"/>
      <c r="P2" s="10">
        <v>0.95</v>
      </c>
      <c r="Q2" s="10">
        <v>1.65</v>
      </c>
      <c r="R2" s="11"/>
      <c r="S2" s="10">
        <v>3.05</v>
      </c>
      <c r="T2" s="11"/>
      <c r="U2" s="11"/>
      <c r="V2" s="11"/>
      <c r="W2" s="5">
        <f t="shared" ref="W2:W67" si="0">SUM(C2:V2)</f>
        <v>7.25</v>
      </c>
    </row>
    <row r="3" ht="15" spans="1:23">
      <c r="A3" s="10">
        <v>579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10">
        <v>24.6</v>
      </c>
      <c r="N3" s="10">
        <v>1.6</v>
      </c>
      <c r="O3" s="11"/>
      <c r="P3" s="10">
        <v>3.4</v>
      </c>
      <c r="Q3" s="11"/>
      <c r="R3" s="11"/>
      <c r="S3" s="10">
        <v>11</v>
      </c>
      <c r="T3" s="11"/>
      <c r="U3" s="11"/>
      <c r="V3" s="11"/>
      <c r="W3" s="5">
        <f t="shared" si="0"/>
        <v>40.6</v>
      </c>
    </row>
    <row r="4" ht="15" spans="1:23">
      <c r="A4" s="10">
        <v>1795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10">
        <v>13.15</v>
      </c>
      <c r="N4" s="10">
        <v>3.3</v>
      </c>
      <c r="O4" s="11"/>
      <c r="P4" s="10">
        <v>1.05</v>
      </c>
      <c r="Q4" s="11"/>
      <c r="R4" s="11"/>
      <c r="S4" s="10">
        <v>8.65</v>
      </c>
      <c r="T4" s="11"/>
      <c r="U4" s="10">
        <v>0.8</v>
      </c>
      <c r="V4" s="11"/>
      <c r="W4" s="5">
        <f t="shared" si="0"/>
        <v>26.95</v>
      </c>
    </row>
    <row r="5" ht="15" spans="1:23">
      <c r="A5" s="10">
        <v>445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10">
        <v>6.4</v>
      </c>
      <c r="N5" s="10">
        <v>6.4</v>
      </c>
      <c r="O5" s="10">
        <v>1.4</v>
      </c>
      <c r="P5" s="10">
        <v>0.95</v>
      </c>
      <c r="Q5" s="11"/>
      <c r="R5" s="11"/>
      <c r="S5" s="10">
        <v>9</v>
      </c>
      <c r="T5" s="11"/>
      <c r="U5" s="11"/>
      <c r="V5" s="11"/>
      <c r="W5" s="5">
        <f t="shared" si="0"/>
        <v>24.15</v>
      </c>
    </row>
    <row r="6" ht="15" spans="1:23">
      <c r="A6" s="10">
        <v>1010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10">
        <v>68.1</v>
      </c>
      <c r="N6" s="10">
        <v>67.35</v>
      </c>
      <c r="O6" s="10">
        <v>53.05</v>
      </c>
      <c r="P6" s="10">
        <v>65.05</v>
      </c>
      <c r="Q6" s="10">
        <v>26.8</v>
      </c>
      <c r="R6" s="11"/>
      <c r="S6" s="10">
        <v>23.15</v>
      </c>
      <c r="T6" s="10">
        <v>6.3</v>
      </c>
      <c r="U6" s="10">
        <v>8.2</v>
      </c>
      <c r="V6" s="11"/>
      <c r="W6" s="5">
        <f t="shared" si="0"/>
        <v>318</v>
      </c>
    </row>
    <row r="7" ht="15" spans="1:23">
      <c r="A7" s="10">
        <v>309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10">
        <v>120.7</v>
      </c>
      <c r="N7" s="10">
        <v>90.65</v>
      </c>
      <c r="O7" s="10">
        <v>49.4</v>
      </c>
      <c r="P7" s="10">
        <v>29.6</v>
      </c>
      <c r="Q7" s="10">
        <v>9.4</v>
      </c>
      <c r="R7" s="11"/>
      <c r="S7" s="10">
        <v>44.35</v>
      </c>
      <c r="T7" s="10">
        <v>10.8</v>
      </c>
      <c r="U7" s="10">
        <v>6.75</v>
      </c>
      <c r="V7" s="11"/>
      <c r="W7" s="5">
        <f t="shared" si="0"/>
        <v>361.65</v>
      </c>
    </row>
    <row r="8" ht="15" spans="1:23">
      <c r="A8" s="10">
        <v>1024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10">
        <v>14.1</v>
      </c>
      <c r="N8" s="10">
        <v>16.15</v>
      </c>
      <c r="O8" s="10">
        <v>2.9</v>
      </c>
      <c r="P8" s="11"/>
      <c r="Q8" s="11"/>
      <c r="R8" s="11"/>
      <c r="S8" s="11"/>
      <c r="T8" s="11"/>
      <c r="U8" s="11"/>
      <c r="V8" s="11"/>
      <c r="W8" s="5">
        <f t="shared" si="0"/>
        <v>33.15</v>
      </c>
    </row>
    <row r="9" ht="15" spans="1:23">
      <c r="A9" s="10">
        <v>207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10">
        <v>28.55</v>
      </c>
      <c r="N9" s="10">
        <v>24.15</v>
      </c>
      <c r="O9" s="10">
        <v>32.65</v>
      </c>
      <c r="P9" s="10">
        <v>54.6</v>
      </c>
      <c r="Q9" s="10">
        <v>11.4</v>
      </c>
      <c r="R9" s="11"/>
      <c r="S9" s="10">
        <v>15.4</v>
      </c>
      <c r="T9" s="10">
        <v>4.65</v>
      </c>
      <c r="U9" s="10">
        <v>3.65</v>
      </c>
      <c r="V9" s="11"/>
      <c r="W9" s="5">
        <f t="shared" si="0"/>
        <v>175.05</v>
      </c>
    </row>
    <row r="10" ht="15" spans="1:23">
      <c r="A10" s="10">
        <v>672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10">
        <v>98.85</v>
      </c>
      <c r="N10" s="10">
        <v>125.6</v>
      </c>
      <c r="O10" s="10">
        <v>117.3</v>
      </c>
      <c r="P10" s="10">
        <v>107.15</v>
      </c>
      <c r="Q10" s="10">
        <v>32.55</v>
      </c>
      <c r="R10" s="11"/>
      <c r="S10" s="10">
        <v>64.3</v>
      </c>
      <c r="T10" s="10">
        <v>27.45</v>
      </c>
      <c r="U10" s="10">
        <v>24.95</v>
      </c>
      <c r="V10" s="11"/>
      <c r="W10" s="5">
        <f t="shared" si="0"/>
        <v>598.15</v>
      </c>
    </row>
    <row r="11" ht="15" spans="1:23">
      <c r="A11" s="10">
        <v>996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10">
        <v>27.05</v>
      </c>
      <c r="N11" s="11"/>
      <c r="O11" s="11"/>
      <c r="P11" s="11"/>
      <c r="Q11" s="11"/>
      <c r="R11" s="11"/>
      <c r="S11" s="10">
        <v>9.15</v>
      </c>
      <c r="T11" s="11"/>
      <c r="U11" s="11"/>
      <c r="V11" s="11"/>
      <c r="W11" s="5">
        <f t="shared" si="0"/>
        <v>36.2</v>
      </c>
    </row>
    <row r="12" ht="15" spans="1:23">
      <c r="A12" s="10">
        <v>1651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10">
        <v>78.8</v>
      </c>
      <c r="N12" s="10">
        <v>19.8</v>
      </c>
      <c r="O12" s="10">
        <v>8.4</v>
      </c>
      <c r="P12" s="10">
        <v>7.3</v>
      </c>
      <c r="Q12" s="11"/>
      <c r="R12" s="11"/>
      <c r="S12" s="11"/>
      <c r="T12" s="11"/>
      <c r="U12" s="11"/>
      <c r="V12" s="11"/>
      <c r="W12" s="5">
        <f t="shared" si="0"/>
        <v>114.3</v>
      </c>
    </row>
    <row r="13" ht="15" spans="1:23">
      <c r="A13" s="10">
        <v>478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10">
        <v>28.65</v>
      </c>
      <c r="N13" s="10">
        <v>32.1</v>
      </c>
      <c r="O13" s="10">
        <v>15.1</v>
      </c>
      <c r="P13" s="10">
        <v>20.4</v>
      </c>
      <c r="Q13" s="10">
        <v>5.65</v>
      </c>
      <c r="R13" s="11"/>
      <c r="S13" s="10">
        <v>13.55</v>
      </c>
      <c r="T13" s="10">
        <v>11.25</v>
      </c>
      <c r="U13" s="10">
        <v>4.1</v>
      </c>
      <c r="V13" s="11"/>
      <c r="W13" s="5">
        <f t="shared" si="0"/>
        <v>130.8</v>
      </c>
    </row>
    <row r="14" ht="15" spans="1:23">
      <c r="A14" s="10">
        <v>1011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10">
        <v>12.9</v>
      </c>
      <c r="N14" s="10">
        <v>12.5</v>
      </c>
      <c r="O14" s="10">
        <v>6.25</v>
      </c>
      <c r="P14" s="10">
        <v>13</v>
      </c>
      <c r="Q14" s="10">
        <v>4.45</v>
      </c>
      <c r="R14" s="11"/>
      <c r="S14" s="10">
        <v>7.05</v>
      </c>
      <c r="T14" s="10">
        <v>3.6</v>
      </c>
      <c r="U14" s="11"/>
      <c r="V14" s="11"/>
      <c r="W14" s="5">
        <f t="shared" si="0"/>
        <v>59.75</v>
      </c>
    </row>
    <row r="15" ht="15" spans="1:23">
      <c r="A15" s="10">
        <v>1038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10">
        <v>28.9</v>
      </c>
      <c r="N15" s="10">
        <v>23.65</v>
      </c>
      <c r="O15" s="10">
        <v>32.05</v>
      </c>
      <c r="P15" s="10">
        <v>29.55</v>
      </c>
      <c r="Q15" s="10">
        <v>11.6</v>
      </c>
      <c r="R15" s="11"/>
      <c r="S15" s="10">
        <v>16.1</v>
      </c>
      <c r="T15" s="10">
        <v>17.2</v>
      </c>
      <c r="U15" s="10">
        <v>10.4</v>
      </c>
      <c r="V15" s="11"/>
      <c r="W15" s="5">
        <f t="shared" si="0"/>
        <v>169.45</v>
      </c>
    </row>
    <row r="16" ht="15" spans="1:23">
      <c r="A16" s="10">
        <v>354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10">
        <v>65.85</v>
      </c>
      <c r="N16" s="10">
        <v>107.65</v>
      </c>
      <c r="O16" s="10">
        <v>160.3</v>
      </c>
      <c r="P16" s="10">
        <v>117.8</v>
      </c>
      <c r="Q16" s="10">
        <v>32.5</v>
      </c>
      <c r="R16" s="11"/>
      <c r="S16" s="10">
        <v>44.75</v>
      </c>
      <c r="T16" s="10">
        <v>27</v>
      </c>
      <c r="U16" s="10">
        <v>16.9</v>
      </c>
      <c r="V16" s="11"/>
      <c r="W16" s="5">
        <f t="shared" si="0"/>
        <v>572.75</v>
      </c>
    </row>
    <row r="17" ht="15" spans="1:23">
      <c r="A17" s="10">
        <v>4005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10">
        <v>133.2</v>
      </c>
      <c r="N17" s="10">
        <v>116.95</v>
      </c>
      <c r="O17" s="10">
        <v>94.2</v>
      </c>
      <c r="P17" s="10">
        <v>90.25</v>
      </c>
      <c r="Q17" s="10">
        <v>39.4</v>
      </c>
      <c r="R17" s="11"/>
      <c r="S17" s="10">
        <v>54.8</v>
      </c>
      <c r="T17" s="10">
        <v>17.35</v>
      </c>
      <c r="U17" s="10">
        <v>17.85</v>
      </c>
      <c r="V17" s="11"/>
      <c r="W17" s="5">
        <f t="shared" si="0"/>
        <v>564</v>
      </c>
    </row>
    <row r="18" ht="15" spans="1:23">
      <c r="A18" s="10">
        <v>1010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10">
        <v>24.4</v>
      </c>
      <c r="N18" s="10">
        <v>63.65</v>
      </c>
      <c r="O18" s="10">
        <v>71.15</v>
      </c>
      <c r="P18" s="10">
        <v>37.9</v>
      </c>
      <c r="Q18" s="11"/>
      <c r="R18" s="11"/>
      <c r="S18" s="10">
        <v>15.85</v>
      </c>
      <c r="T18" s="10">
        <v>11.65</v>
      </c>
      <c r="U18" s="10">
        <v>7.8</v>
      </c>
      <c r="V18" s="11"/>
      <c r="W18" s="5">
        <f t="shared" si="0"/>
        <v>232.4</v>
      </c>
    </row>
    <row r="19" ht="15" spans="1:23">
      <c r="A19" s="10">
        <v>2389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10">
        <v>2.15</v>
      </c>
      <c r="N19" s="10">
        <v>1.9</v>
      </c>
      <c r="O19" s="10">
        <v>4.35</v>
      </c>
      <c r="P19" s="10">
        <v>4.7</v>
      </c>
      <c r="Q19" s="10">
        <v>1.4</v>
      </c>
      <c r="R19" s="11"/>
      <c r="S19" s="10">
        <v>3.65</v>
      </c>
      <c r="T19" s="10">
        <v>2.65</v>
      </c>
      <c r="U19" s="11"/>
      <c r="V19" s="11"/>
      <c r="W19" s="5">
        <f t="shared" si="0"/>
        <v>20.8</v>
      </c>
    </row>
    <row r="20" ht="15" spans="1:23">
      <c r="A20" s="10">
        <v>444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10">
        <v>9.6</v>
      </c>
      <c r="N20" s="10">
        <v>3.8</v>
      </c>
      <c r="O20" s="10">
        <v>13.7</v>
      </c>
      <c r="P20" s="10">
        <v>9.2</v>
      </c>
      <c r="Q20" s="10">
        <v>4.2</v>
      </c>
      <c r="R20" s="11"/>
      <c r="S20" s="11"/>
      <c r="T20" s="11"/>
      <c r="U20" s="10">
        <v>1.25</v>
      </c>
      <c r="V20" s="11"/>
      <c r="W20" s="5">
        <f t="shared" si="0"/>
        <v>41.75</v>
      </c>
    </row>
    <row r="21" ht="15" spans="1:23">
      <c r="A21" s="10">
        <v>260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10">
        <v>89.5</v>
      </c>
      <c r="N21" s="10">
        <v>154.7</v>
      </c>
      <c r="O21" s="10">
        <v>143.25</v>
      </c>
      <c r="P21" s="10">
        <v>110.55</v>
      </c>
      <c r="Q21" s="10">
        <v>34.1</v>
      </c>
      <c r="R21" s="11"/>
      <c r="S21" s="10">
        <v>72.15</v>
      </c>
      <c r="T21" s="10">
        <v>32.3</v>
      </c>
      <c r="U21" s="10">
        <v>19.9</v>
      </c>
      <c r="V21" s="11"/>
      <c r="W21" s="5">
        <f t="shared" si="0"/>
        <v>656.45</v>
      </c>
    </row>
    <row r="22" ht="15" spans="1:23">
      <c r="A22" s="10">
        <v>767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11"/>
      <c r="N22" s="11"/>
      <c r="O22" s="11"/>
      <c r="P22" s="11"/>
      <c r="Q22" s="11"/>
      <c r="R22" s="11"/>
      <c r="S22" s="10">
        <v>6.8</v>
      </c>
      <c r="T22" s="11"/>
      <c r="U22" s="11"/>
      <c r="V22" s="11"/>
      <c r="W22" s="5">
        <f t="shared" si="0"/>
        <v>6.8</v>
      </c>
    </row>
    <row r="23" ht="15" spans="1:23">
      <c r="A23" s="10">
        <v>1795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10">
        <v>2.5</v>
      </c>
      <c r="N23" s="11"/>
      <c r="O23" s="10">
        <v>1.35</v>
      </c>
      <c r="P23" s="11"/>
      <c r="Q23" s="11"/>
      <c r="R23" s="11"/>
      <c r="S23" s="10">
        <v>4.3</v>
      </c>
      <c r="T23" s="11"/>
      <c r="U23" s="11"/>
      <c r="V23" s="11"/>
      <c r="W23" s="5">
        <f t="shared" si="0"/>
        <v>8.15</v>
      </c>
    </row>
    <row r="24" ht="15" spans="1:23">
      <c r="A24" s="10">
        <v>1745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10">
        <v>5</v>
      </c>
      <c r="N24" s="10">
        <v>7.2</v>
      </c>
      <c r="O24" s="10">
        <v>11</v>
      </c>
      <c r="P24" s="10">
        <v>3.5</v>
      </c>
      <c r="Q24" s="10">
        <v>1.75</v>
      </c>
      <c r="R24" s="11"/>
      <c r="S24" s="10">
        <v>5.85</v>
      </c>
      <c r="T24" s="11"/>
      <c r="U24" s="11"/>
      <c r="V24" s="11"/>
      <c r="W24" s="5">
        <f t="shared" si="0"/>
        <v>34.3</v>
      </c>
    </row>
    <row r="25" ht="15" spans="1:23">
      <c r="A25" s="10">
        <v>309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10">
        <v>46.4</v>
      </c>
      <c r="N25" s="10">
        <v>132.55</v>
      </c>
      <c r="O25" s="10">
        <v>160.65</v>
      </c>
      <c r="P25" s="10">
        <v>157.7</v>
      </c>
      <c r="Q25" s="10">
        <v>39.5</v>
      </c>
      <c r="R25" s="11"/>
      <c r="S25" s="10">
        <v>80.2</v>
      </c>
      <c r="T25" s="10">
        <v>29.45</v>
      </c>
      <c r="U25" s="10">
        <v>22.55</v>
      </c>
      <c r="V25" s="11"/>
      <c r="W25" s="5">
        <f t="shared" si="0"/>
        <v>669</v>
      </c>
    </row>
    <row r="26" ht="15" spans="1:23">
      <c r="A26" s="10">
        <v>309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10">
        <v>199.25</v>
      </c>
      <c r="N26" s="10">
        <v>154.45</v>
      </c>
      <c r="O26" s="10">
        <v>130.1</v>
      </c>
      <c r="P26" s="10">
        <v>114.6</v>
      </c>
      <c r="Q26" s="10">
        <v>77.25</v>
      </c>
      <c r="R26" s="11"/>
      <c r="S26" s="10">
        <v>68</v>
      </c>
      <c r="T26" s="10">
        <v>32.75</v>
      </c>
      <c r="U26" s="10">
        <v>27.1</v>
      </c>
      <c r="V26" s="11"/>
      <c r="W26" s="5">
        <f t="shared" si="0"/>
        <v>803.5</v>
      </c>
    </row>
    <row r="27" ht="15" spans="1:23">
      <c r="A27" s="10">
        <v>309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10">
        <v>23.85</v>
      </c>
      <c r="N27" s="10">
        <v>27.9</v>
      </c>
      <c r="O27" s="10">
        <v>28.7</v>
      </c>
      <c r="P27" s="10">
        <v>22.1</v>
      </c>
      <c r="Q27" s="10">
        <v>11.3</v>
      </c>
      <c r="R27" s="11"/>
      <c r="S27" s="10">
        <v>33.7</v>
      </c>
      <c r="T27" s="10">
        <v>16.4</v>
      </c>
      <c r="U27" s="10">
        <v>17.9</v>
      </c>
      <c r="V27" s="11"/>
      <c r="W27" s="5">
        <f t="shared" si="0"/>
        <v>181.85</v>
      </c>
    </row>
    <row r="28" ht="15" spans="1:23">
      <c r="A28" s="10">
        <v>2167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10">
        <v>160.8</v>
      </c>
      <c r="N28" s="10">
        <v>119.75</v>
      </c>
      <c r="O28" s="10">
        <v>148.95</v>
      </c>
      <c r="P28" s="10">
        <v>92.15</v>
      </c>
      <c r="Q28" s="10">
        <v>59.5</v>
      </c>
      <c r="R28" s="11"/>
      <c r="S28" s="10">
        <v>147.85</v>
      </c>
      <c r="T28" s="10">
        <v>50.35</v>
      </c>
      <c r="U28" s="10">
        <v>36.35</v>
      </c>
      <c r="V28" s="11"/>
      <c r="W28" s="5">
        <f t="shared" si="0"/>
        <v>815.7</v>
      </c>
    </row>
    <row r="29" ht="15" spans="1:23">
      <c r="A29" s="10">
        <v>2425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10">
        <v>40.85</v>
      </c>
      <c r="N29" s="10">
        <v>54.85</v>
      </c>
      <c r="O29" s="10">
        <v>36.85</v>
      </c>
      <c r="P29" s="10">
        <v>10</v>
      </c>
      <c r="Q29" s="10">
        <v>5.8</v>
      </c>
      <c r="R29" s="11"/>
      <c r="S29" s="10">
        <v>11.65</v>
      </c>
      <c r="T29" s="10">
        <v>12.45</v>
      </c>
      <c r="U29" s="10">
        <v>4.55</v>
      </c>
      <c r="V29" s="11"/>
      <c r="W29" s="5">
        <f t="shared" si="0"/>
        <v>177</v>
      </c>
    </row>
    <row r="30" ht="15" spans="1:23">
      <c r="A30" s="10">
        <v>1009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10">
        <v>36.9</v>
      </c>
      <c r="N30" s="10">
        <v>33.7</v>
      </c>
      <c r="O30" s="10">
        <v>67.6</v>
      </c>
      <c r="P30" s="10">
        <v>23.05</v>
      </c>
      <c r="Q30" s="10">
        <v>10.85</v>
      </c>
      <c r="R30" s="11"/>
      <c r="S30" s="10">
        <v>49.3</v>
      </c>
      <c r="T30" s="10">
        <v>14.3</v>
      </c>
      <c r="U30" s="10">
        <v>13.85</v>
      </c>
      <c r="V30" s="11"/>
      <c r="W30" s="5">
        <f t="shared" si="0"/>
        <v>249.55</v>
      </c>
    </row>
    <row r="31" ht="15" spans="1:23">
      <c r="A31" s="10">
        <v>1009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10">
        <v>37.85</v>
      </c>
      <c r="N31" s="10">
        <v>57</v>
      </c>
      <c r="O31" s="10">
        <v>44.65</v>
      </c>
      <c r="P31" s="10">
        <v>36.45</v>
      </c>
      <c r="Q31" s="10">
        <v>22.25</v>
      </c>
      <c r="R31" s="11"/>
      <c r="S31" s="10">
        <v>36.7</v>
      </c>
      <c r="T31" s="10">
        <v>27.75</v>
      </c>
      <c r="U31" s="10">
        <v>12.15</v>
      </c>
      <c r="V31" s="11"/>
      <c r="W31" s="5">
        <f t="shared" si="0"/>
        <v>274.8</v>
      </c>
    </row>
    <row r="32" ht="15" spans="1:23">
      <c r="A32" s="10">
        <v>208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10">
        <v>5.55</v>
      </c>
      <c r="N32" s="10">
        <v>8.6</v>
      </c>
      <c r="O32" s="10">
        <v>4.1</v>
      </c>
      <c r="P32" s="10">
        <v>3.45</v>
      </c>
      <c r="Q32" s="11"/>
      <c r="R32" s="11"/>
      <c r="S32" s="11"/>
      <c r="T32" s="11"/>
      <c r="U32" s="11"/>
      <c r="V32" s="11"/>
      <c r="W32" s="5">
        <f t="shared" si="0"/>
        <v>21.7</v>
      </c>
    </row>
    <row r="33" ht="15" spans="1:23">
      <c r="A33" s="10">
        <v>1016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10">
        <v>9.25</v>
      </c>
      <c r="N33" s="10">
        <v>1.75</v>
      </c>
      <c r="O33" s="10">
        <v>6</v>
      </c>
      <c r="P33" s="10">
        <v>1.1</v>
      </c>
      <c r="Q33" s="10">
        <v>1.8</v>
      </c>
      <c r="R33" s="11"/>
      <c r="S33" s="10">
        <v>10.55</v>
      </c>
      <c r="T33" s="10">
        <v>3.45</v>
      </c>
      <c r="U33" s="11"/>
      <c r="V33" s="11"/>
      <c r="W33" s="5">
        <f t="shared" si="0"/>
        <v>33.9</v>
      </c>
    </row>
    <row r="34" ht="15" spans="1:23">
      <c r="A34" s="10">
        <v>1023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10">
        <v>90.5</v>
      </c>
      <c r="N34" s="10">
        <v>150.1</v>
      </c>
      <c r="O34" s="10">
        <v>130.25</v>
      </c>
      <c r="P34" s="10">
        <v>137.05</v>
      </c>
      <c r="Q34" s="10">
        <v>63.8</v>
      </c>
      <c r="R34" s="11"/>
      <c r="S34" s="10">
        <v>12.55</v>
      </c>
      <c r="T34" s="10">
        <v>41.65</v>
      </c>
      <c r="U34" s="10">
        <v>18.3</v>
      </c>
      <c r="V34" s="11"/>
      <c r="W34" s="5">
        <f t="shared" si="0"/>
        <v>644.2</v>
      </c>
    </row>
    <row r="35" ht="15" spans="1:23">
      <c r="A35" s="10">
        <v>1023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10">
        <v>139.45</v>
      </c>
      <c r="N35" s="10">
        <v>154.3</v>
      </c>
      <c r="O35" s="10">
        <v>120.8</v>
      </c>
      <c r="P35" s="10">
        <v>166.4</v>
      </c>
      <c r="Q35" s="10">
        <v>88</v>
      </c>
      <c r="R35" s="11"/>
      <c r="S35" s="10">
        <v>16.9</v>
      </c>
      <c r="T35" s="10">
        <v>52.85</v>
      </c>
      <c r="U35" s="10">
        <v>36.5</v>
      </c>
      <c r="V35" s="11"/>
      <c r="W35" s="5">
        <f t="shared" si="0"/>
        <v>775.2</v>
      </c>
    </row>
    <row r="36" ht="15" spans="1:23">
      <c r="A36" s="10">
        <v>1023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10">
        <v>142.55</v>
      </c>
      <c r="N36" s="10">
        <v>149.05</v>
      </c>
      <c r="O36" s="10">
        <v>109.2</v>
      </c>
      <c r="P36" s="10">
        <v>88.9</v>
      </c>
      <c r="Q36" s="10">
        <v>29.4</v>
      </c>
      <c r="R36" s="11"/>
      <c r="S36" s="10">
        <v>104.7</v>
      </c>
      <c r="T36" s="10">
        <v>39.1</v>
      </c>
      <c r="U36" s="10">
        <v>18.15</v>
      </c>
      <c r="V36" s="11"/>
      <c r="W36" s="5">
        <f t="shared" si="0"/>
        <v>681.05</v>
      </c>
    </row>
    <row r="37" ht="15" spans="1:23">
      <c r="A37" s="10">
        <v>1023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10">
        <v>22.5</v>
      </c>
      <c r="N37" s="10">
        <v>28.1</v>
      </c>
      <c r="O37" s="10">
        <v>35.95</v>
      </c>
      <c r="P37" s="10">
        <v>25.95</v>
      </c>
      <c r="Q37" s="10">
        <v>11.3</v>
      </c>
      <c r="R37" s="11"/>
      <c r="S37" s="10">
        <v>91.55</v>
      </c>
      <c r="T37" s="10">
        <v>72.5</v>
      </c>
      <c r="U37" s="10">
        <v>33.35</v>
      </c>
      <c r="V37" s="11"/>
      <c r="W37" s="5">
        <f t="shared" si="0"/>
        <v>321.2</v>
      </c>
    </row>
    <row r="38" ht="15" spans="1:23">
      <c r="A38" s="10">
        <v>1026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10">
        <v>12.2</v>
      </c>
      <c r="N38" s="10">
        <v>7.05</v>
      </c>
      <c r="O38" s="10">
        <v>1.45</v>
      </c>
      <c r="P38" s="11"/>
      <c r="Q38" s="11"/>
      <c r="R38" s="11"/>
      <c r="S38" s="11"/>
      <c r="T38" s="11"/>
      <c r="U38" s="11"/>
      <c r="V38" s="11"/>
      <c r="W38" s="5">
        <f t="shared" si="0"/>
        <v>20.7</v>
      </c>
    </row>
    <row r="39" ht="15" spans="1:23">
      <c r="A39" s="10">
        <v>1013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10">
        <v>65.1</v>
      </c>
      <c r="N39" s="10">
        <v>85.65</v>
      </c>
      <c r="O39" s="10">
        <v>113.5</v>
      </c>
      <c r="P39" s="10">
        <v>98.3</v>
      </c>
      <c r="Q39" s="10">
        <v>44.1</v>
      </c>
      <c r="R39" s="11"/>
      <c r="S39" s="10">
        <v>29.2</v>
      </c>
      <c r="T39" s="10">
        <v>40.9</v>
      </c>
      <c r="U39" s="10">
        <v>26.1</v>
      </c>
      <c r="V39" s="11"/>
      <c r="W39" s="5">
        <f t="shared" si="0"/>
        <v>502.85</v>
      </c>
    </row>
    <row r="40" ht="15" spans="1:23">
      <c r="A40" s="10">
        <v>1037</v>
      </c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11"/>
      <c r="N40" s="10">
        <v>8.7</v>
      </c>
      <c r="O40" s="11"/>
      <c r="P40" s="11"/>
      <c r="Q40" s="11"/>
      <c r="R40" s="11"/>
      <c r="S40" s="10">
        <v>13.75</v>
      </c>
      <c r="T40" s="11"/>
      <c r="U40" s="11"/>
      <c r="V40" s="11"/>
      <c r="W40" s="5">
        <f t="shared" si="0"/>
        <v>22.45</v>
      </c>
    </row>
    <row r="41" ht="15" spans="1:23">
      <c r="A41" s="10">
        <v>206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10">
        <v>11.25</v>
      </c>
      <c r="N41" s="10">
        <v>7.65</v>
      </c>
      <c r="O41" s="10">
        <v>10.85</v>
      </c>
      <c r="P41" s="10">
        <v>1.15</v>
      </c>
      <c r="Q41" s="10">
        <v>1.7</v>
      </c>
      <c r="R41" s="11"/>
      <c r="S41" s="10">
        <v>14.35</v>
      </c>
      <c r="T41" s="11"/>
      <c r="U41" s="11"/>
      <c r="V41" s="11"/>
      <c r="W41" s="5">
        <f t="shared" si="0"/>
        <v>46.95</v>
      </c>
    </row>
    <row r="42" ht="15" spans="1:23">
      <c r="A42" s="10">
        <v>2415</v>
      </c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10">
        <v>37.1</v>
      </c>
      <c r="N42" s="10">
        <v>24.8</v>
      </c>
      <c r="O42" s="10">
        <v>28.65</v>
      </c>
      <c r="P42" s="10">
        <v>18</v>
      </c>
      <c r="Q42" s="10">
        <v>3.75</v>
      </c>
      <c r="R42" s="11"/>
      <c r="S42" s="10">
        <v>25.6</v>
      </c>
      <c r="T42" s="10">
        <v>2.9</v>
      </c>
      <c r="U42" s="10">
        <v>7.45</v>
      </c>
      <c r="V42" s="11"/>
      <c r="W42" s="5">
        <f t="shared" si="0"/>
        <v>148.25</v>
      </c>
    </row>
    <row r="43" ht="15" spans="1:23">
      <c r="A43" s="10">
        <v>444</v>
      </c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10">
        <v>28.75</v>
      </c>
      <c r="N43" s="10">
        <v>32.9</v>
      </c>
      <c r="O43" s="10">
        <v>29.75</v>
      </c>
      <c r="P43" s="10">
        <v>26</v>
      </c>
      <c r="Q43" s="10">
        <v>16.3</v>
      </c>
      <c r="R43" s="11"/>
      <c r="S43" s="10">
        <v>19.75</v>
      </c>
      <c r="T43" s="10">
        <v>5.25</v>
      </c>
      <c r="U43" s="10">
        <v>8.9</v>
      </c>
      <c r="V43" s="11"/>
      <c r="W43" s="5">
        <f t="shared" si="0"/>
        <v>167.6</v>
      </c>
    </row>
    <row r="44" ht="15" spans="1:23">
      <c r="A44" s="10">
        <v>672</v>
      </c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10">
        <v>187.85</v>
      </c>
      <c r="N44" s="10">
        <v>142.45</v>
      </c>
      <c r="O44" s="10">
        <v>216.35</v>
      </c>
      <c r="P44" s="10">
        <v>216.35</v>
      </c>
      <c r="Q44" s="10">
        <v>110.5</v>
      </c>
      <c r="R44" s="11"/>
      <c r="S44" s="10">
        <v>80.3</v>
      </c>
      <c r="T44" s="10">
        <v>74.2</v>
      </c>
      <c r="U44" s="10">
        <v>62.05</v>
      </c>
      <c r="V44" s="11"/>
      <c r="W44" s="5">
        <f t="shared" si="0"/>
        <v>1090.05</v>
      </c>
    </row>
    <row r="45" ht="15" spans="1:23">
      <c r="A45" s="10">
        <v>1010</v>
      </c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10">
        <v>204.1</v>
      </c>
      <c r="N45" s="10">
        <v>163.15</v>
      </c>
      <c r="O45" s="10">
        <v>107.85</v>
      </c>
      <c r="P45" s="10">
        <v>112.15</v>
      </c>
      <c r="Q45" s="10">
        <v>41.85</v>
      </c>
      <c r="R45" s="11"/>
      <c r="S45" s="11"/>
      <c r="T45" s="11"/>
      <c r="U45" s="10">
        <v>41.55</v>
      </c>
      <c r="V45" s="11"/>
      <c r="W45" s="5">
        <f t="shared" si="0"/>
        <v>670.65</v>
      </c>
    </row>
    <row r="46" ht="15" spans="1:23">
      <c r="A46" s="10">
        <v>1010</v>
      </c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10">
        <v>39.95</v>
      </c>
      <c r="N46" s="10">
        <v>58.2</v>
      </c>
      <c r="O46" s="10">
        <v>45.35</v>
      </c>
      <c r="P46" s="10">
        <v>38.25</v>
      </c>
      <c r="Q46" s="10">
        <v>15.15</v>
      </c>
      <c r="R46" s="11"/>
      <c r="S46" s="10">
        <v>177.35</v>
      </c>
      <c r="T46" s="10">
        <v>31.35</v>
      </c>
      <c r="U46" s="10">
        <v>11.1</v>
      </c>
      <c r="V46" s="11"/>
      <c r="W46" s="5">
        <f t="shared" si="0"/>
        <v>416.7</v>
      </c>
    </row>
    <row r="47" ht="15" spans="1:23">
      <c r="A47" s="10">
        <v>3641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10">
        <v>47.15</v>
      </c>
      <c r="N47" s="10">
        <v>19.1</v>
      </c>
      <c r="O47" s="11"/>
      <c r="P47" s="11"/>
      <c r="Q47" s="11"/>
      <c r="R47" s="11"/>
      <c r="S47" s="10">
        <v>23.4</v>
      </c>
      <c r="T47" s="11"/>
      <c r="U47" s="11"/>
      <c r="V47" s="11"/>
      <c r="W47" s="5">
        <f t="shared" si="0"/>
        <v>89.65</v>
      </c>
    </row>
    <row r="48" ht="15" spans="1:23">
      <c r="A48" s="10">
        <v>1030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10">
        <v>14.6</v>
      </c>
      <c r="N48" s="10">
        <v>41</v>
      </c>
      <c r="O48" s="10">
        <v>42.75</v>
      </c>
      <c r="P48" s="10">
        <v>33</v>
      </c>
      <c r="Q48" s="10">
        <v>7.75</v>
      </c>
      <c r="R48" s="11"/>
      <c r="S48" s="10">
        <v>30.1</v>
      </c>
      <c r="T48" s="10">
        <v>8.75</v>
      </c>
      <c r="U48" s="10">
        <v>10.35</v>
      </c>
      <c r="V48" s="11"/>
      <c r="W48" s="5">
        <f t="shared" si="0"/>
        <v>188.3</v>
      </c>
    </row>
    <row r="49" ht="15" spans="1:23">
      <c r="A49" s="10">
        <v>4005</v>
      </c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10">
        <v>72.1</v>
      </c>
      <c r="N49" s="10">
        <v>48.5</v>
      </c>
      <c r="O49" s="10">
        <v>25.6</v>
      </c>
      <c r="P49" s="10">
        <v>28.25</v>
      </c>
      <c r="Q49" s="10">
        <v>5.4</v>
      </c>
      <c r="R49" s="11"/>
      <c r="S49" s="10">
        <v>20.95</v>
      </c>
      <c r="T49" s="10">
        <v>1.85</v>
      </c>
      <c r="U49" s="10">
        <v>1.35</v>
      </c>
      <c r="V49" s="11"/>
      <c r="W49" s="5">
        <f t="shared" si="0"/>
        <v>204</v>
      </c>
    </row>
    <row r="50" ht="15" spans="1:23">
      <c r="A50" s="10">
        <v>1027</v>
      </c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11"/>
      <c r="N50" s="10">
        <v>3.6</v>
      </c>
      <c r="O50" s="10">
        <v>3.1</v>
      </c>
      <c r="P50" s="11"/>
      <c r="Q50" s="11"/>
      <c r="R50" s="11"/>
      <c r="S50" s="10">
        <v>8.15</v>
      </c>
      <c r="T50" s="10">
        <v>1.35</v>
      </c>
      <c r="U50" s="10">
        <v>2.45</v>
      </c>
      <c r="V50" s="11"/>
      <c r="W50" s="5">
        <f t="shared" si="0"/>
        <v>18.65</v>
      </c>
    </row>
    <row r="51" ht="15" spans="1:23">
      <c r="A51" s="10">
        <v>478</v>
      </c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10">
        <v>106</v>
      </c>
      <c r="N51" s="10">
        <v>107.55</v>
      </c>
      <c r="O51" s="10">
        <v>89.5</v>
      </c>
      <c r="P51" s="10">
        <v>48.6</v>
      </c>
      <c r="Q51" s="10">
        <v>27.6</v>
      </c>
      <c r="R51" s="11"/>
      <c r="S51" s="10">
        <v>94.6</v>
      </c>
      <c r="T51" s="10">
        <v>20.55</v>
      </c>
      <c r="U51" s="10">
        <v>23.25</v>
      </c>
      <c r="V51" s="11"/>
      <c r="W51" s="5">
        <f t="shared" si="0"/>
        <v>517.65</v>
      </c>
    </row>
    <row r="52" ht="15" spans="1:23">
      <c r="A52" s="10">
        <v>2443</v>
      </c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10">
        <v>26.5</v>
      </c>
      <c r="N52" s="10">
        <v>21.15</v>
      </c>
      <c r="O52" s="10">
        <v>14.15</v>
      </c>
      <c r="P52" s="10">
        <v>37.35</v>
      </c>
      <c r="Q52" s="10">
        <v>15.1</v>
      </c>
      <c r="R52" s="11"/>
      <c r="S52" s="11"/>
      <c r="T52" s="10">
        <v>1.8</v>
      </c>
      <c r="U52" s="10">
        <v>2.15</v>
      </c>
      <c r="V52" s="11"/>
      <c r="W52" s="5">
        <f t="shared" si="0"/>
        <v>118.2</v>
      </c>
    </row>
    <row r="53" ht="15" spans="1:23">
      <c r="A53" s="10">
        <v>1791</v>
      </c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10">
        <v>21.55</v>
      </c>
      <c r="N53" s="10">
        <v>36.75</v>
      </c>
      <c r="O53" s="10">
        <v>21.75</v>
      </c>
      <c r="P53" s="10">
        <v>14.75</v>
      </c>
      <c r="Q53" s="11"/>
      <c r="R53" s="11"/>
      <c r="S53" s="11"/>
      <c r="T53" s="11"/>
      <c r="U53" s="10">
        <v>5.9</v>
      </c>
      <c r="V53" s="11"/>
      <c r="W53" s="5">
        <f t="shared" si="0"/>
        <v>100.7</v>
      </c>
    </row>
    <row r="54" ht="15" spans="1:23">
      <c r="A54" s="10">
        <v>368</v>
      </c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10">
        <v>27.5</v>
      </c>
      <c r="N54" s="10">
        <v>18.45</v>
      </c>
      <c r="O54" s="10">
        <v>32.8</v>
      </c>
      <c r="P54" s="10">
        <v>23.85</v>
      </c>
      <c r="Q54" s="10">
        <v>9.7</v>
      </c>
      <c r="R54" s="11"/>
      <c r="S54" s="10">
        <v>27.65</v>
      </c>
      <c r="T54" s="10">
        <v>11.4</v>
      </c>
      <c r="U54" s="10">
        <v>10.05</v>
      </c>
      <c r="V54" s="11"/>
      <c r="W54" s="5">
        <f t="shared" si="0"/>
        <v>161.4</v>
      </c>
    </row>
    <row r="55" ht="15" spans="1:23">
      <c r="A55" s="10">
        <v>1792</v>
      </c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10">
        <v>69.65</v>
      </c>
      <c r="N55" s="10">
        <v>60.5</v>
      </c>
      <c r="O55" s="10">
        <v>61.3</v>
      </c>
      <c r="P55" s="10">
        <v>33.65</v>
      </c>
      <c r="Q55" s="10">
        <v>13.3</v>
      </c>
      <c r="R55" s="11"/>
      <c r="S55" s="10">
        <v>20.45</v>
      </c>
      <c r="T55" s="10">
        <v>12.6</v>
      </c>
      <c r="U55" s="10">
        <v>7</v>
      </c>
      <c r="V55" s="11"/>
      <c r="W55" s="5">
        <f t="shared" si="0"/>
        <v>278.45</v>
      </c>
    </row>
    <row r="56" ht="15" spans="1:23">
      <c r="A56" s="10">
        <v>1745</v>
      </c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10">
        <v>6.05</v>
      </c>
      <c r="N56" s="10">
        <v>9</v>
      </c>
      <c r="O56" s="10">
        <v>21</v>
      </c>
      <c r="P56" s="10">
        <v>27</v>
      </c>
      <c r="Q56" s="10">
        <v>6.8</v>
      </c>
      <c r="R56" s="11"/>
      <c r="S56" s="10">
        <v>11.5</v>
      </c>
      <c r="T56" s="10">
        <v>14.9</v>
      </c>
      <c r="U56" s="10">
        <v>11</v>
      </c>
      <c r="V56" s="11"/>
      <c r="W56" s="5">
        <f t="shared" si="0"/>
        <v>107.25</v>
      </c>
    </row>
    <row r="57" ht="15" spans="1:23">
      <c r="A57" s="10">
        <v>1795</v>
      </c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10">
        <v>2.5</v>
      </c>
      <c r="N57" s="10">
        <v>21.3</v>
      </c>
      <c r="O57" s="10">
        <v>13.5</v>
      </c>
      <c r="P57" s="10">
        <v>22.9</v>
      </c>
      <c r="Q57" s="10">
        <v>2.95</v>
      </c>
      <c r="R57" s="11"/>
      <c r="S57" s="10">
        <v>15.55</v>
      </c>
      <c r="T57" s="10">
        <v>6.9</v>
      </c>
      <c r="U57" s="11"/>
      <c r="V57" s="11"/>
      <c r="W57" s="5">
        <f t="shared" si="0"/>
        <v>85.6</v>
      </c>
    </row>
    <row r="58" ht="15" spans="1:23">
      <c r="A58" s="10">
        <v>1039</v>
      </c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10">
        <v>23.55</v>
      </c>
      <c r="N58" s="10">
        <v>36.45</v>
      </c>
      <c r="O58" s="10">
        <v>5.7</v>
      </c>
      <c r="P58" s="10">
        <v>6.1</v>
      </c>
      <c r="Q58" s="11"/>
      <c r="R58" s="11"/>
      <c r="S58" s="10">
        <v>20</v>
      </c>
      <c r="T58" s="10">
        <v>11.35</v>
      </c>
      <c r="U58" s="11"/>
      <c r="V58" s="11"/>
      <c r="W58" s="5">
        <f t="shared" si="0"/>
        <v>103.15</v>
      </c>
    </row>
    <row r="59" ht="15" spans="1:23">
      <c r="A59" s="10">
        <v>1005</v>
      </c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10">
        <v>24.3</v>
      </c>
      <c r="N59" s="10">
        <v>50.7</v>
      </c>
      <c r="O59" s="10">
        <v>41.75</v>
      </c>
      <c r="P59" s="10">
        <v>20</v>
      </c>
      <c r="Q59" s="10">
        <v>7.4</v>
      </c>
      <c r="R59" s="11"/>
      <c r="S59" s="10">
        <v>31.85</v>
      </c>
      <c r="T59" s="10">
        <v>10.55</v>
      </c>
      <c r="U59" s="10">
        <v>3.1</v>
      </c>
      <c r="V59" s="11"/>
      <c r="W59" s="5">
        <f t="shared" si="0"/>
        <v>189.65</v>
      </c>
    </row>
    <row r="60" ht="15" spans="1:23">
      <c r="A60" s="10">
        <v>999</v>
      </c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10">
        <v>6.45</v>
      </c>
      <c r="N60" s="10">
        <v>13.6</v>
      </c>
      <c r="O60" s="10">
        <v>22.6</v>
      </c>
      <c r="P60" s="10">
        <v>23.65</v>
      </c>
      <c r="Q60" s="10">
        <v>6.9</v>
      </c>
      <c r="R60" s="11"/>
      <c r="S60" s="10">
        <v>7.1</v>
      </c>
      <c r="T60" s="10">
        <v>8.6</v>
      </c>
      <c r="U60" s="10">
        <v>10.7</v>
      </c>
      <c r="V60" s="11"/>
      <c r="W60" s="5">
        <f t="shared" si="0"/>
        <v>99.6</v>
      </c>
    </row>
    <row r="61" ht="15" spans="1:23">
      <c r="A61" s="10">
        <v>1006</v>
      </c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10">
        <v>24.3</v>
      </c>
      <c r="N61" s="10">
        <v>21.2</v>
      </c>
      <c r="O61" s="10">
        <v>34.15</v>
      </c>
      <c r="P61" s="10">
        <v>44.4</v>
      </c>
      <c r="Q61" s="10">
        <v>6.8</v>
      </c>
      <c r="R61" s="11"/>
      <c r="S61" s="10">
        <v>16.95</v>
      </c>
      <c r="T61" s="10">
        <v>15.65</v>
      </c>
      <c r="U61" s="10">
        <v>11.7</v>
      </c>
      <c r="V61" s="11"/>
      <c r="W61" s="5">
        <f t="shared" si="0"/>
        <v>175.15</v>
      </c>
    </row>
    <row r="62" ht="15" spans="1:23">
      <c r="A62" s="10">
        <v>260</v>
      </c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10">
        <v>74.8</v>
      </c>
      <c r="N62" s="10">
        <v>96.95</v>
      </c>
      <c r="O62" s="10">
        <v>145.55</v>
      </c>
      <c r="P62" s="10">
        <v>117.25</v>
      </c>
      <c r="Q62" s="10">
        <v>33.9</v>
      </c>
      <c r="R62" s="11"/>
      <c r="S62" s="10">
        <v>89.6</v>
      </c>
      <c r="T62" s="10">
        <v>53.55</v>
      </c>
      <c r="U62" s="10">
        <v>35.95</v>
      </c>
      <c r="V62" s="11"/>
      <c r="W62" s="5">
        <f t="shared" si="0"/>
        <v>647.55</v>
      </c>
    </row>
    <row r="63" ht="15" spans="1:23">
      <c r="A63" s="10">
        <v>1038</v>
      </c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10">
        <v>102.95</v>
      </c>
      <c r="N63" s="10">
        <v>168</v>
      </c>
      <c r="O63" s="10">
        <v>181.15</v>
      </c>
      <c r="P63" s="10">
        <v>193.7</v>
      </c>
      <c r="Q63" s="10">
        <v>85.25</v>
      </c>
      <c r="R63" s="11"/>
      <c r="S63" s="10">
        <v>79.15</v>
      </c>
      <c r="T63" s="10">
        <v>43.8</v>
      </c>
      <c r="U63" s="10">
        <v>52</v>
      </c>
      <c r="V63" s="11"/>
      <c r="W63" s="5">
        <f t="shared" si="0"/>
        <v>906</v>
      </c>
    </row>
    <row r="64" ht="15" spans="1:23">
      <c r="A64" s="10">
        <v>560</v>
      </c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10">
        <v>38.4</v>
      </c>
      <c r="N64" s="10">
        <v>55.7</v>
      </c>
      <c r="O64" s="10">
        <v>20.8</v>
      </c>
      <c r="P64" s="10">
        <v>18.7</v>
      </c>
      <c r="Q64" s="11"/>
      <c r="R64" s="11"/>
      <c r="S64" s="10">
        <v>45.45</v>
      </c>
      <c r="T64" s="10">
        <v>14.35</v>
      </c>
      <c r="U64" s="10">
        <v>0.9</v>
      </c>
      <c r="V64" s="11"/>
      <c r="W64" s="5">
        <f t="shared" si="0"/>
        <v>194.3</v>
      </c>
    </row>
    <row r="65" ht="15" spans="1:23">
      <c r="A65" s="10">
        <v>180</v>
      </c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10">
        <v>16.1</v>
      </c>
      <c r="N65" s="10">
        <v>3.55</v>
      </c>
      <c r="O65" s="10">
        <v>5.6</v>
      </c>
      <c r="P65" s="11"/>
      <c r="Q65" s="11"/>
      <c r="R65" s="11"/>
      <c r="S65" s="10">
        <v>3.1</v>
      </c>
      <c r="T65" s="11"/>
      <c r="U65" s="10">
        <v>4.5</v>
      </c>
      <c r="V65" s="11"/>
      <c r="W65" s="5">
        <f t="shared" si="0"/>
        <v>32.85</v>
      </c>
    </row>
    <row r="66" ht="15" spans="1:23">
      <c r="A66" s="10">
        <v>2441</v>
      </c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10">
        <v>2.25</v>
      </c>
      <c r="N66" s="10">
        <v>6.5</v>
      </c>
      <c r="O66" s="10">
        <v>8.35</v>
      </c>
      <c r="P66" s="10">
        <v>8.9</v>
      </c>
      <c r="Q66" s="11"/>
      <c r="R66" s="11"/>
      <c r="S66" s="10">
        <v>2.85</v>
      </c>
      <c r="T66" s="11"/>
      <c r="U66" s="10">
        <v>3.5</v>
      </c>
      <c r="V66" s="11"/>
      <c r="W66" s="5">
        <f t="shared" si="0"/>
        <v>32.35</v>
      </c>
    </row>
    <row r="67" ht="15" spans="1:23">
      <c r="A67" s="10">
        <v>477</v>
      </c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10">
        <v>72.8</v>
      </c>
      <c r="N67" s="10">
        <v>127.4</v>
      </c>
      <c r="O67" s="10">
        <v>160.4</v>
      </c>
      <c r="P67" s="10">
        <v>143.7</v>
      </c>
      <c r="Q67" s="10">
        <v>33.8</v>
      </c>
      <c r="R67" s="11"/>
      <c r="S67" s="11"/>
      <c r="T67" s="11"/>
      <c r="U67" s="11"/>
      <c r="V67" s="11"/>
      <c r="W67" s="5">
        <f t="shared" si="0"/>
        <v>538.1</v>
      </c>
    </row>
    <row r="68" ht="15" spans="1:23">
      <c r="A68" s="10">
        <v>477</v>
      </c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10">
        <v>15.3</v>
      </c>
      <c r="N68" s="10">
        <v>40.1</v>
      </c>
      <c r="O68" s="10">
        <v>26.35</v>
      </c>
      <c r="P68" s="10">
        <v>37.45</v>
      </c>
      <c r="Q68" s="10">
        <v>15.35</v>
      </c>
      <c r="R68" s="11"/>
      <c r="S68" s="10">
        <v>28.15</v>
      </c>
      <c r="T68" s="10">
        <v>15</v>
      </c>
      <c r="U68" s="10">
        <v>24.8</v>
      </c>
      <c r="V68" s="11"/>
      <c r="W68" s="5">
        <f t="shared" ref="W68:W131" si="1">SUM(C68:V68)</f>
        <v>202.5</v>
      </c>
    </row>
    <row r="69" ht="15" spans="1:23">
      <c r="A69" s="10">
        <v>101</v>
      </c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10">
        <v>119.3</v>
      </c>
      <c r="N69" s="10">
        <v>18.35</v>
      </c>
      <c r="O69" s="11"/>
      <c r="P69" s="11"/>
      <c r="Q69" s="11"/>
      <c r="R69" s="11"/>
      <c r="S69" s="10">
        <v>73.8</v>
      </c>
      <c r="T69" s="10">
        <v>1.35</v>
      </c>
      <c r="U69" s="11"/>
      <c r="V69" s="11"/>
      <c r="W69" s="5">
        <f t="shared" si="1"/>
        <v>212.8</v>
      </c>
    </row>
    <row r="70" ht="15" spans="1:23">
      <c r="A70" s="10">
        <v>445</v>
      </c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10">
        <v>171</v>
      </c>
      <c r="N70" s="10">
        <v>215.35</v>
      </c>
      <c r="O70" s="10">
        <v>98.9</v>
      </c>
      <c r="P70" s="10">
        <v>80.75</v>
      </c>
      <c r="Q70" s="11"/>
      <c r="R70" s="11"/>
      <c r="S70" s="10">
        <v>17.15</v>
      </c>
      <c r="T70" s="10">
        <v>20.95</v>
      </c>
      <c r="U70" s="11"/>
      <c r="V70" s="11"/>
      <c r="W70" s="5">
        <f t="shared" si="1"/>
        <v>604.1</v>
      </c>
    </row>
    <row r="71" ht="15" spans="1:23">
      <c r="A71" s="10">
        <v>445</v>
      </c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10">
        <v>166.4</v>
      </c>
      <c r="N71" s="10">
        <v>96.7</v>
      </c>
      <c r="O71" s="10">
        <v>60.75</v>
      </c>
      <c r="P71" s="10">
        <v>41.65</v>
      </c>
      <c r="Q71" s="10">
        <v>19.05</v>
      </c>
      <c r="R71" s="11"/>
      <c r="S71" s="10">
        <v>206.75</v>
      </c>
      <c r="T71" s="10">
        <v>16.05</v>
      </c>
      <c r="U71" s="10">
        <v>11.55</v>
      </c>
      <c r="V71" s="11"/>
      <c r="W71" s="5">
        <f t="shared" si="1"/>
        <v>618.9</v>
      </c>
    </row>
    <row r="72" ht="15" spans="1:23">
      <c r="A72" s="10">
        <v>689</v>
      </c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10">
        <v>35.1</v>
      </c>
      <c r="N72" s="10">
        <v>15.25</v>
      </c>
      <c r="O72" s="10">
        <v>11.8</v>
      </c>
      <c r="P72" s="10">
        <v>14.25</v>
      </c>
      <c r="Q72" s="10">
        <v>3.85</v>
      </c>
      <c r="R72" s="11"/>
      <c r="S72" s="10">
        <v>34.7</v>
      </c>
      <c r="T72" s="10">
        <v>11.25</v>
      </c>
      <c r="U72" s="10">
        <v>5.8</v>
      </c>
      <c r="V72" s="11"/>
      <c r="W72" s="5">
        <f t="shared" si="1"/>
        <v>132</v>
      </c>
    </row>
    <row r="73" ht="15" spans="1:23">
      <c r="A73" s="10">
        <v>1722</v>
      </c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10">
        <v>2.4</v>
      </c>
      <c r="N73" s="10">
        <v>7.85</v>
      </c>
      <c r="O73" s="11"/>
      <c r="P73" s="11"/>
      <c r="Q73" s="11"/>
      <c r="R73" s="11"/>
      <c r="S73" s="10">
        <v>15.2</v>
      </c>
      <c r="T73" s="11"/>
      <c r="U73" s="11"/>
      <c r="V73" s="11"/>
      <c r="W73" s="5">
        <f t="shared" si="1"/>
        <v>25.45</v>
      </c>
    </row>
    <row r="74" ht="15" spans="1:23">
      <c r="A74" s="10">
        <v>1023</v>
      </c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10">
        <v>88.25</v>
      </c>
      <c r="N74" s="10">
        <v>102.15</v>
      </c>
      <c r="O74" s="10">
        <v>75.3</v>
      </c>
      <c r="P74" s="10">
        <v>60.95</v>
      </c>
      <c r="Q74" s="10">
        <v>18.55</v>
      </c>
      <c r="R74" s="11"/>
      <c r="S74" s="10">
        <v>26.2</v>
      </c>
      <c r="T74" s="10">
        <v>9.1</v>
      </c>
      <c r="U74" s="10">
        <v>16.45</v>
      </c>
      <c r="V74" s="11"/>
      <c r="W74" s="5">
        <f t="shared" si="1"/>
        <v>396.95</v>
      </c>
    </row>
    <row r="75" ht="15" spans="1:23">
      <c r="A75" s="10">
        <v>354</v>
      </c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10">
        <v>2.35</v>
      </c>
      <c r="N75" s="10">
        <v>3.75</v>
      </c>
      <c r="O75" s="10">
        <v>9.4</v>
      </c>
      <c r="P75" s="10">
        <v>14.95</v>
      </c>
      <c r="Q75" s="10">
        <v>13.6</v>
      </c>
      <c r="R75" s="11"/>
      <c r="S75" s="10">
        <v>12.3</v>
      </c>
      <c r="T75" s="10">
        <v>23</v>
      </c>
      <c r="U75" s="10">
        <v>43.75</v>
      </c>
      <c r="V75" s="11"/>
      <c r="W75" s="5">
        <f t="shared" si="1"/>
        <v>123.1</v>
      </c>
    </row>
    <row r="76" ht="15" spans="1:23">
      <c r="A76" s="10">
        <v>1023</v>
      </c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10">
        <v>102.55</v>
      </c>
      <c r="N76" s="10">
        <v>99.05</v>
      </c>
      <c r="O76" s="10">
        <v>126.9</v>
      </c>
      <c r="P76" s="10">
        <v>109.1</v>
      </c>
      <c r="Q76" s="10">
        <v>37.7</v>
      </c>
      <c r="R76" s="11"/>
      <c r="S76" s="10">
        <v>85.3</v>
      </c>
      <c r="T76" s="10">
        <v>25.95</v>
      </c>
      <c r="U76" s="10">
        <v>21.8</v>
      </c>
      <c r="V76" s="11"/>
      <c r="W76" s="5">
        <f t="shared" si="1"/>
        <v>608.35</v>
      </c>
    </row>
    <row r="77" ht="15" spans="1:23">
      <c r="A77" s="10">
        <v>1012</v>
      </c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10">
        <v>4.55</v>
      </c>
      <c r="N77" s="10">
        <v>32.45</v>
      </c>
      <c r="O77" s="10">
        <v>40.95</v>
      </c>
      <c r="P77" s="10">
        <v>81.5</v>
      </c>
      <c r="Q77" s="10">
        <v>16.5</v>
      </c>
      <c r="R77" s="11"/>
      <c r="S77" s="10">
        <v>6.6</v>
      </c>
      <c r="T77" s="10">
        <v>35.55</v>
      </c>
      <c r="U77" s="10">
        <v>38.7</v>
      </c>
      <c r="V77" s="11"/>
      <c r="W77" s="5">
        <f t="shared" si="1"/>
        <v>256.8</v>
      </c>
    </row>
    <row r="78" ht="15" spans="1:23">
      <c r="A78" s="10">
        <v>309</v>
      </c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10">
        <v>76.7</v>
      </c>
      <c r="N78" s="10">
        <v>144.75</v>
      </c>
      <c r="O78" s="10">
        <v>151.35</v>
      </c>
      <c r="P78" s="10">
        <v>180.55</v>
      </c>
      <c r="Q78" s="10">
        <v>86.75</v>
      </c>
      <c r="R78" s="11"/>
      <c r="S78" s="10">
        <v>103.9</v>
      </c>
      <c r="T78" s="10">
        <v>134.75</v>
      </c>
      <c r="U78" s="10">
        <v>140.4</v>
      </c>
      <c r="V78" s="11"/>
      <c r="W78" s="5">
        <f t="shared" si="1"/>
        <v>1019.15</v>
      </c>
    </row>
    <row r="79" ht="15" spans="1:23">
      <c r="A79" s="10">
        <v>2161</v>
      </c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10">
        <v>13.3</v>
      </c>
      <c r="N79" s="10">
        <v>57.85</v>
      </c>
      <c r="O79" s="10">
        <v>68.45</v>
      </c>
      <c r="P79" s="10">
        <v>204.5</v>
      </c>
      <c r="Q79" s="10">
        <v>122.95</v>
      </c>
      <c r="R79" s="11"/>
      <c r="S79" s="11"/>
      <c r="T79" s="10">
        <v>56.55</v>
      </c>
      <c r="U79" s="10">
        <v>156.4</v>
      </c>
      <c r="V79" s="11"/>
      <c r="W79" s="5">
        <f t="shared" si="1"/>
        <v>680</v>
      </c>
    </row>
    <row r="80" ht="15" spans="1:23">
      <c r="A80" s="10">
        <v>2161</v>
      </c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10">
        <v>8.45</v>
      </c>
      <c r="N80" s="10">
        <v>23.6</v>
      </c>
      <c r="O80" s="10">
        <v>56.1</v>
      </c>
      <c r="P80" s="10">
        <v>99.45</v>
      </c>
      <c r="Q80" s="10">
        <v>53.35</v>
      </c>
      <c r="R80" s="11"/>
      <c r="S80" s="10">
        <v>56.7</v>
      </c>
      <c r="T80" s="10">
        <v>174.45</v>
      </c>
      <c r="U80" s="10">
        <v>121</v>
      </c>
      <c r="V80" s="11"/>
      <c r="W80" s="5">
        <f t="shared" si="1"/>
        <v>593.1</v>
      </c>
    </row>
    <row r="81" ht="15" spans="1:23">
      <c r="A81" s="10">
        <v>2425</v>
      </c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11"/>
      <c r="N81" s="10">
        <v>3.45</v>
      </c>
      <c r="O81" s="10">
        <v>3</v>
      </c>
      <c r="P81" s="10">
        <v>6.8</v>
      </c>
      <c r="Q81" s="10">
        <v>1.55</v>
      </c>
      <c r="R81" s="11"/>
      <c r="S81" s="10">
        <v>11.25</v>
      </c>
      <c r="T81" s="10">
        <v>12.15</v>
      </c>
      <c r="U81" s="11"/>
      <c r="V81" s="11"/>
      <c r="W81" s="5">
        <f t="shared" si="1"/>
        <v>38.2</v>
      </c>
    </row>
    <row r="82" ht="15" spans="1:23">
      <c r="A82" s="10">
        <v>999</v>
      </c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10">
        <v>11.85</v>
      </c>
      <c r="N82" s="10">
        <v>11.85</v>
      </c>
      <c r="O82" s="10">
        <v>6.2</v>
      </c>
      <c r="P82" s="10">
        <v>9.4</v>
      </c>
      <c r="Q82" s="10">
        <v>2.15</v>
      </c>
      <c r="R82" s="11"/>
      <c r="S82" s="10">
        <v>15.7</v>
      </c>
      <c r="T82" s="10">
        <v>23.35</v>
      </c>
      <c r="U82" s="10">
        <v>10.5</v>
      </c>
      <c r="V82" s="11"/>
      <c r="W82" s="5">
        <f t="shared" si="1"/>
        <v>91</v>
      </c>
    </row>
    <row r="83" ht="15" spans="1:23">
      <c r="A83" s="10">
        <v>477</v>
      </c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10">
        <v>92.75</v>
      </c>
      <c r="N83" s="10">
        <v>187.65</v>
      </c>
      <c r="O83" s="10">
        <v>149</v>
      </c>
      <c r="P83" s="10">
        <v>111.05</v>
      </c>
      <c r="Q83" s="10">
        <v>34.85</v>
      </c>
      <c r="R83" s="11"/>
      <c r="S83" s="10">
        <v>67.35</v>
      </c>
      <c r="T83" s="10">
        <v>61.35</v>
      </c>
      <c r="U83" s="10">
        <v>42.95</v>
      </c>
      <c r="V83" s="11"/>
      <c r="W83" s="5">
        <f t="shared" si="1"/>
        <v>746.95</v>
      </c>
    </row>
    <row r="84" ht="15" spans="1:23">
      <c r="A84" s="10">
        <v>4005</v>
      </c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10">
        <v>125.45</v>
      </c>
      <c r="N84" s="10">
        <v>160.9</v>
      </c>
      <c r="O84" s="10">
        <v>64.75</v>
      </c>
      <c r="P84" s="10">
        <v>41.75</v>
      </c>
      <c r="Q84" s="10">
        <v>7.6</v>
      </c>
      <c r="R84" s="11"/>
      <c r="S84" s="10">
        <v>273</v>
      </c>
      <c r="T84" s="10">
        <v>153.95</v>
      </c>
      <c r="U84" s="10">
        <v>51</v>
      </c>
      <c r="V84" s="11"/>
      <c r="W84" s="5">
        <f t="shared" si="1"/>
        <v>878.4</v>
      </c>
    </row>
    <row r="85" ht="15" spans="1:23">
      <c r="A85" s="10">
        <v>260</v>
      </c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10">
        <v>79.95</v>
      </c>
      <c r="N85" s="10">
        <v>109.3</v>
      </c>
      <c r="O85" s="10">
        <v>123.85</v>
      </c>
      <c r="P85" s="10">
        <v>123.65</v>
      </c>
      <c r="Q85" s="10">
        <v>19.75</v>
      </c>
      <c r="R85" s="11"/>
      <c r="S85" s="11"/>
      <c r="T85" s="10">
        <v>180.5</v>
      </c>
      <c r="U85" s="10">
        <v>104.5</v>
      </c>
      <c r="V85" s="11"/>
      <c r="W85" s="5">
        <f t="shared" si="1"/>
        <v>741.5</v>
      </c>
    </row>
    <row r="86" ht="15" spans="1:23">
      <c r="A86" s="10">
        <v>260</v>
      </c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10">
        <v>25.7</v>
      </c>
      <c r="N86" s="10">
        <v>14</v>
      </c>
      <c r="O86" s="10">
        <v>23.75</v>
      </c>
      <c r="P86" s="10">
        <v>35.1</v>
      </c>
      <c r="Q86" s="10">
        <v>17.2</v>
      </c>
      <c r="R86" s="11"/>
      <c r="S86" s="10">
        <v>187.9</v>
      </c>
      <c r="T86" s="10">
        <v>53.8</v>
      </c>
      <c r="U86" s="10">
        <v>53.8</v>
      </c>
      <c r="V86" s="11"/>
      <c r="W86" s="5">
        <f t="shared" si="1"/>
        <v>411.25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4345.8</v>
      </c>
      <c r="N349" s="6">
        <f t="shared" si="6"/>
        <v>4794.65</v>
      </c>
      <c r="O349" s="6">
        <f t="shared" si="6"/>
        <v>4443.65</v>
      </c>
      <c r="P349" s="6">
        <f t="shared" si="6"/>
        <v>4194.6</v>
      </c>
      <c r="Q349" s="6">
        <f t="shared" si="6"/>
        <v>1604.35</v>
      </c>
      <c r="R349" s="6">
        <f t="shared" si="6"/>
        <v>0</v>
      </c>
      <c r="S349" s="6">
        <f t="shared" si="6"/>
        <v>3227.2</v>
      </c>
      <c r="T349" s="6">
        <f t="shared" si="6"/>
        <v>1966.8</v>
      </c>
      <c r="U349" s="6">
        <f t="shared" si="6"/>
        <v>1559.7</v>
      </c>
      <c r="V349" s="6">
        <f t="shared" si="6"/>
        <v>0</v>
      </c>
      <c r="W349" s="6">
        <f>SUM(W2:W348)</f>
        <v>26136.75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4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209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2.1</v>
      </c>
      <c r="N2" s="5"/>
      <c r="O2" s="5"/>
      <c r="P2" s="5">
        <v>1.05</v>
      </c>
      <c r="Q2" s="5">
        <v>4.4</v>
      </c>
      <c r="R2" s="5"/>
      <c r="S2" s="5"/>
      <c r="T2" s="5">
        <v>1.3</v>
      </c>
      <c r="U2" s="5">
        <v>2.45</v>
      </c>
      <c r="V2" s="5"/>
      <c r="W2" s="5">
        <f t="shared" ref="W2:W67" si="0">SUM(C2:V2)</f>
        <v>11.3</v>
      </c>
    </row>
    <row r="3" spans="1:23">
      <c r="A3" s="3">
        <v>208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2.3</v>
      </c>
      <c r="N3" s="5">
        <v>3.3</v>
      </c>
      <c r="O3" s="5">
        <v>1.25</v>
      </c>
      <c r="P3" s="5"/>
      <c r="Q3" s="5"/>
      <c r="R3" s="5"/>
      <c r="S3" s="5"/>
      <c r="T3" s="5">
        <v>1.45</v>
      </c>
      <c r="U3" s="5">
        <v>0.75</v>
      </c>
      <c r="V3" s="5"/>
      <c r="W3" s="5">
        <f t="shared" si="0"/>
        <v>9.05</v>
      </c>
    </row>
    <row r="4" spans="1:23">
      <c r="A4" s="3">
        <v>1016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8.95</v>
      </c>
      <c r="N4" s="5">
        <v>1.55</v>
      </c>
      <c r="O4" s="5">
        <v>5.35</v>
      </c>
      <c r="P4" s="5">
        <v>2</v>
      </c>
      <c r="Q4" s="5"/>
      <c r="R4" s="5"/>
      <c r="S4" s="5"/>
      <c r="T4" s="5"/>
      <c r="U4" s="5">
        <v>1.4</v>
      </c>
      <c r="V4" s="5"/>
      <c r="W4" s="5">
        <f t="shared" si="0"/>
        <v>19.25</v>
      </c>
    </row>
    <row r="5" spans="1:23">
      <c r="A5" s="3">
        <v>309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f>13.8+16.9+16.7+17.2+16.1+17.6+15.6+21.15+20.85+19.45+19.65+18.85+16.35+21.4+17.85</f>
        <v>269.45</v>
      </c>
      <c r="N5" s="5">
        <f>20.75+17.5+19.15+18.3+17+17+18.05+20.55+17+17.75+16.6+20</f>
        <v>219.65</v>
      </c>
      <c r="O5" s="5">
        <f>16.65+21.45+16.2+18.6+16.15+25+20.1</f>
        <v>134.15</v>
      </c>
      <c r="P5" s="5">
        <f>19.25+18.75+21.55+23.1+18.1+20.05</f>
        <v>120.8</v>
      </c>
      <c r="Q5" s="5">
        <f>16.6+18.85</f>
        <v>35.45</v>
      </c>
      <c r="R5" s="5"/>
      <c r="S5" s="5">
        <v>20.95</v>
      </c>
      <c r="T5" s="5"/>
      <c r="U5" s="5"/>
      <c r="V5" s="5"/>
      <c r="W5" s="5">
        <f t="shared" si="0"/>
        <v>800.45</v>
      </c>
    </row>
    <row r="6" spans="1:23">
      <c r="A6" s="3">
        <v>309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f>17.3+7.25</f>
        <v>24.55</v>
      </c>
      <c r="N6" s="5">
        <v>17.7</v>
      </c>
      <c r="O6" s="5">
        <f>15.55+10+17.75</f>
        <v>43.3</v>
      </c>
      <c r="P6" s="5">
        <f>21.25+18.4+19.55</f>
        <v>59.2</v>
      </c>
      <c r="Q6" s="5">
        <f>20.75+5.3</f>
        <v>26.05</v>
      </c>
      <c r="R6" s="5"/>
      <c r="S6" s="5">
        <f>16.7+18.25+18.4+19.45+19.9</f>
        <v>92.7</v>
      </c>
      <c r="T6" s="5">
        <f>16.35+15.2</f>
        <v>31.55</v>
      </c>
      <c r="U6" s="5">
        <f>18.7+17.05+6.35</f>
        <v>42.1</v>
      </c>
      <c r="V6" s="5"/>
      <c r="W6" s="5">
        <f t="shared" si="0"/>
        <v>337.15</v>
      </c>
    </row>
    <row r="7" spans="1:23">
      <c r="A7" s="3">
        <v>2198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13.85</v>
      </c>
      <c r="N7" s="5">
        <v>5.1</v>
      </c>
      <c r="O7" s="5">
        <v>3</v>
      </c>
      <c r="P7" s="5">
        <v>5.45</v>
      </c>
      <c r="Q7" s="5"/>
      <c r="R7" s="5"/>
      <c r="S7" s="5"/>
      <c r="T7" s="5">
        <v>17.9</v>
      </c>
      <c r="U7" s="5">
        <v>1.95</v>
      </c>
      <c r="V7" s="5"/>
      <c r="W7" s="5">
        <f t="shared" si="0"/>
        <v>47.25</v>
      </c>
    </row>
    <row r="8" spans="1:23">
      <c r="A8" s="3">
        <v>996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16.55</v>
      </c>
      <c r="N8" s="5"/>
      <c r="O8" s="5"/>
      <c r="P8" s="5"/>
      <c r="Q8" s="5"/>
      <c r="R8" s="5"/>
      <c r="S8" s="5">
        <v>4.05</v>
      </c>
      <c r="T8" s="5"/>
      <c r="U8" s="5"/>
      <c r="V8" s="5"/>
      <c r="W8" s="5">
        <f t="shared" si="0"/>
        <v>20.6</v>
      </c>
    </row>
    <row r="9" spans="1:23">
      <c r="A9" s="3">
        <v>1010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f>14.2+14.9+18.55+8.15</f>
        <v>55.8</v>
      </c>
      <c r="N9" s="5">
        <f>15.75+16.45+15.6+14.15+19.2+18.85+16.85+8.6</f>
        <v>125.45</v>
      </c>
      <c r="O9" s="5">
        <f>17.3+14.8+16.85+19.15+15.8+17.75+2.7</f>
        <v>104.35</v>
      </c>
      <c r="P9" s="5">
        <f>26.8+15.6+14.3+22.15+19.15+7.6</f>
        <v>105.6</v>
      </c>
      <c r="Q9" s="5">
        <f>15.25+13.4</f>
        <v>28.65</v>
      </c>
      <c r="R9" s="5"/>
      <c r="S9" s="5">
        <f>13.6+11.6</f>
        <v>25.2</v>
      </c>
      <c r="T9" s="5">
        <v>11.25</v>
      </c>
      <c r="U9" s="5">
        <v>9.65</v>
      </c>
      <c r="V9" s="5"/>
      <c r="W9" s="5">
        <f t="shared" si="0"/>
        <v>465.95</v>
      </c>
    </row>
    <row r="10" spans="1:23">
      <c r="A10" s="3">
        <v>672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f>19.85+14.5+16.1+15.85+14.85+17.55+19.65+17.35+14+18.9+22.5</f>
        <v>191.1</v>
      </c>
      <c r="N10" s="5">
        <f>13.65+12.85+18.65+16+14.3+15.35+14.45+23.75+11.05+14.55+15.5+17.85</f>
        <v>187.95</v>
      </c>
      <c r="O10" s="5">
        <f>14.6+16.15+14.55+14.15+16.6+13.05+26+16.2</f>
        <v>131.3</v>
      </c>
      <c r="P10" s="5">
        <f>19.85+21.25+20+12.45+16.4+19.2+15.7</f>
        <v>124.85</v>
      </c>
      <c r="Q10" s="5">
        <f>17.7+18.95</f>
        <v>36.65</v>
      </c>
      <c r="R10" s="5"/>
      <c r="S10" s="5"/>
      <c r="T10" s="5">
        <v>21</v>
      </c>
      <c r="U10" s="5">
        <v>19.9</v>
      </c>
      <c r="V10" s="5"/>
      <c r="W10" s="5">
        <f t="shared" si="0"/>
        <v>712.75</v>
      </c>
    </row>
    <row r="11" spans="1:23">
      <c r="A11" s="3">
        <v>672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f>19.85+18.05+13.35+18.5+21.8+16+18+17+7.5</f>
        <v>150.05</v>
      </c>
      <c r="N11" s="5">
        <f>13.9+14.55+12.05+14.3+15.55+20.6+23.25+12.9+7.75</f>
        <v>134.85</v>
      </c>
      <c r="O11" s="5">
        <f>15.55+15.95+16.9+18.05+14.5+17.35+17.6+17.85+10.2</f>
        <v>143.95</v>
      </c>
      <c r="P11" s="5">
        <f>16.4+15.2+16+17.7+13.2+2.45</f>
        <v>80.95</v>
      </c>
      <c r="Q11" s="5">
        <f>17.3+8.95</f>
        <v>26.25</v>
      </c>
      <c r="R11" s="5"/>
      <c r="S11" s="5">
        <f>22.1+19.4+11.85+14.35+18.55+21.35+15.8+23.85+20.75+18.95+15.05</f>
        <v>202</v>
      </c>
      <c r="T11" s="5">
        <f>14.6+9.6</f>
        <v>24.2</v>
      </c>
      <c r="U11" s="5">
        <f>19+20.5</f>
        <v>39.5</v>
      </c>
      <c r="V11" s="5"/>
      <c r="W11" s="5">
        <f t="shared" si="0"/>
        <v>801.75</v>
      </c>
    </row>
    <row r="12" spans="1:23">
      <c r="A12" s="3">
        <v>2167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f>21.45+18.05+16.15+15.2+15.05+17.1+22.65+15.9+21.5+18.35+20.3+23.45</f>
        <v>225.15</v>
      </c>
      <c r="N12" s="5">
        <f>22.05+13.85+23.75+17.95+16.65+17.3+20.6+21.75+21.6+19.35+20.6+3.7</f>
        <v>219.15</v>
      </c>
      <c r="O12" s="5">
        <f>20.05+17.3+14.8+19.15+20.4+19.65+17.35+17.25</f>
        <v>145.95</v>
      </c>
      <c r="P12" s="5">
        <f>20.9+17.9+17.95+16.45+23.15+21.45</f>
        <v>117.8</v>
      </c>
      <c r="Q12" s="5">
        <f>21.15+19.3</f>
        <v>40.45</v>
      </c>
      <c r="R12" s="5"/>
      <c r="S12" s="5">
        <f>20.65+16.1+19.25+23.65+17.3+18.4+29.1</f>
        <v>144.45</v>
      </c>
      <c r="T12" s="5">
        <f>17.5+21.65+2.7</f>
        <v>41.85</v>
      </c>
      <c r="U12" s="5">
        <f>20.8+12.65</f>
        <v>33.45</v>
      </c>
      <c r="V12" s="5"/>
      <c r="W12" s="5">
        <f t="shared" si="0"/>
        <v>968.25</v>
      </c>
    </row>
    <row r="13" spans="1:23">
      <c r="A13" s="3">
        <v>2495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13.5</v>
      </c>
      <c r="N13" s="5">
        <v>7.35</v>
      </c>
      <c r="O13" s="5">
        <v>5.65</v>
      </c>
      <c r="P13" s="5">
        <v>14.7</v>
      </c>
      <c r="Q13" s="5">
        <v>1.75</v>
      </c>
      <c r="R13" s="5"/>
      <c r="S13" s="5">
        <v>16.8</v>
      </c>
      <c r="T13" s="5"/>
      <c r="U13" s="5">
        <v>1.35</v>
      </c>
      <c r="V13" s="5"/>
      <c r="W13" s="5">
        <f t="shared" si="0"/>
        <v>61.1</v>
      </c>
    </row>
    <row r="14" spans="1:23">
      <c r="A14" s="3">
        <v>478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f>20.2+19.95+18.55+20.25+19.45+15.95+22.25+19.15+11.3</f>
        <v>167.05</v>
      </c>
      <c r="N14" s="5">
        <f>20.65+20.2+18.8+14.3+14.1+23.6+21.35+16.35+8+5.15</f>
        <v>162.5</v>
      </c>
      <c r="O14" s="5">
        <f>22.4+20.35+24.1+16.15+18.95+20.3+12.55</f>
        <v>134.8</v>
      </c>
      <c r="P14" s="5">
        <f>20.9+19.85+18.15+18.95+5.85</f>
        <v>83.7</v>
      </c>
      <c r="Q14" s="5">
        <v>24.6</v>
      </c>
      <c r="R14" s="5"/>
      <c r="S14" s="5">
        <f>21.05+14.15</f>
        <v>35.2</v>
      </c>
      <c r="T14" s="5">
        <v>13.05</v>
      </c>
      <c r="U14" s="5">
        <v>11.25</v>
      </c>
      <c r="V14" s="5"/>
      <c r="W14" s="5">
        <f t="shared" si="0"/>
        <v>632.15</v>
      </c>
    </row>
    <row r="15" spans="1:23">
      <c r="A15" s="3">
        <v>354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f>21.7+19.15+18.95+17.2+21+6.45</f>
        <v>104.45</v>
      </c>
      <c r="N15" s="5">
        <f>22.15+19.2+18.45+20.05+10.35+17.5</f>
        <v>107.7</v>
      </c>
      <c r="O15" s="5">
        <f>16.15+18.65+22.5+21.2+21.8+15.95+9.95</f>
        <v>126.2</v>
      </c>
      <c r="P15" s="5">
        <f>20.75+24.5+17.05+21.2+18.2+14.9</f>
        <v>116.6</v>
      </c>
      <c r="Q15" s="5">
        <f>18.3+17.25</f>
        <v>35.55</v>
      </c>
      <c r="R15" s="5"/>
      <c r="S15" s="5">
        <f>22.1+18.85+10.9</f>
        <v>51.85</v>
      </c>
      <c r="T15" s="5">
        <v>9.35</v>
      </c>
      <c r="U15" s="5">
        <v>11.2</v>
      </c>
      <c r="V15" s="5"/>
      <c r="W15" s="5">
        <f t="shared" si="0"/>
        <v>562.9</v>
      </c>
    </row>
    <row r="16" spans="1:23">
      <c r="A16" s="3">
        <v>1792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f>19.55+22.6+20.9+20.15+4.6</f>
        <v>87.8</v>
      </c>
      <c r="N16" s="5">
        <f>18.35+16.05+12.45+14.45+3.4</f>
        <v>64.7</v>
      </c>
      <c r="O16" s="5">
        <f>15.55+20.35+18.25+16.8+9.65</f>
        <v>80.6</v>
      </c>
      <c r="P16" s="5">
        <f>21.75+20.5+22.2+14.05+1.1</f>
        <v>79.6</v>
      </c>
      <c r="Q16" s="5">
        <f>14.45+11.4</f>
        <v>25.85</v>
      </c>
      <c r="R16" s="5"/>
      <c r="S16" s="5">
        <f>23.4+21+22.5</f>
        <v>66.9</v>
      </c>
      <c r="T16" s="5">
        <v>28.15</v>
      </c>
      <c r="U16" s="5">
        <v>14.45</v>
      </c>
      <c r="V16" s="5"/>
      <c r="W16" s="5">
        <f t="shared" si="0"/>
        <v>448.05</v>
      </c>
    </row>
    <row r="17" spans="1:23">
      <c r="A17" s="3">
        <v>368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v>21.95</v>
      </c>
      <c r="N17" s="5">
        <v>16.75</v>
      </c>
      <c r="O17" s="5">
        <v>20.8</v>
      </c>
      <c r="P17" s="5">
        <v>20.3</v>
      </c>
      <c r="Q17" s="5">
        <v>6.55</v>
      </c>
      <c r="R17" s="5"/>
      <c r="S17" s="5">
        <v>6.95</v>
      </c>
      <c r="T17" s="5">
        <v>7.35</v>
      </c>
      <c r="U17" s="5">
        <v>2.4</v>
      </c>
      <c r="V17" s="5"/>
      <c r="W17" s="5">
        <f t="shared" si="0"/>
        <v>103.05</v>
      </c>
    </row>
    <row r="18" spans="1:23">
      <c r="A18" s="3">
        <v>260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f>21.35+21.3+21.45+18.7+22.25+20+19.9+16.45</f>
        <v>161.4</v>
      </c>
      <c r="N18" s="5">
        <f>18.55+19.15+19.3+20.9+14.15+14.45+21.3+15.5+16.75+23.4+12.3+18.05+12.6</f>
        <v>226.4</v>
      </c>
      <c r="O18" s="5">
        <f>23.8+17.4+23.9+23+21.15+16.05+24.6+22.15+20.6+10</f>
        <v>202.65</v>
      </c>
      <c r="P18" s="5">
        <f>18+22.25+18.7+16.85+16.7+21.2+13.65</f>
        <v>127.35</v>
      </c>
      <c r="Q18" s="5">
        <f>20.65+14.3+25.5</f>
        <v>60.45</v>
      </c>
      <c r="R18" s="5"/>
      <c r="S18" s="5"/>
      <c r="T18" s="5">
        <f>25.9+19.2</f>
        <v>45.1</v>
      </c>
      <c r="U18" s="5">
        <v>29.3</v>
      </c>
      <c r="V18" s="5"/>
      <c r="W18" s="5">
        <f t="shared" si="0"/>
        <v>852.65</v>
      </c>
    </row>
    <row r="19" spans="1:23">
      <c r="A19" s="3">
        <v>260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f>17.05+11.5+13.5+17.95+23.5+17.85+17.35</f>
        <v>118.7</v>
      </c>
      <c r="N19" s="5">
        <f>22.85+9.5+13.55+15.3+19.95+27.25+15.05+19.45+18.35+13.75</f>
        <v>175</v>
      </c>
      <c r="O19" s="5">
        <f>21.95+15.7+15.1+13.6+20.4+17.95+5.2</f>
        <v>109.9</v>
      </c>
      <c r="P19" s="5">
        <f>12.95+13.9+17.55+19.15+16.85+16.55+15.65+8.7</f>
        <v>121.3</v>
      </c>
      <c r="Q19" s="5">
        <f>12.05+9.9</f>
        <v>21.95</v>
      </c>
      <c r="R19" s="5"/>
      <c r="S19" s="5">
        <f>20.65+19+20.95+18.2+16.05+18+18.85+21.65+22.9+26.65+20.45+21.5</f>
        <v>244.85</v>
      </c>
      <c r="T19" s="5">
        <f>25.15+19.6</f>
        <v>44.75</v>
      </c>
      <c r="U19" s="5">
        <v>25.15</v>
      </c>
      <c r="V19" s="5"/>
      <c r="W19" s="5">
        <f t="shared" si="0"/>
        <v>861.6</v>
      </c>
    </row>
    <row r="20" spans="1:23">
      <c r="A20" s="3">
        <v>2389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v>2.2</v>
      </c>
      <c r="N20" s="5"/>
      <c r="O20" s="5">
        <v>1.4</v>
      </c>
      <c r="P20" s="5">
        <v>2.3</v>
      </c>
      <c r="Q20" s="5"/>
      <c r="R20" s="5"/>
      <c r="S20" s="5">
        <v>10.85</v>
      </c>
      <c r="T20" s="5"/>
      <c r="U20" s="5">
        <v>1.55</v>
      </c>
      <c r="V20" s="5"/>
      <c r="W20" s="5">
        <f t="shared" si="0"/>
        <v>18.3</v>
      </c>
    </row>
    <row r="21" spans="1:23">
      <c r="A21" s="3">
        <v>444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f>20.25+18.1+6.9</f>
        <v>45.25</v>
      </c>
      <c r="N21" s="5">
        <f>17.05+13.75</f>
        <v>30.8</v>
      </c>
      <c r="O21" s="5">
        <f>17.55+10</f>
        <v>27.55</v>
      </c>
      <c r="P21" s="5">
        <f>17.55+14.35</f>
        <v>31.9</v>
      </c>
      <c r="Q21" s="5">
        <v>6.3</v>
      </c>
      <c r="R21" s="5"/>
      <c r="S21" s="5">
        <v>17.3</v>
      </c>
      <c r="T21" s="5">
        <v>4.55</v>
      </c>
      <c r="U21" s="5">
        <v>5.65</v>
      </c>
      <c r="V21" s="5"/>
      <c r="W21" s="5">
        <f t="shared" si="0"/>
        <v>169.3</v>
      </c>
    </row>
    <row r="22" spans="1:23">
      <c r="A22" s="3">
        <v>1795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v>6.3</v>
      </c>
      <c r="N22" s="5">
        <v>1.6</v>
      </c>
      <c r="O22" s="5">
        <v>2.9</v>
      </c>
      <c r="P22" s="5">
        <v>1.2</v>
      </c>
      <c r="Q22" s="5"/>
      <c r="R22" s="5"/>
      <c r="S22" s="5"/>
      <c r="T22" s="5"/>
      <c r="U22" s="5"/>
      <c r="V22" s="5"/>
      <c r="W22" s="5">
        <f t="shared" si="0"/>
        <v>12</v>
      </c>
    </row>
    <row r="23" spans="1:23">
      <c r="A23" s="3">
        <v>767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v>5.3</v>
      </c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5.3</v>
      </c>
    </row>
    <row r="24" spans="1:23">
      <c r="A24" s="3">
        <v>206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>
        <v>27.95</v>
      </c>
      <c r="N24" s="5">
        <v>13.2</v>
      </c>
      <c r="O24" s="5">
        <v>1.35</v>
      </c>
      <c r="P24" s="5">
        <v>3.45</v>
      </c>
      <c r="Q24" s="5">
        <v>0.9</v>
      </c>
      <c r="R24" s="5"/>
      <c r="S24" s="5">
        <v>9.8</v>
      </c>
      <c r="T24" s="5"/>
      <c r="U24" s="5"/>
      <c r="V24" s="5"/>
      <c r="W24" s="5">
        <f t="shared" si="0"/>
        <v>56.65</v>
      </c>
    </row>
    <row r="25" spans="1:23">
      <c r="A25" s="3">
        <v>1651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>
        <f>17.05+14.8</f>
        <v>31.85</v>
      </c>
      <c r="N25" s="5">
        <v>17.8</v>
      </c>
      <c r="O25" s="5">
        <v>9.75</v>
      </c>
      <c r="P25" s="5">
        <v>1.9</v>
      </c>
      <c r="Q25" s="5"/>
      <c r="R25" s="5"/>
      <c r="S25" s="5">
        <v>12.5</v>
      </c>
      <c r="T25" s="5"/>
      <c r="U25" s="5"/>
      <c r="V25" s="5"/>
      <c r="W25" s="5">
        <f t="shared" si="0"/>
        <v>73.8</v>
      </c>
    </row>
    <row r="26" spans="1:23">
      <c r="A26" s="3">
        <v>445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>
        <v>25.45</v>
      </c>
      <c r="N26" s="5">
        <v>26.4</v>
      </c>
      <c r="O26" s="5">
        <v>10.65</v>
      </c>
      <c r="P26" s="5">
        <v>7.2</v>
      </c>
      <c r="Q26" s="5">
        <v>3.4</v>
      </c>
      <c r="R26" s="5"/>
      <c r="S26" s="5">
        <v>3.05</v>
      </c>
      <c r="T26" s="5"/>
      <c r="U26" s="5">
        <v>0.9</v>
      </c>
      <c r="V26" s="5"/>
      <c r="W26" s="5">
        <f t="shared" si="0"/>
        <v>77.05</v>
      </c>
    </row>
    <row r="27" spans="1:23">
      <c r="A27" s="3">
        <v>1037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26.7</v>
      </c>
      <c r="N27" s="5">
        <v>3.6</v>
      </c>
      <c r="O27" s="5"/>
      <c r="P27" s="5"/>
      <c r="Q27" s="5"/>
      <c r="R27" s="5"/>
      <c r="S27" s="5"/>
      <c r="T27" s="5"/>
      <c r="U27" s="5"/>
      <c r="V27" s="5"/>
      <c r="W27" s="5">
        <f t="shared" si="0"/>
        <v>30.3</v>
      </c>
    </row>
    <row r="28" spans="1:23">
      <c r="A28" s="3">
        <v>2425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f>7.8+20.15+20.3</f>
        <v>48.25</v>
      </c>
      <c r="N28" s="5">
        <f>17.65+18.55+14.3</f>
        <v>50.5</v>
      </c>
      <c r="O28" s="5">
        <f>10.65+19.05+12.7</f>
        <v>42.4</v>
      </c>
      <c r="P28" s="5">
        <f>10.65+23.35</f>
        <v>34</v>
      </c>
      <c r="Q28" s="5">
        <v>7.45</v>
      </c>
      <c r="R28" s="5"/>
      <c r="S28" s="5">
        <v>29.1</v>
      </c>
      <c r="T28" s="5">
        <v>23.9</v>
      </c>
      <c r="U28" s="5">
        <v>4.5</v>
      </c>
      <c r="V28" s="5"/>
      <c r="W28" s="5">
        <f t="shared" si="0"/>
        <v>240.1</v>
      </c>
    </row>
    <row r="29" spans="1:23">
      <c r="A29" s="3">
        <v>1009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f>23.95+17.7+18.4+21.7+7.1</f>
        <v>88.85</v>
      </c>
      <c r="N29" s="5">
        <f>29.7+14.25+20.9+15.95+19.95+14</f>
        <v>114.75</v>
      </c>
      <c r="O29" s="5">
        <f>21.65+9.35+14.4+22.05+14.9+13.3</f>
        <v>95.65</v>
      </c>
      <c r="P29" s="5">
        <f>12.4+19.55+5.1</f>
        <v>37.05</v>
      </c>
      <c r="Q29" s="5">
        <v>8</v>
      </c>
      <c r="R29" s="5"/>
      <c r="S29" s="5">
        <f>20.25+26.6+25.85+24.55+25.95</f>
        <v>123.2</v>
      </c>
      <c r="T29" s="5">
        <v>28.2</v>
      </c>
      <c r="U29" s="5">
        <v>16.45</v>
      </c>
      <c r="V29" s="5"/>
      <c r="W29" s="5">
        <f t="shared" si="0"/>
        <v>512.15</v>
      </c>
    </row>
    <row r="30" spans="1:23">
      <c r="A30" s="3">
        <v>2415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v>28</v>
      </c>
      <c r="N30" s="5">
        <f>16+20.6</f>
        <v>36.6</v>
      </c>
      <c r="O30" s="5">
        <v>23.1</v>
      </c>
      <c r="P30" s="5">
        <v>17.2</v>
      </c>
      <c r="Q30" s="5">
        <v>6.45</v>
      </c>
      <c r="R30" s="5"/>
      <c r="S30" s="5">
        <v>12.5</v>
      </c>
      <c r="T30" s="5">
        <v>2.8</v>
      </c>
      <c r="U30" s="5">
        <v>6.55</v>
      </c>
      <c r="V30" s="5"/>
      <c r="W30" s="5">
        <f t="shared" si="0"/>
        <v>133.2</v>
      </c>
    </row>
    <row r="31" spans="1:23">
      <c r="A31" s="3">
        <v>1013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f>20.45+15.15+23.3+4.75</f>
        <v>63.65</v>
      </c>
      <c r="N31" s="5">
        <f>15.4+17.45+14.45+16.8</f>
        <v>64.1</v>
      </c>
      <c r="O31" s="5">
        <f>14.5+18.25+13.55+15.05+14.5+21.8</f>
        <v>97.65</v>
      </c>
      <c r="P31" s="5">
        <f>16.45+22.45+18</f>
        <v>56.9</v>
      </c>
      <c r="Q31" s="5">
        <f>13+15.6</f>
        <v>28.6</v>
      </c>
      <c r="R31" s="5"/>
      <c r="S31" s="5">
        <v>12.55</v>
      </c>
      <c r="T31" s="5">
        <v>16.1</v>
      </c>
      <c r="U31" s="5">
        <v>18.2</v>
      </c>
      <c r="V31" s="5"/>
      <c r="W31" s="5">
        <f t="shared" si="0"/>
        <v>357.75</v>
      </c>
    </row>
    <row r="32" spans="1:23">
      <c r="A32" s="3">
        <v>672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15.45</v>
      </c>
      <c r="N32" s="5">
        <f>14.3+5.2</f>
        <v>19.5</v>
      </c>
      <c r="O32" s="5">
        <f>14.6+14.6+10.6</f>
        <v>39.8</v>
      </c>
      <c r="P32" s="5">
        <f>18.95+14.55+12.6</f>
        <v>46.1</v>
      </c>
      <c r="Q32" s="5">
        <f>14.7+6.3</f>
        <v>21</v>
      </c>
      <c r="R32" s="5"/>
      <c r="S32" s="5">
        <v>13.55</v>
      </c>
      <c r="T32" s="5">
        <v>6.7</v>
      </c>
      <c r="U32" s="5">
        <v>5.4</v>
      </c>
      <c r="V32" s="5"/>
      <c r="W32" s="5">
        <f t="shared" si="0"/>
        <v>167.5</v>
      </c>
    </row>
    <row r="33" spans="1:23">
      <c r="A33" s="3">
        <v>1023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f>13.1+19.55+18.8+21.05+18.05+18.4+14.05+19.75</f>
        <v>142.75</v>
      </c>
      <c r="N33" s="5">
        <f>14.1+18+13.55+13.1+14.8+17+19.35+17.8+16.15</f>
        <v>143.85</v>
      </c>
      <c r="O33" s="5">
        <f>19.2+16.6+11.25+10.4+14.35+19.85+13.1+14.15</f>
        <v>118.9</v>
      </c>
      <c r="P33" s="5">
        <f>18.35+16.7+13.65+13.95+11.9+17.75+17.35</f>
        <v>109.65</v>
      </c>
      <c r="Q33" s="5">
        <f>16.4+17</f>
        <v>33.4</v>
      </c>
      <c r="R33" s="5"/>
      <c r="S33" s="5"/>
      <c r="T33" s="5"/>
      <c r="U33" s="5"/>
      <c r="V33" s="5"/>
      <c r="W33" s="5">
        <f t="shared" si="0"/>
        <v>548.55</v>
      </c>
    </row>
    <row r="34" spans="1:23">
      <c r="A34" s="3">
        <v>1023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f>20.95+18.15+17.8+16.8+17.05+20.95+16.45+15.35+20.15</f>
        <v>163.65</v>
      </c>
      <c r="N34" s="5">
        <f>15.8+19.25+14.25+18.05+19.3+21.55+18.55</f>
        <v>126.75</v>
      </c>
      <c r="O34" s="5">
        <f>16.9+20.15+11.25+13.05+16.5+13.85+16.85+25.4</f>
        <v>133.95</v>
      </c>
      <c r="P34" s="5">
        <f>21.85+12.1+16+15.1+17.15+16.9+21.1+12.4</f>
        <v>132.6</v>
      </c>
      <c r="Q34" s="5">
        <f>13.15+27.45</f>
        <v>40.6</v>
      </c>
      <c r="R34" s="5"/>
      <c r="S34" s="5"/>
      <c r="T34" s="5">
        <f>16.8+16.25+23.05+15.85</f>
        <v>71.95</v>
      </c>
      <c r="U34" s="5">
        <v>32.7</v>
      </c>
      <c r="V34" s="5"/>
      <c r="W34" s="5">
        <f t="shared" si="0"/>
        <v>702.2</v>
      </c>
    </row>
    <row r="35" spans="1:23">
      <c r="A35" s="3">
        <v>1023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f>20.05+20.5+21.7+18.25+21.1+14.2</f>
        <v>115.8</v>
      </c>
      <c r="N35" s="5">
        <f>15.2+15.05+16.6+12.5+16.7+21.35+22+19.25</f>
        <v>138.65</v>
      </c>
      <c r="O35" s="5">
        <f>23.7+14.25+17.9+26.5+24.15+24.75+21.1+21.1</f>
        <v>173.45</v>
      </c>
      <c r="P35" s="5">
        <f>22.35+18.25+23.45+11.45+19.45+27.45+21.5+17</f>
        <v>160.9</v>
      </c>
      <c r="Q35" s="5">
        <f>15.25+12.9+23.15</f>
        <v>51.3</v>
      </c>
      <c r="R35" s="5"/>
      <c r="S35" s="5"/>
      <c r="T35" s="5">
        <f>14.7+19.7+6+24.05</f>
        <v>64.45</v>
      </c>
      <c r="U35" s="5">
        <f>20.1+12.95+22.4</f>
        <v>55.45</v>
      </c>
      <c r="V35" s="5"/>
      <c r="W35" s="5">
        <f t="shared" si="0"/>
        <v>760</v>
      </c>
    </row>
    <row r="36" spans="1:23">
      <c r="A36" s="3">
        <v>1023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8.75</v>
      </c>
      <c r="N36" s="5">
        <v>10.75</v>
      </c>
      <c r="O36" s="5">
        <v>21.3</v>
      </c>
      <c r="P36" s="5">
        <v>22.15</v>
      </c>
      <c r="Q36" s="5">
        <v>21</v>
      </c>
      <c r="R36" s="5"/>
      <c r="S36" s="5">
        <f>16.9+21.05+20.3+21.75+22.05+23.5+21.5+23.7+23.05+26.1+28.2+2.55</f>
        <v>250.65</v>
      </c>
      <c r="T36" s="5">
        <v>1.55</v>
      </c>
      <c r="U36" s="5">
        <v>6.25</v>
      </c>
      <c r="V36" s="5"/>
      <c r="W36" s="5">
        <f t="shared" si="0"/>
        <v>342.4</v>
      </c>
    </row>
    <row r="37" spans="1:23">
      <c r="A37" s="3">
        <v>1026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11.1</v>
      </c>
      <c r="N37" s="5">
        <v>7.8</v>
      </c>
      <c r="O37" s="5">
        <v>1.3</v>
      </c>
      <c r="P37" s="5"/>
      <c r="Q37" s="5"/>
      <c r="R37" s="5"/>
      <c r="S37" s="5">
        <v>23.65</v>
      </c>
      <c r="T37" s="5">
        <v>1.8</v>
      </c>
      <c r="U37" s="5"/>
      <c r="V37" s="5"/>
      <c r="W37" s="5">
        <f t="shared" si="0"/>
        <v>45.65</v>
      </c>
    </row>
    <row r="38" spans="1:23">
      <c r="A38" s="3">
        <v>1023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f>17.8+20.7</f>
        <v>38.5</v>
      </c>
      <c r="N38" s="5">
        <f>18.3+19.9</f>
        <v>38.2</v>
      </c>
      <c r="O38" s="5">
        <f>15.2+17.7+7.25</f>
        <v>40.15</v>
      </c>
      <c r="P38" s="5">
        <f>18.6+17.15+2.5</f>
        <v>38.25</v>
      </c>
      <c r="Q38" s="5">
        <f>18.55+12.8</f>
        <v>31.35</v>
      </c>
      <c r="R38" s="5"/>
      <c r="S38" s="5">
        <f>20.5+27.85</f>
        <v>48.35</v>
      </c>
      <c r="T38" s="5">
        <f>19.75+23.4</f>
        <v>43.15</v>
      </c>
      <c r="U38" s="5">
        <f>22.6+10.5+8.4</f>
        <v>41.5</v>
      </c>
      <c r="V38" s="5"/>
      <c r="W38" s="5">
        <f t="shared" si="0"/>
        <v>319.45</v>
      </c>
    </row>
    <row r="39" spans="1:23">
      <c r="A39" s="3">
        <v>1039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f>24.1+28.35</f>
        <v>52.45</v>
      </c>
      <c r="N39" s="5">
        <f>21.25+14.3</f>
        <v>35.55</v>
      </c>
      <c r="O39" s="5">
        <v>13.05</v>
      </c>
      <c r="P39" s="5">
        <v>1.1</v>
      </c>
      <c r="Q39" s="5"/>
      <c r="R39" s="5"/>
      <c r="S39" s="5">
        <v>12.9</v>
      </c>
      <c r="T39" s="5">
        <v>6.9</v>
      </c>
      <c r="U39" s="5"/>
      <c r="V39" s="5"/>
      <c r="W39" s="5">
        <f t="shared" si="0"/>
        <v>121.95</v>
      </c>
    </row>
    <row r="40" spans="1:23">
      <c r="A40" s="3">
        <v>2443</v>
      </c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v>10.75</v>
      </c>
      <c r="N40" s="5">
        <v>13.6</v>
      </c>
      <c r="O40" s="5">
        <v>8.7</v>
      </c>
      <c r="P40" s="5">
        <v>23</v>
      </c>
      <c r="Q40" s="5">
        <v>13.55</v>
      </c>
      <c r="R40" s="5"/>
      <c r="S40" s="5"/>
      <c r="T40" s="5">
        <v>6.4</v>
      </c>
      <c r="U40" s="5">
        <v>6.1</v>
      </c>
      <c r="V40" s="5"/>
      <c r="W40" s="5">
        <f t="shared" si="0"/>
        <v>82.1</v>
      </c>
    </row>
    <row r="41" spans="1:23">
      <c r="A41" s="3">
        <v>1029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f>16.3+27.95</f>
        <v>44.25</v>
      </c>
      <c r="N41" s="5">
        <f>19.25+20.25+21.5+1.6</f>
        <v>62.6</v>
      </c>
      <c r="O41" s="5"/>
      <c r="P41" s="5"/>
      <c r="Q41" s="5"/>
      <c r="R41" s="5"/>
      <c r="S41" s="5">
        <v>27.9</v>
      </c>
      <c r="T41" s="5">
        <v>1.7</v>
      </c>
      <c r="U41" s="5"/>
      <c r="V41" s="5"/>
      <c r="W41" s="5">
        <f t="shared" si="0"/>
        <v>136.45</v>
      </c>
    </row>
    <row r="42" spans="1:23">
      <c r="A42" s="3">
        <v>1038</v>
      </c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f>13.35+17.7+16.15</f>
        <v>47.2</v>
      </c>
      <c r="N42" s="5">
        <f>17.45+15.8+15.5+12.6</f>
        <v>61.35</v>
      </c>
      <c r="O42" s="5">
        <f>16.55+18.55+16.35+19.95+18.7+8.9</f>
        <v>99</v>
      </c>
      <c r="P42" s="5">
        <f>17.4+18.35+21.1+22.85+18.65+17.7+8.2</f>
        <v>124.25</v>
      </c>
      <c r="Q42" s="5">
        <f>15.55+22+0.75</f>
        <v>38.3</v>
      </c>
      <c r="R42" s="5"/>
      <c r="S42" s="5">
        <f>18.85+18.8+17.05</f>
        <v>54.7</v>
      </c>
      <c r="T42" s="5">
        <f>19.4+21.05+13.2</f>
        <v>53.65</v>
      </c>
      <c r="U42" s="5">
        <f>26+22.25</f>
        <v>48.25</v>
      </c>
      <c r="V42" s="5"/>
      <c r="W42" s="5">
        <f t="shared" si="0"/>
        <v>526.7</v>
      </c>
    </row>
    <row r="43" spans="1:23">
      <c r="A43" s="3">
        <v>1011</v>
      </c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v>8.55</v>
      </c>
      <c r="N43" s="5">
        <v>16.5</v>
      </c>
      <c r="O43" s="5">
        <v>7.05</v>
      </c>
      <c r="P43" s="5">
        <v>3.15</v>
      </c>
      <c r="Q43" s="5"/>
      <c r="R43" s="5"/>
      <c r="S43" s="5">
        <f>19.9+15.2</f>
        <v>35.1</v>
      </c>
      <c r="T43" s="5">
        <v>9.25</v>
      </c>
      <c r="U43" s="5">
        <v>9.55</v>
      </c>
      <c r="V43" s="5"/>
      <c r="W43" s="5">
        <f t="shared" si="0"/>
        <v>89.15</v>
      </c>
    </row>
    <row r="44" spans="1:23">
      <c r="A44" s="3">
        <v>1030</v>
      </c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v>10.95</v>
      </c>
      <c r="N44" s="5">
        <f>15.2+12.45</f>
        <v>27.65</v>
      </c>
      <c r="O44" s="5">
        <f>16.6+10.85</f>
        <v>27.45</v>
      </c>
      <c r="P44" s="5">
        <v>22.8</v>
      </c>
      <c r="Q44" s="5">
        <v>4.75</v>
      </c>
      <c r="R44" s="5"/>
      <c r="S44" s="5">
        <f>18.75+25.6+2.05+2.3</f>
        <v>48.7</v>
      </c>
      <c r="T44" s="5">
        <f>20.6+13.95</f>
        <v>34.55</v>
      </c>
      <c r="U44" s="5">
        <v>4.5</v>
      </c>
      <c r="V44" s="5"/>
      <c r="W44" s="5">
        <f t="shared" si="0"/>
        <v>181.35</v>
      </c>
    </row>
    <row r="45" spans="1:23">
      <c r="A45" s="3">
        <v>4005</v>
      </c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f>22.8+21.4+14.5</f>
        <v>58.7</v>
      </c>
      <c r="N45" s="5">
        <f>22.2+17.15+10.65</f>
        <v>50</v>
      </c>
      <c r="O45" s="5">
        <f>19.9+10.75</f>
        <v>30.65</v>
      </c>
      <c r="P45" s="5">
        <v>10.65</v>
      </c>
      <c r="Q45" s="5">
        <v>7.85</v>
      </c>
      <c r="R45" s="5"/>
      <c r="S45" s="5">
        <v>29.45</v>
      </c>
      <c r="T45" s="5">
        <v>1.5</v>
      </c>
      <c r="U45" s="5">
        <v>2.25</v>
      </c>
      <c r="V45" s="5"/>
      <c r="W45" s="5">
        <f t="shared" si="0"/>
        <v>191.05</v>
      </c>
    </row>
    <row r="46" spans="1:23">
      <c r="A46" s="3">
        <v>1010</v>
      </c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>
        <f>14.2+21.45+18+17.8+17.65+19.2+16.3+16.8+20.3+16.35+15.85+8.75</f>
        <v>202.65</v>
      </c>
      <c r="N46" s="5">
        <f>19.55+20.7+14.65+19.2+14.1+20.1+18.15+19.45+16.15+17.55+16.15+16.6</f>
        <v>212.35</v>
      </c>
      <c r="O46" s="5">
        <f>18.9+17.05+15.7+16.35+13.75+17.75+16.85+14.35+19.45+4.25</f>
        <v>154.4</v>
      </c>
      <c r="P46" s="5">
        <f>22.3+19.05+17.3+14.9+17.95+20.5+23.25+16.75</f>
        <v>152</v>
      </c>
      <c r="Q46" s="5">
        <f>21.15+25.55</f>
        <v>46.7</v>
      </c>
      <c r="R46" s="5"/>
      <c r="S46" s="5">
        <f>17.7+20.55+17.85+15.8+19.9+18.75+19.6+15.8</f>
        <v>145.95</v>
      </c>
      <c r="T46" s="5">
        <f>23.2+9.95</f>
        <v>33.15</v>
      </c>
      <c r="U46" s="5">
        <v>20.65</v>
      </c>
      <c r="V46" s="5"/>
      <c r="W46" s="5">
        <f t="shared" si="0"/>
        <v>967.85</v>
      </c>
    </row>
    <row r="47" spans="1:23">
      <c r="A47" s="3">
        <v>1005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>
        <f>16.5+15.2</f>
        <v>31.7</v>
      </c>
      <c r="N47" s="5">
        <f>18.35+11.7</f>
        <v>30.05</v>
      </c>
      <c r="O47" s="5">
        <v>14.45</v>
      </c>
      <c r="P47" s="5">
        <v>3.3</v>
      </c>
      <c r="Q47" s="5">
        <v>0.85</v>
      </c>
      <c r="R47" s="5"/>
      <c r="S47" s="5">
        <f>25.5+6</f>
        <v>31.5</v>
      </c>
      <c r="T47" s="5">
        <v>6.4</v>
      </c>
      <c r="U47" s="5">
        <v>2.2</v>
      </c>
      <c r="V47" s="5"/>
      <c r="W47" s="5">
        <f t="shared" si="0"/>
        <v>120.45</v>
      </c>
    </row>
    <row r="48" spans="1:23">
      <c r="A48" s="3">
        <v>999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>21.65+14.25+2.1</f>
        <v>38</v>
      </c>
      <c r="N48" s="5">
        <f>16.85+15.75</f>
        <v>32.6</v>
      </c>
      <c r="O48" s="5">
        <f>11.3+9.55</f>
        <v>20.85</v>
      </c>
      <c r="P48" s="5">
        <f>15.15+14+5.7</f>
        <v>34.85</v>
      </c>
      <c r="Q48" s="5">
        <v>7.9</v>
      </c>
      <c r="R48" s="5"/>
      <c r="S48" s="5">
        <v>17.3</v>
      </c>
      <c r="T48" s="5">
        <v>19.35</v>
      </c>
      <c r="U48" s="5">
        <v>13.7</v>
      </c>
      <c r="V48" s="5"/>
      <c r="W48" s="5">
        <f t="shared" si="0"/>
        <v>184.55</v>
      </c>
    </row>
    <row r="49" spans="1:23">
      <c r="A49" s="3">
        <v>1027</v>
      </c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>
        <v>6.85</v>
      </c>
      <c r="N49" s="5">
        <v>1.6</v>
      </c>
      <c r="O49" s="5">
        <v>1.25</v>
      </c>
      <c r="P49" s="5">
        <v>1.9</v>
      </c>
      <c r="Q49" s="5"/>
      <c r="R49" s="5"/>
      <c r="S49" s="5"/>
      <c r="T49" s="5"/>
      <c r="U49" s="5"/>
      <c r="V49" s="5"/>
      <c r="W49" s="5">
        <f t="shared" si="0"/>
        <v>11.6</v>
      </c>
    </row>
    <row r="50" spans="1:23">
      <c r="A50" s="3">
        <v>309</v>
      </c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>
        <f>21+15.55+15.7+17.25+15.95+14.55+15.65+19.5</f>
        <v>135.15</v>
      </c>
      <c r="N50" s="5">
        <f>21.75+28.3+25.15+21.7+15.7+19.45+19.05+18.5+18</f>
        <v>187.6</v>
      </c>
      <c r="O50" s="5">
        <f>17.85+20.05+22.1+17.3+16.6+20+16.85+15.9+19.9+16.05</f>
        <v>182.6</v>
      </c>
      <c r="P50" s="5">
        <f>18.2+22.75+24.8+12.55+17.75+15.15+16.4+17.55+18.9</f>
        <v>164.05</v>
      </c>
      <c r="Q50" s="5">
        <f>16.7+16.15+11.5</f>
        <v>44.35</v>
      </c>
      <c r="R50" s="5"/>
      <c r="S50" s="5"/>
      <c r="T50" s="5">
        <f>20+14.55+23.5</f>
        <v>58.05</v>
      </c>
      <c r="U50" s="5">
        <f>18.1+14.25+11.25+20.25</f>
        <v>63.85</v>
      </c>
      <c r="V50" s="5"/>
      <c r="W50" s="5">
        <f t="shared" si="0"/>
        <v>835.65</v>
      </c>
    </row>
    <row r="51" spans="1:23">
      <c r="A51" s="3">
        <v>309</v>
      </c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>
        <f>16.1+18.45+19.6+23.25+13.65+20.4+25.85+21.3</f>
        <v>158.6</v>
      </c>
      <c r="N51" s="5">
        <f>21.05+13.8+18.05+20.85+20.7+19.55+17.85+16.358+17.8+13.75+21.75</f>
        <v>201.508</v>
      </c>
      <c r="O51" s="5">
        <f>14.95+19.7+20.55+18.95+20.15+15.3+21.8</f>
        <v>131.4</v>
      </c>
      <c r="P51" s="5">
        <f>17.75+17.8+14.4+17.65+23+14.6</f>
        <v>105.2</v>
      </c>
      <c r="Q51" s="5">
        <f>23.8+26.55+16.95</f>
        <v>67.3</v>
      </c>
      <c r="R51" s="5"/>
      <c r="S51" s="5"/>
      <c r="T51" s="5">
        <f>21.05+14.95</f>
        <v>36</v>
      </c>
      <c r="U51" s="5">
        <f>21.95+15.3+21.35</f>
        <v>58.6</v>
      </c>
      <c r="V51" s="5"/>
      <c r="W51" s="5">
        <f t="shared" si="0"/>
        <v>758.608</v>
      </c>
    </row>
    <row r="52" spans="1:23">
      <c r="A52" s="3">
        <v>309</v>
      </c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>
        <f>19+20.55+20.2+20.05+22.05+18.15+23.4+22.15</f>
        <v>165.55</v>
      </c>
      <c r="N52" s="5">
        <f>19.2+17.15+21.2+20.65+22.65+19.1+22.9+18.55+23.25</f>
        <v>184.65</v>
      </c>
      <c r="O52" s="5">
        <f>19.6+23+20.7+21.1+18.85+23.25+20.1+19.75</f>
        <v>166.35</v>
      </c>
      <c r="P52" s="5">
        <f>20.6+21+18.8+23.8+20.7</f>
        <v>104.9</v>
      </c>
      <c r="Q52" s="5">
        <f>21.85+17.1</f>
        <v>38.95</v>
      </c>
      <c r="R52" s="5"/>
      <c r="S52" s="5">
        <f>20.95+20.65+19.15+19.05+20.75+19.75+21.67+16.2+21.45+16.15+21.45+9.25</f>
        <v>226.47</v>
      </c>
      <c r="T52" s="5">
        <f>14.8+21.4+21.95+13.75+22.95</f>
        <v>94.85</v>
      </c>
      <c r="U52" s="5">
        <v>30.6</v>
      </c>
      <c r="V52" s="5"/>
      <c r="W52" s="5">
        <f t="shared" si="0"/>
        <v>1012.32</v>
      </c>
    </row>
    <row r="53" spans="1:23">
      <c r="A53" s="3">
        <v>309</v>
      </c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>
        <f>20.6+18.85+20.25+19+12.3+15.05+16.6</f>
        <v>122.65</v>
      </c>
      <c r="N53" s="5">
        <f>20.4+17.45+15.55+14.3+19+19.85</f>
        <v>106.55</v>
      </c>
      <c r="O53" s="5">
        <f>17.4+19.8+14.6+21.35+11.65+18.45+26.55+9.7</f>
        <v>139.5</v>
      </c>
      <c r="P53" s="5">
        <f>13.1+13.75+14.85+17.25+16.65+16+18.3+16.75</f>
        <v>126.65</v>
      </c>
      <c r="Q53" s="5">
        <f>22.55+22.3+24.25</f>
        <v>69.1</v>
      </c>
      <c r="R53" s="5"/>
      <c r="S53" s="5">
        <f>16.3+20.55+18.05</f>
        <v>54.9</v>
      </c>
      <c r="T53" s="5">
        <f>26.8+20.75+9.55</f>
        <v>57.1</v>
      </c>
      <c r="U53" s="5">
        <f>13.1+21.1+14.4</f>
        <v>48.6</v>
      </c>
      <c r="V53" s="5"/>
      <c r="W53" s="5">
        <f t="shared" si="0"/>
        <v>725.05</v>
      </c>
    </row>
    <row r="54" spans="1:23">
      <c r="A54" s="3">
        <v>560</v>
      </c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>
        <v>15.8</v>
      </c>
      <c r="N54" s="5">
        <v>12.95</v>
      </c>
      <c r="O54" s="5">
        <v>18.45</v>
      </c>
      <c r="P54" s="5">
        <f>17.35+15</f>
        <v>32.35</v>
      </c>
      <c r="Q54" s="5">
        <v>9</v>
      </c>
      <c r="R54" s="5"/>
      <c r="S54" s="5">
        <v>8.55</v>
      </c>
      <c r="T54" s="5">
        <v>6.85</v>
      </c>
      <c r="U54" s="5">
        <v>4.4</v>
      </c>
      <c r="V54" s="5"/>
      <c r="W54" s="5">
        <f t="shared" si="0"/>
        <v>108.35</v>
      </c>
    </row>
    <row r="55" spans="1:23">
      <c r="A55" s="3">
        <v>2441</v>
      </c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>
        <v>6.3</v>
      </c>
      <c r="N55" s="5">
        <v>8.1</v>
      </c>
      <c r="O55" s="5">
        <v>3.95</v>
      </c>
      <c r="P55" s="5">
        <v>1.05</v>
      </c>
      <c r="Q55" s="5"/>
      <c r="R55" s="5"/>
      <c r="S55" s="5">
        <v>12.75</v>
      </c>
      <c r="T55" s="5"/>
      <c r="U55" s="5">
        <v>0.85</v>
      </c>
      <c r="V55" s="5"/>
      <c r="W55" s="5">
        <f t="shared" si="0"/>
        <v>33</v>
      </c>
    </row>
    <row r="56" spans="1:23">
      <c r="A56" s="3">
        <v>180</v>
      </c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v>14.75</v>
      </c>
      <c r="N56" s="5">
        <v>6.7</v>
      </c>
      <c r="O56" s="5">
        <v>1.25</v>
      </c>
      <c r="P56" s="5">
        <v>1.05</v>
      </c>
      <c r="Q56" s="5"/>
      <c r="R56" s="5"/>
      <c r="S56" s="5">
        <v>12.15</v>
      </c>
      <c r="T56" s="5"/>
      <c r="U56" s="5"/>
      <c r="V56" s="5"/>
      <c r="W56" s="5">
        <f t="shared" si="0"/>
        <v>35.9</v>
      </c>
    </row>
    <row r="57" spans="1:23">
      <c r="A57" s="3">
        <v>2198</v>
      </c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>
        <v>4.2</v>
      </c>
      <c r="N57" s="5">
        <v>3.5</v>
      </c>
      <c r="O57" s="5">
        <v>4.15</v>
      </c>
      <c r="P57" s="5">
        <v>2.35</v>
      </c>
      <c r="Q57" s="5"/>
      <c r="R57" s="5"/>
      <c r="S57" s="5">
        <v>8.6</v>
      </c>
      <c r="T57" s="5"/>
      <c r="U57" s="5">
        <v>2.1</v>
      </c>
      <c r="V57" s="5"/>
      <c r="W57" s="5">
        <f t="shared" si="0"/>
        <v>24.9</v>
      </c>
    </row>
    <row r="58" spans="1:23">
      <c r="A58" s="3">
        <v>2161</v>
      </c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f>16.65+11.8</f>
        <v>28.45</v>
      </c>
      <c r="N58" s="5">
        <f>15.1+20.8+18.35+20.05</f>
        <v>74.3</v>
      </c>
      <c r="O58" s="5">
        <f>10.8+13.4+14.95+13.1+16.65+18+19.8+12.6</f>
        <v>119.3</v>
      </c>
      <c r="P58" s="5">
        <f>13.05+18.05+19.45+14.35+15.7+11.95+20.45+18.15+22.85+11.7+20.6+13.8</f>
        <v>200.1</v>
      </c>
      <c r="Q58" s="5">
        <f>9.1+13+21.35+24.85+19.8+17.55+17.8+16.2</f>
        <v>139.65</v>
      </c>
      <c r="R58" s="5"/>
      <c r="S58" s="5">
        <v>6.95</v>
      </c>
      <c r="T58" s="5">
        <f>22.85+5.05</f>
        <v>27.9</v>
      </c>
      <c r="U58" s="5">
        <f>18.95+22.85+19.45+25.6+20.7+15+20.4</f>
        <v>142.95</v>
      </c>
      <c r="V58" s="5"/>
      <c r="W58" s="5">
        <f t="shared" si="0"/>
        <v>739.6</v>
      </c>
    </row>
    <row r="59" spans="1:23">
      <c r="A59" s="3">
        <v>2161</v>
      </c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>
        <v>2.35</v>
      </c>
      <c r="N59" s="5">
        <v>5.2</v>
      </c>
      <c r="O59" s="5">
        <v>8.7</v>
      </c>
      <c r="P59" s="5">
        <v>9.25</v>
      </c>
      <c r="Q59" s="5">
        <f>21.8+15.8</f>
        <v>37.6</v>
      </c>
      <c r="R59" s="5"/>
      <c r="S59" s="5">
        <v>5.65</v>
      </c>
      <c r="T59" s="5">
        <v>8.45</v>
      </c>
      <c r="U59" s="5">
        <v>10.45</v>
      </c>
      <c r="V59" s="5"/>
      <c r="W59" s="5">
        <f t="shared" si="0"/>
        <v>87.65</v>
      </c>
    </row>
    <row r="60" spans="1:23">
      <c r="A60" s="3">
        <v>1012</v>
      </c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>
        <v>6.5</v>
      </c>
      <c r="N60" s="5">
        <f>21.3+1.7</f>
        <v>23</v>
      </c>
      <c r="O60" s="5">
        <f>14.65+25.5+18.75</f>
        <v>58.9</v>
      </c>
      <c r="P60" s="5">
        <f>20.15+22.75+8.15</f>
        <v>51.05</v>
      </c>
      <c r="Q60" s="5">
        <f>11.5+13.45</f>
        <v>24.95</v>
      </c>
      <c r="R60" s="5"/>
      <c r="S60" s="5">
        <v>11.35</v>
      </c>
      <c r="T60" s="5">
        <f>28.05+16.7</f>
        <v>44.75</v>
      </c>
      <c r="U60" s="5">
        <f>22.75+13.3</f>
        <v>36.05</v>
      </c>
      <c r="V60" s="5"/>
      <c r="W60" s="5">
        <f t="shared" si="0"/>
        <v>256.55</v>
      </c>
    </row>
    <row r="61" spans="1:23">
      <c r="A61" s="3">
        <v>672</v>
      </c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>
        <f>14.9+2.15</f>
        <v>17.05</v>
      </c>
      <c r="N61" s="5">
        <v>5.45</v>
      </c>
      <c r="O61" s="5">
        <f>16.8+14.3+11.75</f>
        <v>42.85</v>
      </c>
      <c r="P61" s="5">
        <f>18.4+12.95+23.8</f>
        <v>55.15</v>
      </c>
      <c r="Q61" s="5">
        <f>17.7+5.9</f>
        <v>23.6</v>
      </c>
      <c r="R61" s="5"/>
      <c r="S61" s="5">
        <v>19.65</v>
      </c>
      <c r="T61" s="5">
        <f>25.4+10.75</f>
        <v>36.15</v>
      </c>
      <c r="U61" s="5">
        <f>27.1+8.75</f>
        <v>35.85</v>
      </c>
      <c r="V61" s="5"/>
      <c r="W61" s="5">
        <f t="shared" si="0"/>
        <v>235.75</v>
      </c>
    </row>
    <row r="62" spans="1:23">
      <c r="A62" s="3">
        <v>477</v>
      </c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>
        <f>18.7+17.5+18.65+22.55+21.8+19.5+15.6</f>
        <v>134.3</v>
      </c>
      <c r="N62" s="5">
        <f>17.35+17.15+13.45+19.05+19.2+19+17.4+22.15+24.95+13.95</f>
        <v>183.65</v>
      </c>
      <c r="O62" s="5">
        <f>17.7+18.85+15.7+13.8+19.65+19.45+19.45+14.45+18.75+15.2</f>
        <v>173</v>
      </c>
      <c r="P62" s="5">
        <f>20.05+15.8+16.55+18.4+19.65+18.65+19.2+13.4</f>
        <v>141.7</v>
      </c>
      <c r="Q62" s="5">
        <f>14.15+13.6</f>
        <v>27.75</v>
      </c>
      <c r="R62" s="5"/>
      <c r="S62" s="5"/>
      <c r="T62" s="5">
        <f>12.9+23.05</f>
        <v>35.95</v>
      </c>
      <c r="U62" s="5">
        <f>20.6+17.15</f>
        <v>37.75</v>
      </c>
      <c r="V62" s="5"/>
      <c r="W62" s="5">
        <f t="shared" si="0"/>
        <v>734.1</v>
      </c>
    </row>
    <row r="63" spans="1:23">
      <c r="A63" s="3">
        <v>477</v>
      </c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>
        <f>18.7+18.1</f>
        <v>36.8</v>
      </c>
      <c r="N63" s="5">
        <f>17.9+11.75+19.75</f>
        <v>49.4</v>
      </c>
      <c r="O63" s="5">
        <f>18+17.9+15+14.85</f>
        <v>65.75</v>
      </c>
      <c r="P63" s="5">
        <f>15.1+19.2+16.2</f>
        <v>50.5</v>
      </c>
      <c r="Q63" s="5">
        <v>13.9</v>
      </c>
      <c r="R63" s="5"/>
      <c r="S63" s="5">
        <f>19.6+20.8+19.55+15.9+20.75+19+20.55+18.8+22.25</f>
        <v>177.2</v>
      </c>
      <c r="T63" s="5">
        <f>32.6+1.5</f>
        <v>34.1</v>
      </c>
      <c r="U63" s="5">
        <f>16.65+4.1</f>
        <v>20.75</v>
      </c>
      <c r="V63" s="5"/>
      <c r="W63" s="5">
        <f t="shared" si="0"/>
        <v>448.4</v>
      </c>
    </row>
    <row r="64" spans="1:23">
      <c r="A64" s="3">
        <v>260</v>
      </c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>
        <f>13.2+19.7+13.3+13.65+18.1+11</f>
        <v>88.95</v>
      </c>
      <c r="N64" s="5">
        <f>16.75+15.8+6.7+17+11.9+16.15+12.15</f>
        <v>96.45</v>
      </c>
      <c r="O64" s="5">
        <f>21.2+8.75+6.7+15.9+16.65+20.35+19.55</f>
        <v>109.1</v>
      </c>
      <c r="P64" s="5">
        <f>15.15+8.95+8.9+19.9+13.35</f>
        <v>66.25</v>
      </c>
      <c r="Q64" s="5">
        <v>20.05</v>
      </c>
      <c r="R64" s="5"/>
      <c r="S64" s="5">
        <f>25.1+23.25+16.55+15.8</f>
        <v>80.7</v>
      </c>
      <c r="T64" s="5">
        <f>11.85+19.95+16.45</f>
        <v>48.25</v>
      </c>
      <c r="U64" s="5">
        <f>7.7+13.3</f>
        <v>21</v>
      </c>
      <c r="V64" s="5"/>
      <c r="W64" s="5">
        <f t="shared" si="0"/>
        <v>530.75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3979.9</v>
      </c>
      <c r="N349" s="6">
        <f t="shared" si="6"/>
        <v>4212.808</v>
      </c>
      <c r="O349" s="6">
        <f t="shared" si="6"/>
        <v>3836.55</v>
      </c>
      <c r="P349" s="6">
        <f t="shared" si="6"/>
        <v>3372.6</v>
      </c>
      <c r="Q349" s="6">
        <f t="shared" si="6"/>
        <v>1270.45</v>
      </c>
      <c r="R349" s="6">
        <f t="shared" si="6"/>
        <v>0</v>
      </c>
      <c r="S349" s="6">
        <f t="shared" si="6"/>
        <v>2507.37</v>
      </c>
      <c r="T349" s="6">
        <f t="shared" si="6"/>
        <v>1224.65</v>
      </c>
      <c r="U349" s="6">
        <f t="shared" si="6"/>
        <v>1062.35</v>
      </c>
      <c r="V349" s="6">
        <f t="shared" si="6"/>
        <v>0</v>
      </c>
      <c r="W349" s="6">
        <f>SUM(W2:W348)</f>
        <v>21466.678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1014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7.55</v>
      </c>
      <c r="N2" s="5">
        <v>4.9</v>
      </c>
      <c r="O2" s="5"/>
      <c r="P2" s="5"/>
      <c r="Q2" s="5"/>
      <c r="R2" s="5"/>
      <c r="S2" s="5">
        <v>4.45</v>
      </c>
      <c r="T2" s="5"/>
      <c r="U2" s="5"/>
      <c r="V2" s="5"/>
      <c r="W2" s="5">
        <f t="shared" ref="W2:W67" si="0">SUM(C2:V2)</f>
        <v>16.9</v>
      </c>
    </row>
    <row r="3" spans="1:23">
      <c r="A3" s="3">
        <v>1026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6.05</v>
      </c>
      <c r="N3" s="5">
        <v>13.1</v>
      </c>
      <c r="O3" s="5"/>
      <c r="P3" s="5"/>
      <c r="Q3" s="5"/>
      <c r="R3" s="5"/>
      <c r="S3" s="5"/>
      <c r="T3" s="5"/>
      <c r="U3" s="5"/>
      <c r="V3" s="5"/>
      <c r="W3" s="5">
        <f t="shared" si="0"/>
        <v>19.15</v>
      </c>
    </row>
    <row r="4" spans="1:23">
      <c r="A4" s="3">
        <v>209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2.2</v>
      </c>
      <c r="N4" s="5"/>
      <c r="O4" s="5">
        <v>3</v>
      </c>
      <c r="P4" s="5">
        <v>2.15</v>
      </c>
      <c r="Q4" s="5"/>
      <c r="R4" s="5"/>
      <c r="S4" s="5">
        <v>9.55</v>
      </c>
      <c r="T4" s="5">
        <v>1.25</v>
      </c>
      <c r="U4" s="5"/>
      <c r="V4" s="5"/>
      <c r="W4" s="5">
        <f t="shared" si="0"/>
        <v>18.15</v>
      </c>
    </row>
    <row r="5" spans="1:23">
      <c r="A5" s="3">
        <v>996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23.8</v>
      </c>
      <c r="N5" s="5"/>
      <c r="O5" s="5"/>
      <c r="P5" s="5"/>
      <c r="Q5" s="5"/>
      <c r="R5" s="5"/>
      <c r="S5" s="5">
        <v>7.55</v>
      </c>
      <c r="T5" s="5"/>
      <c r="U5" s="5"/>
      <c r="V5" s="5"/>
      <c r="W5" s="5">
        <f t="shared" si="0"/>
        <v>31.35</v>
      </c>
    </row>
    <row r="6" spans="1:23">
      <c r="A6" s="3">
        <v>2495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19.7</v>
      </c>
      <c r="N6" s="5"/>
      <c r="O6" s="5">
        <f>12.25+2.95</f>
        <v>15.2</v>
      </c>
      <c r="P6" s="5">
        <v>8.7</v>
      </c>
      <c r="Q6" s="5"/>
      <c r="R6" s="5"/>
      <c r="S6" s="5">
        <v>2.75</v>
      </c>
      <c r="T6" s="5">
        <v>1.5</v>
      </c>
      <c r="U6" s="5"/>
      <c r="V6" s="5"/>
      <c r="W6" s="5">
        <f t="shared" si="0"/>
        <v>47.85</v>
      </c>
    </row>
    <row r="7" spans="1:23">
      <c r="A7" s="3">
        <v>206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f>21.05+16.4</f>
        <v>37.45</v>
      </c>
      <c r="N7" s="5">
        <v>22.15</v>
      </c>
      <c r="O7" s="5">
        <v>12.75</v>
      </c>
      <c r="P7" s="5">
        <v>1.05</v>
      </c>
      <c r="Q7" s="5"/>
      <c r="R7" s="5"/>
      <c r="S7" s="5"/>
      <c r="T7" s="5"/>
      <c r="U7" s="5"/>
      <c r="V7" s="5"/>
      <c r="W7" s="5">
        <f t="shared" si="0"/>
        <v>73.4</v>
      </c>
    </row>
    <row r="8" spans="1:23">
      <c r="A8" s="3">
        <v>1745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5.75</v>
      </c>
      <c r="N8" s="5">
        <v>3.55</v>
      </c>
      <c r="O8" s="5">
        <v>2.65</v>
      </c>
      <c r="P8" s="5">
        <v>1.05</v>
      </c>
      <c r="Q8" s="5"/>
      <c r="R8" s="5"/>
      <c r="S8" s="5"/>
      <c r="T8" s="5"/>
      <c r="U8" s="5">
        <v>1.45</v>
      </c>
      <c r="V8" s="5"/>
      <c r="W8" s="5">
        <f t="shared" si="0"/>
        <v>14.45</v>
      </c>
    </row>
    <row r="9" spans="1:23">
      <c r="A9" s="3">
        <v>1795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14.05</v>
      </c>
      <c r="N9" s="5">
        <v>18</v>
      </c>
      <c r="O9" s="5">
        <f>8.5+5.4</f>
        <v>13.9</v>
      </c>
      <c r="P9" s="5">
        <f>11.25+12.05</f>
        <v>23.3</v>
      </c>
      <c r="Q9" s="5"/>
      <c r="R9" s="5"/>
      <c r="S9" s="5">
        <v>7.85</v>
      </c>
      <c r="T9" s="5">
        <v>2.95</v>
      </c>
      <c r="U9" s="5">
        <v>3.8</v>
      </c>
      <c r="V9" s="5"/>
      <c r="W9" s="5">
        <f t="shared" si="0"/>
        <v>83.85</v>
      </c>
    </row>
    <row r="10" spans="1:23">
      <c r="A10" s="3">
        <v>309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f>19.15+7.95+16.75+15.1+19.35+23.15+21.4+15.2+24.8+16.35+22.7+24.25</f>
        <v>226.15</v>
      </c>
      <c r="N10" s="5">
        <f>21+14.75+28.5+26.55+16.55+27.25</f>
        <v>134.6</v>
      </c>
      <c r="O10" s="5">
        <f>27.3+23.2+22.2+30.2+17.15+19.6+15.1</f>
        <v>154.75</v>
      </c>
      <c r="P10" s="5">
        <f>15+21.25+19.35+17.75+19.15+17.85+21.7</f>
        <v>132.05</v>
      </c>
      <c r="Q10" s="5">
        <f>17.8+22.95</f>
        <v>40.75</v>
      </c>
      <c r="R10" s="5"/>
      <c r="S10" s="5">
        <v>14.75</v>
      </c>
      <c r="T10" s="5">
        <v>11.3</v>
      </c>
      <c r="U10" s="5">
        <f>19.95+12.65</f>
        <v>32.6</v>
      </c>
      <c r="V10" s="5"/>
      <c r="W10" s="5">
        <f t="shared" si="0"/>
        <v>746.95</v>
      </c>
    </row>
    <row r="11" spans="1:23">
      <c r="A11" s="3">
        <v>309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28.95</v>
      </c>
      <c r="N11" s="5">
        <v>28.5</v>
      </c>
      <c r="O11" s="5">
        <f>19.7+20.8</f>
        <v>40.5</v>
      </c>
      <c r="P11" s="5">
        <f>17.5+27.75+21.2+2.1</f>
        <v>68.55</v>
      </c>
      <c r="Q11" s="5">
        <f>16.85+19.85+11.6</f>
        <v>48.3</v>
      </c>
      <c r="R11" s="5"/>
      <c r="S11" s="5">
        <f>21.8+18.15+16.7</f>
        <v>56.65</v>
      </c>
      <c r="T11" s="5">
        <v>4.85</v>
      </c>
      <c r="U11" s="5">
        <v>15.75</v>
      </c>
      <c r="V11" s="5"/>
      <c r="W11" s="5">
        <f t="shared" si="0"/>
        <v>292.05</v>
      </c>
    </row>
    <row r="12" spans="1:23">
      <c r="A12" s="3">
        <v>2598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2.1</v>
      </c>
      <c r="N12" s="5">
        <f>8.65+1.95</f>
        <v>10.6</v>
      </c>
      <c r="O12" s="5">
        <v>5.35</v>
      </c>
      <c r="P12" s="5">
        <v>4.4</v>
      </c>
      <c r="Q12" s="5">
        <v>1.65</v>
      </c>
      <c r="R12" s="5"/>
      <c r="S12" s="5"/>
      <c r="T12" s="5"/>
      <c r="U12" s="5"/>
      <c r="V12" s="5"/>
      <c r="W12" s="5">
        <f t="shared" si="0"/>
        <v>24.1</v>
      </c>
    </row>
    <row r="13" spans="1:23">
      <c r="A13" s="3">
        <v>208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>
        <v>8.6</v>
      </c>
      <c r="O13" s="5">
        <v>1.55</v>
      </c>
      <c r="P13" s="5"/>
      <c r="Q13" s="5"/>
      <c r="R13" s="5"/>
      <c r="S13" s="5"/>
      <c r="T13" s="5"/>
      <c r="U13" s="5"/>
      <c r="V13" s="5"/>
      <c r="W13" s="5">
        <f t="shared" si="0"/>
        <v>10.15</v>
      </c>
    </row>
    <row r="14" spans="1:23">
      <c r="A14" s="3">
        <v>1016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v>4.9</v>
      </c>
      <c r="N14" s="5">
        <v>7.25</v>
      </c>
      <c r="O14" s="5">
        <v>10.95</v>
      </c>
      <c r="P14" s="5">
        <v>4.45</v>
      </c>
      <c r="Q14" s="5">
        <v>0.85</v>
      </c>
      <c r="R14" s="5"/>
      <c r="S14" s="5">
        <v>4.35</v>
      </c>
      <c r="T14" s="5"/>
      <c r="U14" s="5">
        <v>1.25</v>
      </c>
      <c r="V14" s="5"/>
      <c r="W14" s="5">
        <f t="shared" si="0"/>
        <v>34</v>
      </c>
    </row>
    <row r="15" spans="1:23">
      <c r="A15" s="3">
        <v>672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f>14.4+22.75+26+20.8+26.8+16.4</f>
        <v>127.15</v>
      </c>
      <c r="N15" s="5">
        <f>22.1+21.45+23.3+20.5+20.25</f>
        <v>107.6</v>
      </c>
      <c r="O15" s="5">
        <f>13.6+12.9+18.3+16.65+18.1+18+19.05+21.7+21.4+17.45</f>
        <v>177.15</v>
      </c>
      <c r="P15" s="5">
        <f>15.2+18.5+16.8+13.7+19.75+17.95+16.85+20.05</f>
        <v>138.8</v>
      </c>
      <c r="Q15" s="5">
        <f>19.35+15.5+18.55+13.65+9.8</f>
        <v>76.85</v>
      </c>
      <c r="R15" s="5"/>
      <c r="S15" s="5"/>
      <c r="T15" s="5"/>
      <c r="U15" s="5">
        <v>21.7</v>
      </c>
      <c r="V15" s="5"/>
      <c r="W15" s="5">
        <f t="shared" si="0"/>
        <v>649.25</v>
      </c>
    </row>
    <row r="16" spans="1:23">
      <c r="A16" s="3">
        <v>672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f>20.35+26.25+13.85+26.75+19.8</f>
        <v>107</v>
      </c>
      <c r="N16" s="5">
        <f>17.4+13.85+13+16.15+15+25.55+15.7+17.2+21.35</f>
        <v>155.2</v>
      </c>
      <c r="O16" s="5">
        <f>18.9+15.35+21.3+17.7+17.05+25.75+15.75+18.8</f>
        <v>150.6</v>
      </c>
      <c r="P16" s="5">
        <f>13.4+14.75+19.65+20.85+20.95+27.2+17.9+15.5</f>
        <v>150.2</v>
      </c>
      <c r="Q16" s="5">
        <f>22.55+15.7</f>
        <v>38.25</v>
      </c>
      <c r="R16" s="5"/>
      <c r="S16" s="5"/>
      <c r="T16" s="5">
        <v>27.55</v>
      </c>
      <c r="U16" s="5">
        <f>23.45+12.15</f>
        <v>35.6</v>
      </c>
      <c r="V16" s="5"/>
      <c r="W16" s="5">
        <f t="shared" si="0"/>
        <v>664.4</v>
      </c>
    </row>
    <row r="17" spans="1:23">
      <c r="A17" s="3">
        <v>672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v>21.1</v>
      </c>
      <c r="N17" s="5">
        <f>20.65+15.2+1.9</f>
        <v>37.75</v>
      </c>
      <c r="O17" s="5">
        <f>21.85+16.55</f>
        <v>38.4</v>
      </c>
      <c r="P17" s="5">
        <f>25.95+8.75</f>
        <v>34.7</v>
      </c>
      <c r="Q17" s="5">
        <f>27.15+5.15</f>
        <v>32.3</v>
      </c>
      <c r="R17" s="5"/>
      <c r="S17" s="5">
        <f>19.05+20.75+16+25.5+16.5</f>
        <v>97.8</v>
      </c>
      <c r="T17" s="5">
        <f>13.5+1.25</f>
        <v>14.75</v>
      </c>
      <c r="U17" s="5">
        <f>19.15+9.85</f>
        <v>29</v>
      </c>
      <c r="V17" s="5"/>
      <c r="W17" s="5">
        <f t="shared" si="0"/>
        <v>305.8</v>
      </c>
    </row>
    <row r="18" spans="1:23">
      <c r="A18" s="3">
        <v>1651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f>16.45+11.9</f>
        <v>28.35</v>
      </c>
      <c r="N18" s="5">
        <f>16.6+15.35</f>
        <v>31.95</v>
      </c>
      <c r="O18" s="5">
        <v>16.5</v>
      </c>
      <c r="P18" s="5">
        <v>2.25</v>
      </c>
      <c r="Q18" s="5"/>
      <c r="R18" s="5"/>
      <c r="S18" s="5"/>
      <c r="T18" s="5"/>
      <c r="U18" s="5"/>
      <c r="V18" s="5"/>
      <c r="W18" s="5">
        <f t="shared" si="0"/>
        <v>79.05</v>
      </c>
    </row>
    <row r="19" spans="1:23">
      <c r="A19" s="3">
        <v>2167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f>14.25+14.25+23.15+16.65+20.7+17.9+14.45+21.9</f>
        <v>143.25</v>
      </c>
      <c r="N19" s="5">
        <f>16.45+16.5+21.05+23.15+15.25+19.15+13.55+19.65+13.15</f>
        <v>157.9</v>
      </c>
      <c r="O19" s="5">
        <f>12.65+13.1+13.55+21.25+20.05+14.75+23.65+16.25</f>
        <v>135.25</v>
      </c>
      <c r="P19" s="5">
        <f>11.4+15.7+13.75+16.5+16.65+21.25+8.35+20.45+11.55+14.45</f>
        <v>150.05</v>
      </c>
      <c r="Q19" s="5">
        <f>8.25+12.8+17.05+19.75</f>
        <v>57.85</v>
      </c>
      <c r="R19" s="5"/>
      <c r="S19" s="5"/>
      <c r="T19" s="5"/>
      <c r="U19" s="5">
        <v>19.05</v>
      </c>
      <c r="V19" s="5"/>
      <c r="W19" s="5">
        <f t="shared" si="0"/>
        <v>663.35</v>
      </c>
    </row>
    <row r="20" spans="1:23">
      <c r="A20" s="3">
        <v>2167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f>14.8+5</f>
        <v>19.8</v>
      </c>
      <c r="N20" s="5">
        <f>16.35+17.6+9.65</f>
        <v>43.6</v>
      </c>
      <c r="O20" s="5">
        <f>13.6+12.9</f>
        <v>26.5</v>
      </c>
      <c r="P20" s="5">
        <f>10.75+20+10.95+10.15</f>
        <v>51.85</v>
      </c>
      <c r="Q20" s="5">
        <f>17.05+14.8</f>
        <v>31.85</v>
      </c>
      <c r="R20" s="5"/>
      <c r="S20" s="5">
        <f>15.85+14.1+11.85+14.75</f>
        <v>56.55</v>
      </c>
      <c r="T20" s="5">
        <v>14.9</v>
      </c>
      <c r="U20" s="5">
        <f>18.15+9.45</f>
        <v>27.6</v>
      </c>
      <c r="V20" s="5"/>
      <c r="W20" s="5">
        <f t="shared" si="0"/>
        <v>272.65</v>
      </c>
    </row>
    <row r="21" spans="1:23">
      <c r="A21" s="3">
        <v>404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f>15.05+14.95</f>
        <v>30</v>
      </c>
      <c r="N21" s="5"/>
      <c r="O21" s="5"/>
      <c r="P21" s="5"/>
      <c r="Q21" s="5"/>
      <c r="R21" s="5"/>
      <c r="S21" s="5">
        <v>9.45</v>
      </c>
      <c r="T21" s="5"/>
      <c r="U21" s="5"/>
      <c r="V21" s="5"/>
      <c r="W21" s="5">
        <f t="shared" si="0"/>
        <v>39.45</v>
      </c>
    </row>
    <row r="22" spans="1:23">
      <c r="A22" s="3">
        <v>478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f>15.7+18.75+21.05+12.4+17.1+23.25+27.45+17.9+19.45</f>
        <v>173.05</v>
      </c>
      <c r="N22" s="5">
        <f>17.1+21.1+24.8+18.2+16.4+26.85+19.4+14.55</f>
        <v>158.4</v>
      </c>
      <c r="O22" s="5">
        <f>28.3+21.7+25.8+25.4+18+21.45</f>
        <v>140.65</v>
      </c>
      <c r="P22" s="5">
        <f>19.6+24.25+20.35+13.05+10.95</f>
        <v>88.2</v>
      </c>
      <c r="Q22" s="5">
        <f>10.4+32.4+26.95</f>
        <v>69.75</v>
      </c>
      <c r="R22" s="5"/>
      <c r="S22" s="5">
        <f>14.7+18.65+13.3</f>
        <v>46.65</v>
      </c>
      <c r="T22" s="5">
        <v>8.6</v>
      </c>
      <c r="U22" s="5">
        <f>12.2+25.8</f>
        <v>38</v>
      </c>
      <c r="V22" s="5"/>
      <c r="W22" s="5">
        <f t="shared" si="0"/>
        <v>723.3</v>
      </c>
    </row>
    <row r="23" spans="1:23">
      <c r="A23" s="3">
        <v>333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f>13.95+12.25</f>
        <v>26.2</v>
      </c>
      <c r="N23" s="5">
        <v>9.4</v>
      </c>
      <c r="O23" s="5">
        <v>1.3</v>
      </c>
      <c r="P23" s="5">
        <v>3.55</v>
      </c>
      <c r="Q23" s="5">
        <v>1.85</v>
      </c>
      <c r="R23" s="5"/>
      <c r="S23" s="5">
        <v>2.9</v>
      </c>
      <c r="T23" s="5"/>
      <c r="U23" s="5"/>
      <c r="V23" s="5"/>
      <c r="W23" s="5">
        <f t="shared" si="0"/>
        <v>45.2</v>
      </c>
    </row>
    <row r="24" spans="1:23">
      <c r="A24" s="3">
        <v>1010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>
        <f>20.4+19.4+16+22.6+24+24.2+25.45+18.25+23.05+7.4</f>
        <v>200.75</v>
      </c>
      <c r="N24" s="5">
        <f>19.35+20.15+20.2+14.75+27.8+20+12.1</f>
        <v>134.35</v>
      </c>
      <c r="O24" s="5">
        <f>19.7+21.75+20.3+14.5+13.5+21.05+21.25+12.9</f>
        <v>144.95</v>
      </c>
      <c r="P24" s="5">
        <f>20.2+24.95+15+18.65+23.85+10</f>
        <v>112.65</v>
      </c>
      <c r="Q24" s="5">
        <f>17.7+23.1+9.25</f>
        <v>50.05</v>
      </c>
      <c r="R24" s="5"/>
      <c r="S24" s="5">
        <f>21.3+12.55</f>
        <v>33.85</v>
      </c>
      <c r="T24" s="5">
        <f>9.65+7.9</f>
        <v>17.55</v>
      </c>
      <c r="U24" s="5">
        <f>18.25+14.8</f>
        <v>33.05</v>
      </c>
      <c r="V24" s="5"/>
      <c r="W24" s="5">
        <f t="shared" si="0"/>
        <v>727.2</v>
      </c>
    </row>
    <row r="25" spans="1:23">
      <c r="A25" s="3">
        <v>1023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>
        <f>27.6+23.6+23+26.25+17.3</f>
        <v>117.75</v>
      </c>
      <c r="N25" s="5">
        <f>17.65+17.1+21.25+19.8+21.4+11.2</f>
        <v>108.4</v>
      </c>
      <c r="O25" s="5">
        <f>16.6+15.65+23.7+15.15+25.4+13.5</f>
        <v>110</v>
      </c>
      <c r="P25" s="5">
        <f>13+21.3+9.8+24.1+30.6+6.75</f>
        <v>105.55</v>
      </c>
      <c r="Q25" s="5">
        <f>5.45+24.15+27.95</f>
        <v>57.55</v>
      </c>
      <c r="R25" s="5"/>
      <c r="S25" s="5">
        <f>18.8+18.15</f>
        <v>36.95</v>
      </c>
      <c r="T25" s="5">
        <f>15.65+12.25</f>
        <v>27.9</v>
      </c>
      <c r="U25" s="5">
        <f>15.05+15.45</f>
        <v>30.5</v>
      </c>
      <c r="V25" s="5"/>
      <c r="W25" s="5">
        <f t="shared" si="0"/>
        <v>594.6</v>
      </c>
    </row>
    <row r="26" spans="1:23">
      <c r="A26" s="3">
        <v>354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>
        <f>20.85+22.2+18.35</f>
        <v>61.4</v>
      </c>
      <c r="N26" s="5">
        <f>18.65+23.15+27.2</f>
        <v>69</v>
      </c>
      <c r="O26" s="5">
        <f>23.65+16.7+21.4+20.5+29.55</f>
        <v>111.8</v>
      </c>
      <c r="P26" s="5">
        <f>33.3+11.8+21.15+23.3+22.2+18.95+22.2+15.2</f>
        <v>168.1</v>
      </c>
      <c r="Q26" s="5">
        <f>14.8+23.55+19.65+20.95</f>
        <v>78.95</v>
      </c>
      <c r="R26" s="5"/>
      <c r="S26" s="5">
        <f>18.45+12.9</f>
        <v>31.35</v>
      </c>
      <c r="T26" s="5">
        <v>15.45</v>
      </c>
      <c r="U26" s="5">
        <f>19.9+21.95</f>
        <v>41.85</v>
      </c>
      <c r="V26" s="5"/>
      <c r="W26" s="5">
        <f t="shared" si="0"/>
        <v>577.9</v>
      </c>
    </row>
    <row r="27" spans="1:23">
      <c r="A27" s="3">
        <v>1030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11</v>
      </c>
      <c r="N27" s="5">
        <v>14.3</v>
      </c>
      <c r="O27" s="5">
        <v>24.8</v>
      </c>
      <c r="P27" s="5">
        <v>21.85</v>
      </c>
      <c r="Q27" s="5">
        <v>7.3</v>
      </c>
      <c r="R27" s="5"/>
      <c r="S27" s="5"/>
      <c r="T27" s="5">
        <v>7.95</v>
      </c>
      <c r="U27" s="5">
        <v>4.65</v>
      </c>
      <c r="V27" s="5"/>
      <c r="W27" s="5">
        <f t="shared" si="0"/>
        <v>91.85</v>
      </c>
    </row>
    <row r="28" spans="1:23">
      <c r="A28" s="3">
        <v>1012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v>15.9</v>
      </c>
      <c r="N28" s="5">
        <f>18+14</f>
        <v>32</v>
      </c>
      <c r="O28" s="5">
        <v>25.5</v>
      </c>
      <c r="P28" s="5">
        <f>9.3+16.9+14.5</f>
        <v>40.7</v>
      </c>
      <c r="Q28" s="5">
        <f>17.1+11.55</f>
        <v>28.65</v>
      </c>
      <c r="R28" s="5"/>
      <c r="S28" s="5">
        <v>10.4</v>
      </c>
      <c r="T28" s="5">
        <v>5.2</v>
      </c>
      <c r="U28" s="5">
        <v>15.8</v>
      </c>
      <c r="V28" s="5"/>
      <c r="W28" s="5">
        <f t="shared" si="0"/>
        <v>174.15</v>
      </c>
    </row>
    <row r="29" spans="1:23">
      <c r="A29" s="3">
        <v>2389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6.7</v>
      </c>
      <c r="N29" s="5">
        <v>3.65</v>
      </c>
      <c r="O29" s="5">
        <v>1.55</v>
      </c>
      <c r="P29" s="5">
        <v>2.6</v>
      </c>
      <c r="Q29" s="5">
        <v>0.85</v>
      </c>
      <c r="R29" s="5"/>
      <c r="S29" s="5"/>
      <c r="T29" s="5"/>
      <c r="U29" s="5"/>
      <c r="V29" s="5"/>
      <c r="W29" s="5">
        <f t="shared" si="0"/>
        <v>15.35</v>
      </c>
    </row>
    <row r="30" spans="1:23">
      <c r="A30" s="3">
        <v>207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v>11.95</v>
      </c>
      <c r="N30" s="5">
        <v>19.15</v>
      </c>
      <c r="O30" s="5">
        <f>13.25+14.35+14.85</f>
        <v>42.45</v>
      </c>
      <c r="P30" s="5">
        <f>12.35+29.75+17.5+27.1</f>
        <v>86.7</v>
      </c>
      <c r="Q30" s="5">
        <f>15.1+16.3+16.7</f>
        <v>48.1</v>
      </c>
      <c r="R30" s="5"/>
      <c r="S30" s="5">
        <v>8.75</v>
      </c>
      <c r="T30" s="5">
        <v>4.15</v>
      </c>
      <c r="U30" s="5">
        <v>14</v>
      </c>
      <c r="V30" s="5"/>
      <c r="W30" s="5">
        <f t="shared" si="0"/>
        <v>235.25</v>
      </c>
    </row>
    <row r="31" spans="1:23">
      <c r="A31" s="3">
        <v>1795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v>23.9</v>
      </c>
      <c r="N31" s="5">
        <v>6.55</v>
      </c>
      <c r="O31" s="5">
        <v>8.8</v>
      </c>
      <c r="P31" s="5">
        <v>4.8</v>
      </c>
      <c r="Q31" s="5">
        <v>0.7</v>
      </c>
      <c r="R31" s="5"/>
      <c r="S31" s="5"/>
      <c r="T31" s="5"/>
      <c r="U31" s="5">
        <v>0.65</v>
      </c>
      <c r="V31" s="5"/>
      <c r="W31" s="5">
        <f t="shared" si="0"/>
        <v>45.4</v>
      </c>
    </row>
    <row r="32" spans="1:23">
      <c r="A32" s="3">
        <v>1745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7.65</v>
      </c>
      <c r="N32" s="5">
        <v>8.3</v>
      </c>
      <c r="O32" s="5">
        <v>2.85</v>
      </c>
      <c r="P32" s="5">
        <v>6.2</v>
      </c>
      <c r="Q32" s="5">
        <v>4.95</v>
      </c>
      <c r="R32" s="5"/>
      <c r="S32" s="5"/>
      <c r="T32" s="5">
        <v>2.45</v>
      </c>
      <c r="U32" s="5"/>
      <c r="V32" s="5"/>
      <c r="W32" s="5">
        <f t="shared" si="0"/>
        <v>32.4</v>
      </c>
    </row>
    <row r="33" spans="1:23">
      <c r="A33" s="3">
        <v>477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f>22.3+21.75+23.7+15.75+18.2</f>
        <v>101.7</v>
      </c>
      <c r="N33" s="5">
        <f>12.2+12.85+14.45+19.55+21.85+14+26.2+17.2+12.45</f>
        <v>150.75</v>
      </c>
      <c r="O33" s="5">
        <f>11.35+10.95+19.3+15.85+17.75+16.5+22.15+15.4</f>
        <v>129.25</v>
      </c>
      <c r="P33" s="5">
        <f>17.8+9.7+18.6+14.3+25.1+22.7+16.85+16.8+29.1</f>
        <v>170.95</v>
      </c>
      <c r="Q33" s="5">
        <f>6.8+25.4+32.2</f>
        <v>64.4</v>
      </c>
      <c r="R33" s="5"/>
      <c r="S33" s="5"/>
      <c r="T33" s="5"/>
      <c r="U33" s="5"/>
      <c r="V33" s="5"/>
      <c r="W33" s="5">
        <f t="shared" si="0"/>
        <v>617.05</v>
      </c>
    </row>
    <row r="34" spans="1:23">
      <c r="A34" s="3">
        <v>477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f>20.3+19.75+10.4+21.1+9.4</f>
        <v>80.95</v>
      </c>
      <c r="N34" s="5">
        <f>24.8+21.6+12.35+20.7+1.7</f>
        <v>81.15</v>
      </c>
      <c r="O34" s="5">
        <f>17.4+7.9+23.65+22.9+15.75</f>
        <v>87.6</v>
      </c>
      <c r="P34" s="5">
        <f>22.3+23.7+24.2+19.25</f>
        <v>89.45</v>
      </c>
      <c r="Q34" s="5">
        <f>18.1+14.95</f>
        <v>33.05</v>
      </c>
      <c r="R34" s="5"/>
      <c r="S34" s="5">
        <f>19.55+18.2+22.75+7.9</f>
        <v>68.4</v>
      </c>
      <c r="T34" s="5">
        <v>16.85</v>
      </c>
      <c r="U34" s="5">
        <f>28.95+21.3+3.95</f>
        <v>54.2</v>
      </c>
      <c r="V34" s="5"/>
      <c r="W34" s="5">
        <f t="shared" si="0"/>
        <v>511.65</v>
      </c>
    </row>
    <row r="35" spans="1:23">
      <c r="A35" s="3">
        <v>1038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f>15.85+21.4+28.95</f>
        <v>66.2</v>
      </c>
      <c r="N35" s="5">
        <f>15.45+10.35+21.05+22.7+1.85</f>
        <v>71.4</v>
      </c>
      <c r="O35" s="5">
        <f>10.8+13+19.55+18.45+17.05</f>
        <v>78.85</v>
      </c>
      <c r="P35" s="5">
        <f>10.8+13+19.55+18.45+14.75+16.4+16.95+21.1+17.05+15.65+14.2+13.75+17.1+13.65+13.6</f>
        <v>236</v>
      </c>
      <c r="Q35" s="5">
        <f>15.3+16.85+18.5+20.65+15.1+10.6+18.4+13.3</f>
        <v>128.7</v>
      </c>
      <c r="R35" s="5"/>
      <c r="S35" s="5">
        <f>16.8+15.65</f>
        <v>32.45</v>
      </c>
      <c r="T35" s="5">
        <f>22.4+12.95+16.75</f>
        <v>52.1</v>
      </c>
      <c r="U35" s="5">
        <f>18.25+16.55+16.95+18.15</f>
        <v>69.9</v>
      </c>
      <c r="V35" s="5"/>
      <c r="W35" s="5">
        <f t="shared" si="0"/>
        <v>735.6</v>
      </c>
    </row>
    <row r="36" spans="1:23">
      <c r="A36" s="3">
        <v>1011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4.7</v>
      </c>
      <c r="N36" s="5">
        <v>3.8</v>
      </c>
      <c r="O36" s="5">
        <v>4.2</v>
      </c>
      <c r="P36" s="5">
        <v>10.45</v>
      </c>
      <c r="Q36" s="5">
        <v>4.7</v>
      </c>
      <c r="R36" s="5"/>
      <c r="S36" s="5">
        <v>11.85</v>
      </c>
      <c r="T36" s="5">
        <v>9.7</v>
      </c>
      <c r="U36" s="5">
        <v>7.7</v>
      </c>
      <c r="V36" s="5"/>
      <c r="W36" s="5">
        <f t="shared" si="0"/>
        <v>57.1</v>
      </c>
    </row>
    <row r="37" spans="1:23">
      <c r="A37" s="3">
        <v>2443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12.35</v>
      </c>
      <c r="N37" s="5">
        <v>13.1</v>
      </c>
      <c r="O37" s="5">
        <f>20.65+6.3</f>
        <v>26.95</v>
      </c>
      <c r="P37" s="5">
        <f>21.75+11.45</f>
        <v>33.2</v>
      </c>
      <c r="Q37" s="5">
        <f>26.7+5.05</f>
        <v>31.75</v>
      </c>
      <c r="R37" s="5"/>
      <c r="S37" s="5">
        <v>4</v>
      </c>
      <c r="T37" s="5">
        <v>4.15</v>
      </c>
      <c r="U37" s="5">
        <v>15.85</v>
      </c>
      <c r="V37" s="5"/>
      <c r="W37" s="5">
        <f t="shared" si="0"/>
        <v>141.35</v>
      </c>
    </row>
    <row r="38" spans="1:23">
      <c r="A38" s="3">
        <v>444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15.25</v>
      </c>
      <c r="N38" s="5">
        <f>23.9+3.45</f>
        <v>27.35</v>
      </c>
      <c r="O38" s="5">
        <v>17.6</v>
      </c>
      <c r="P38" s="5">
        <f>16.45+18.25</f>
        <v>34.7</v>
      </c>
      <c r="Q38" s="5">
        <v>11.25</v>
      </c>
      <c r="R38" s="5"/>
      <c r="S38" s="5">
        <v>6.25</v>
      </c>
      <c r="T38" s="5">
        <v>4.95</v>
      </c>
      <c r="U38" s="5">
        <v>11.1</v>
      </c>
      <c r="V38" s="5"/>
      <c r="W38" s="5">
        <f t="shared" si="0"/>
        <v>128.45</v>
      </c>
    </row>
    <row r="39" spans="1:23">
      <c r="A39" s="3">
        <v>1009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f>9+14.75+12.1+18.35+11.9</f>
        <v>66.1</v>
      </c>
      <c r="N39" s="5">
        <f>21.1+13.7+15.5+15.8+15.65+13.9+9.05</f>
        <v>104.7</v>
      </c>
      <c r="O39" s="5">
        <f>8.5+14.35+15.7+18.65+19.2+11.9</f>
        <v>88.3</v>
      </c>
      <c r="P39" s="5">
        <f>12.95+17+14.3+19.4+7.6</f>
        <v>71.25</v>
      </c>
      <c r="Q39" s="5">
        <v>11.05</v>
      </c>
      <c r="R39" s="5"/>
      <c r="S39" s="5">
        <f>20.2+22.35+20.8+25.85</f>
        <v>89.2</v>
      </c>
      <c r="T39" s="5">
        <v>25.65</v>
      </c>
      <c r="U39" s="5">
        <v>16.55</v>
      </c>
      <c r="V39" s="5"/>
      <c r="W39" s="5">
        <f t="shared" si="0"/>
        <v>472.8</v>
      </c>
    </row>
    <row r="40" spans="1:23">
      <c r="A40" s="3">
        <v>1017</v>
      </c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f>22.85+9.8</f>
        <v>32.65</v>
      </c>
      <c r="N40" s="5">
        <f>20.4+14.75+3.4</f>
        <v>38.55</v>
      </c>
      <c r="O40" s="5">
        <f>13.6+13.3</f>
        <v>26.9</v>
      </c>
      <c r="P40" s="5">
        <f>13+10.3+1.8</f>
        <v>25.1</v>
      </c>
      <c r="Q40" s="5">
        <f>15.95+17.55</f>
        <v>33.5</v>
      </c>
      <c r="R40" s="5"/>
      <c r="S40" s="5">
        <v>5.85</v>
      </c>
      <c r="T40" s="5">
        <v>6.8</v>
      </c>
      <c r="U40" s="5">
        <v>12.65</v>
      </c>
      <c r="V40" s="5"/>
      <c r="W40" s="5">
        <f t="shared" si="0"/>
        <v>182</v>
      </c>
    </row>
    <row r="41" spans="1:23">
      <c r="A41" s="3">
        <v>1013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f>13.3+19.15+19.7+23.45+6.75</f>
        <v>82.35</v>
      </c>
      <c r="N41" s="5">
        <f>19.3+24.75+24.15</f>
        <v>68.2</v>
      </c>
      <c r="O41" s="5">
        <f>13.15+20.65+17.7+16.65+21.25+13.2</f>
        <v>102.6</v>
      </c>
      <c r="P41" s="5">
        <f>14.3+16.15+22.75+22.8+21.2+24.35</f>
        <v>121.55</v>
      </c>
      <c r="Q41" s="5">
        <f>15.8+24.8+15.7</f>
        <v>56.3</v>
      </c>
      <c r="R41" s="5"/>
      <c r="S41" s="5">
        <f>22.35+11.45</f>
        <v>33.8</v>
      </c>
      <c r="T41" s="5">
        <v>16.65</v>
      </c>
      <c r="U41" s="5">
        <v>28.65</v>
      </c>
      <c r="V41" s="5"/>
      <c r="W41" s="5">
        <f t="shared" si="0"/>
        <v>510.1</v>
      </c>
    </row>
    <row r="42" spans="1:23">
      <c r="A42" s="3">
        <v>2425</v>
      </c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f>19.35+21.25+8.35</f>
        <v>48.95</v>
      </c>
      <c r="N42" s="5">
        <f>18.85+24.3</f>
        <v>43.15</v>
      </c>
      <c r="O42" s="5">
        <f>21+19+22.8+4.45</f>
        <v>67.25</v>
      </c>
      <c r="P42" s="5">
        <f>15.85+20.75+21.5+24.4+22.05+7</f>
        <v>111.55</v>
      </c>
      <c r="Q42" s="5">
        <f>16.3+19.3+10.8</f>
        <v>46.4</v>
      </c>
      <c r="R42" s="5"/>
      <c r="S42" s="5">
        <v>13.85</v>
      </c>
      <c r="T42" s="5">
        <f>18.7+8.7</f>
        <v>27.4</v>
      </c>
      <c r="U42" s="5">
        <f>15.8+17.95</f>
        <v>33.75</v>
      </c>
      <c r="V42" s="5"/>
      <c r="W42" s="5">
        <f t="shared" si="0"/>
        <v>392.3</v>
      </c>
    </row>
    <row r="43" spans="1:23">
      <c r="A43" s="3">
        <v>1017</v>
      </c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f>12.15+13.25</f>
        <v>25.4</v>
      </c>
      <c r="N43" s="5">
        <v>10.9</v>
      </c>
      <c r="O43" s="5"/>
      <c r="P43" s="5"/>
      <c r="Q43" s="5"/>
      <c r="R43" s="5"/>
      <c r="S43" s="5"/>
      <c r="T43" s="5"/>
      <c r="U43" s="5"/>
      <c r="V43" s="5"/>
      <c r="W43" s="5">
        <f t="shared" si="0"/>
        <v>36.3</v>
      </c>
    </row>
    <row r="44" spans="1:23">
      <c r="A44" s="3">
        <v>1029</v>
      </c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f>21.25+10.65</f>
        <v>31.9</v>
      </c>
      <c r="N44" s="5">
        <f>23.7+7.65</f>
        <v>31.35</v>
      </c>
      <c r="O44" s="5">
        <f>17.8+13.7+8.6</f>
        <v>40.1</v>
      </c>
      <c r="P44" s="5">
        <f>19.6+10.25</f>
        <v>29.85</v>
      </c>
      <c r="Q44" s="5">
        <v>13.3</v>
      </c>
      <c r="R44" s="5"/>
      <c r="S44" s="5">
        <v>20.1</v>
      </c>
      <c r="T44" s="5">
        <v>16.7</v>
      </c>
      <c r="U44" s="5">
        <v>12.3</v>
      </c>
      <c r="V44" s="5"/>
      <c r="W44" s="5">
        <f t="shared" si="0"/>
        <v>195.6</v>
      </c>
    </row>
    <row r="45" spans="1:23">
      <c r="A45" s="3">
        <v>260</v>
      </c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f>19.6+19.6+22.8+29.05+12.65+11.15</f>
        <v>114.85</v>
      </c>
      <c r="N45" s="5">
        <f>14.4+17.45+19.4+13.75+20.4+14.5+9.15+24.85+30.4+11.75+10.4</f>
        <v>186.45</v>
      </c>
      <c r="O45" s="5">
        <f>18.2+17.75+13.35+24.65+15.2+26+15.4+11</f>
        <v>141.55</v>
      </c>
      <c r="P45" s="5">
        <f>18.45+19.3+20.85+11.05+28.65+8.5+16.1+11.95+11.05</f>
        <v>145.9</v>
      </c>
      <c r="Q45" s="5">
        <f>19.6+24.75+9.95+16.35</f>
        <v>70.65</v>
      </c>
      <c r="R45" s="5"/>
      <c r="S45" s="5"/>
      <c r="T45" s="5">
        <v>15.1</v>
      </c>
      <c r="U45" s="5">
        <f>16.7+13.3</f>
        <v>30</v>
      </c>
      <c r="V45" s="5"/>
      <c r="W45" s="5">
        <f t="shared" si="0"/>
        <v>704.5</v>
      </c>
    </row>
    <row r="46" spans="1:23">
      <c r="A46" s="3">
        <v>260</v>
      </c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>
        <f>14.3+16.65+10.5+16.25+17.25+24.9+21</f>
        <v>120.85</v>
      </c>
      <c r="N46" s="5">
        <f>13.65+17.1+15.25+14.7+21.15+24.7+23.05+23.45+25.1+13.95</f>
        <v>192.1</v>
      </c>
      <c r="O46" s="5">
        <f>17.85+18.5+18.35+13.05+17.05+24.5+26.7+22.2+17+14.45+13.95</f>
        <v>203.6</v>
      </c>
      <c r="P46" s="5">
        <f>26.35+16.4+13.75+17.5+23.85+22.9+20.6+19.45</f>
        <v>160.8</v>
      </c>
      <c r="Q46" s="5">
        <f>23.75+12.3+28.05</f>
        <v>64.1</v>
      </c>
      <c r="R46" s="5"/>
      <c r="S46" s="5"/>
      <c r="T46" s="5">
        <f>25.95+18.35</f>
        <v>44.3</v>
      </c>
      <c r="U46" s="5">
        <f>19.35+16.8</f>
        <v>36.15</v>
      </c>
      <c r="V46" s="5"/>
      <c r="W46" s="5">
        <f t="shared" si="0"/>
        <v>821.9</v>
      </c>
    </row>
    <row r="47" spans="1:23">
      <c r="A47" s="3">
        <v>260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>
        <f>11.45+14.2</f>
        <v>25.65</v>
      </c>
      <c r="N47" s="5">
        <f>26.75+19.35</f>
        <v>46.1</v>
      </c>
      <c r="O47" s="5">
        <f>27.1+17.85+5.5</f>
        <v>50.45</v>
      </c>
      <c r="P47" s="5">
        <f>24.7+24.95</f>
        <v>49.65</v>
      </c>
      <c r="Q47" s="5">
        <f>19.9+25.8</f>
        <v>45.7</v>
      </c>
      <c r="R47" s="5"/>
      <c r="S47" s="5">
        <f>26.1+23.85+26.75+24.5+22.85+21.3+22.6+23.45+22.65+24.45</f>
        <v>238.5</v>
      </c>
      <c r="T47" s="5">
        <f>19.2+24.7+30.85</f>
        <v>74.75</v>
      </c>
      <c r="U47" s="5">
        <f>23.1+15.25</f>
        <v>38.35</v>
      </c>
      <c r="V47" s="5"/>
      <c r="W47" s="5">
        <f t="shared" si="0"/>
        <v>569.15</v>
      </c>
    </row>
    <row r="48" spans="1:23">
      <c r="A48" s="3">
        <v>1027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>
        <v>5.6</v>
      </c>
      <c r="O48" s="5">
        <v>4.1</v>
      </c>
      <c r="P48" s="5">
        <v>2.45</v>
      </c>
      <c r="Q48" s="5">
        <v>2.45</v>
      </c>
      <c r="R48" s="5"/>
      <c r="S48" s="5"/>
      <c r="T48" s="5">
        <v>3.15</v>
      </c>
      <c r="U48" s="5">
        <v>2</v>
      </c>
      <c r="V48" s="5"/>
      <c r="W48" s="5">
        <f t="shared" si="0"/>
        <v>19.75</v>
      </c>
    </row>
    <row r="49" spans="1:23">
      <c r="A49" s="3">
        <v>2415</v>
      </c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>
        <v>9.9</v>
      </c>
      <c r="N49" s="5">
        <f>13.35+9.4</f>
        <v>22.75</v>
      </c>
      <c r="O49" s="5">
        <f>11.9+4.75</f>
        <v>16.65</v>
      </c>
      <c r="P49" s="5">
        <f>10.7+2.55</f>
        <v>13.25</v>
      </c>
      <c r="Q49" s="5">
        <v>8</v>
      </c>
      <c r="R49" s="5"/>
      <c r="S49" s="5">
        <v>23.5</v>
      </c>
      <c r="T49" s="5">
        <v>3.4</v>
      </c>
      <c r="U49" s="5">
        <v>9.55</v>
      </c>
      <c r="V49" s="5"/>
      <c r="W49" s="5">
        <f t="shared" si="0"/>
        <v>107</v>
      </c>
    </row>
    <row r="50" spans="1:23">
      <c r="A50" s="3">
        <v>999</v>
      </c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>
        <v>8.2</v>
      </c>
      <c r="N50" s="5">
        <f>18.1+5.6</f>
        <v>23.7</v>
      </c>
      <c r="O50" s="5">
        <v>7.35</v>
      </c>
      <c r="P50" s="5">
        <f>15.95+6.9</f>
        <v>22.85</v>
      </c>
      <c r="Q50" s="5">
        <v>10</v>
      </c>
      <c r="R50" s="5"/>
      <c r="S50" s="5">
        <v>8.55</v>
      </c>
      <c r="T50" s="5">
        <v>10.25</v>
      </c>
      <c r="U50" s="5">
        <v>13.1</v>
      </c>
      <c r="V50" s="5"/>
      <c r="W50" s="5">
        <f t="shared" si="0"/>
        <v>104</v>
      </c>
    </row>
    <row r="51" spans="1:23">
      <c r="A51" s="3">
        <v>1006</v>
      </c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>
        <v>6.55</v>
      </c>
      <c r="N51" s="5">
        <f>17.85+1.85</f>
        <v>19.7</v>
      </c>
      <c r="O51" s="5">
        <v>21</v>
      </c>
      <c r="P51" s="5">
        <v>22.25</v>
      </c>
      <c r="Q51" s="5">
        <v>13.8</v>
      </c>
      <c r="R51" s="5"/>
      <c r="S51" s="5">
        <v>2.3</v>
      </c>
      <c r="T51" s="5">
        <v>4.45</v>
      </c>
      <c r="U51" s="5">
        <v>9.8</v>
      </c>
      <c r="V51" s="5"/>
      <c r="W51" s="5">
        <f t="shared" si="0"/>
        <v>99.85</v>
      </c>
    </row>
    <row r="52" spans="1:23">
      <c r="A52" s="3">
        <v>1005</v>
      </c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>
        <v>18.55</v>
      </c>
      <c r="N52" s="5">
        <v>5.05</v>
      </c>
      <c r="O52" s="5">
        <v>18.5</v>
      </c>
      <c r="P52" s="5">
        <f>19.4+7.9</f>
        <v>27.3</v>
      </c>
      <c r="Q52" s="5">
        <v>8.3</v>
      </c>
      <c r="R52" s="5"/>
      <c r="S52" s="5">
        <v>7.6</v>
      </c>
      <c r="T52" s="5">
        <v>12.15</v>
      </c>
      <c r="U52" s="5">
        <v>7.3</v>
      </c>
      <c r="V52" s="5"/>
      <c r="W52" s="5">
        <f t="shared" si="0"/>
        <v>104.75</v>
      </c>
    </row>
    <row r="53" spans="1:23">
      <c r="A53" s="3">
        <v>309</v>
      </c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>
        <f>13.75+21.65+17.25+11.5+25.1+25.6+21.8+16.4</f>
        <v>153.05</v>
      </c>
      <c r="N53" s="5">
        <f>10.55+24.45+25.1+26.8+12.15+16.4+20.55+22</f>
        <v>158</v>
      </c>
      <c r="O53" s="5">
        <f>10.9+24.2+20.3+16.45+8.85+21.95+17.65+9.95+18.4+22.45+20.65+11.9+18.55</f>
        <v>222.2</v>
      </c>
      <c r="P53" s="5">
        <f>17.15+14+12.15+20.8+26.95+24.2+21.2+26.65+18.45+8.7+23.15+23.85+21.65+26.05+8.05+18.55</f>
        <v>311.55</v>
      </c>
      <c r="Q53" s="5">
        <f>14.6+10.2+24.65+15.7+17.8+13.65+21.35+23.35+26.05+21.2</f>
        <v>188.55</v>
      </c>
      <c r="R53" s="5"/>
      <c r="S53" s="5"/>
      <c r="T53" s="5">
        <f>19.3+20.75+22.85+20.95+19.55+17.8+9.6+22.4+22.3</f>
        <v>175.5</v>
      </c>
      <c r="U53" s="5">
        <f>20.95+12.65+21.55+15.7+19.85</f>
        <v>90.7</v>
      </c>
      <c r="V53" s="5"/>
      <c r="W53" s="5">
        <f t="shared" si="0"/>
        <v>1299.55</v>
      </c>
    </row>
    <row r="54" spans="1:23">
      <c r="A54" s="3">
        <v>309</v>
      </c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>
        <f>20.9+20.75+11.6+15.25+17.55</f>
        <v>86.05</v>
      </c>
      <c r="N54" s="5">
        <f>20.2+21.7+19.1+22.9+14.1+17.25+20.35+12.75+13.15+12.25+27.65+25.1+24.55+28.15</f>
        <v>279.2</v>
      </c>
      <c r="O54" s="5">
        <f>22.35+19.15+14.35+12.8+11.65+18.15+24.35+25.05+23.25+29.3+21.9</f>
        <v>222.3</v>
      </c>
      <c r="P54" s="5">
        <f>20.85+23.55+19.3+23.15+16.55+13.65+16.65+17.7+22+24.7+11.5+23.3+21.8+24.5</f>
        <v>279.2</v>
      </c>
      <c r="Q54" s="5">
        <f>21.85+20.5+24.95+25.45+9.55+16.6+24.15+20.75</f>
        <v>163.8</v>
      </c>
      <c r="R54" s="5"/>
      <c r="S54" s="5"/>
      <c r="T54" s="5">
        <f>21+13.8</f>
        <v>34.8</v>
      </c>
      <c r="U54" s="5">
        <f>20.75+16.95+22.2+5.15</f>
        <v>65.05</v>
      </c>
      <c r="V54" s="5"/>
      <c r="W54" s="5">
        <f t="shared" si="0"/>
        <v>1130.4</v>
      </c>
    </row>
    <row r="55" spans="1:23">
      <c r="A55" s="3">
        <v>309</v>
      </c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>
        <f>25.7+19.8+24.6+13.65+23.65+2.05</f>
        <v>109.45</v>
      </c>
      <c r="N55" s="5">
        <f>24.1+24.15+19.6+17.5+10.2+15.7+11.25+7.65+13.05+22.2+5.25</f>
        <v>170.65</v>
      </c>
      <c r="O55" s="5">
        <f>24+18.25+20.6+21.85+18.05+20.6+17.75+12.4+13.6+12.9+23.45+19.2+21.65+20.7+13.4+1.6</f>
        <v>280</v>
      </c>
      <c r="P55" s="5">
        <f>20.7+19.9+23.35+19+25.25+23.35+16.55+16.5+13.25+12.9+17.55+28.4+11.8+21.55+17.95+2.05</f>
        <v>290.05</v>
      </c>
      <c r="Q55" s="5">
        <f>19.5+26.15+21.2+22.1+15.8+20.6+12.7+18.95+24.45+13.35</f>
        <v>194.8</v>
      </c>
      <c r="R55" s="5"/>
      <c r="S55" s="5">
        <f>22.8+24.2+19.05+22.25+18.45+23.3+19.9+19.9+21.4+17.35+25+23.5+21.95+18.95</f>
        <v>298</v>
      </c>
      <c r="T55" s="5">
        <f>24.2+19.5+15.05+28.65+13+10.75</f>
        <v>111.15</v>
      </c>
      <c r="U55" s="5">
        <f>18.6+18+19.7+28.2+13.95+12.3</f>
        <v>110.75</v>
      </c>
      <c r="V55" s="5"/>
      <c r="W55" s="5">
        <f t="shared" si="0"/>
        <v>1564.85</v>
      </c>
    </row>
    <row r="56" spans="1:23">
      <c r="A56" s="3">
        <v>560</v>
      </c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f>18.65+15.2</f>
        <v>33.85</v>
      </c>
      <c r="N56" s="5">
        <v>15.2</v>
      </c>
      <c r="O56" s="5">
        <v>13.45</v>
      </c>
      <c r="P56" s="5">
        <f>12.65+16.8</f>
        <v>29.45</v>
      </c>
      <c r="Q56" s="5">
        <v>3.75</v>
      </c>
      <c r="R56" s="5"/>
      <c r="S56" s="5">
        <v>3.45</v>
      </c>
      <c r="T56" s="5">
        <v>3</v>
      </c>
      <c r="U56" s="5"/>
      <c r="V56" s="5"/>
      <c r="W56" s="5">
        <f t="shared" si="0"/>
        <v>102.15</v>
      </c>
    </row>
    <row r="57" spans="1:23">
      <c r="A57" s="3">
        <v>180</v>
      </c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>
        <v>11.65</v>
      </c>
      <c r="N57" s="5">
        <v>6.95</v>
      </c>
      <c r="O57" s="5">
        <v>1.4</v>
      </c>
      <c r="P57" s="5"/>
      <c r="Q57" s="5"/>
      <c r="R57" s="5"/>
      <c r="S57" s="5">
        <v>6.85</v>
      </c>
      <c r="T57" s="5"/>
      <c r="U57" s="5"/>
      <c r="V57" s="5"/>
      <c r="W57" s="5">
        <f t="shared" si="0"/>
        <v>26.85</v>
      </c>
    </row>
    <row r="58" spans="1:23">
      <c r="A58" s="3">
        <v>2441</v>
      </c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v>8.8</v>
      </c>
      <c r="N58" s="5">
        <v>4.85</v>
      </c>
      <c r="O58" s="5">
        <v>1.4</v>
      </c>
      <c r="P58" s="5"/>
      <c r="Q58" s="5"/>
      <c r="R58" s="5"/>
      <c r="S58" s="5">
        <v>16.6</v>
      </c>
      <c r="T58" s="5">
        <v>1.1</v>
      </c>
      <c r="U58" s="5"/>
      <c r="V58" s="5"/>
      <c r="W58" s="5">
        <f t="shared" si="0"/>
        <v>32.75</v>
      </c>
    </row>
    <row r="59" spans="1:23">
      <c r="A59" s="3">
        <v>368</v>
      </c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>
        <v>11.9</v>
      </c>
      <c r="N59" s="5">
        <f>18.1+14+5.85</f>
        <v>37.95</v>
      </c>
      <c r="O59" s="5">
        <f>15.05+14.55+1.35</f>
        <v>30.95</v>
      </c>
      <c r="P59" s="5">
        <f>19.05+13.1</f>
        <v>32.15</v>
      </c>
      <c r="Q59" s="5">
        <f>12.1+5.3</f>
        <v>17.4</v>
      </c>
      <c r="R59" s="5"/>
      <c r="S59" s="5">
        <v>26.3</v>
      </c>
      <c r="T59" s="5">
        <v>24.65</v>
      </c>
      <c r="U59" s="5">
        <v>15.2</v>
      </c>
      <c r="V59" s="5"/>
      <c r="W59" s="5">
        <f t="shared" si="0"/>
        <v>196.5</v>
      </c>
    </row>
    <row r="60" spans="1:23">
      <c r="A60" s="3">
        <v>1792</v>
      </c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>
        <f>19.1+12.1</f>
        <v>31.2</v>
      </c>
      <c r="N60" s="5">
        <f>21.15+22.7</f>
        <v>43.85</v>
      </c>
      <c r="O60" s="5">
        <f>17.65+25.95+21.05+2.75</f>
        <v>67.4</v>
      </c>
      <c r="P60" s="5">
        <f>22.9+21.15+13.45</f>
        <v>57.5</v>
      </c>
      <c r="Q60" s="5">
        <v>19.45</v>
      </c>
      <c r="R60" s="5"/>
      <c r="S60" s="5">
        <v>21.15</v>
      </c>
      <c r="T60" s="5">
        <v>6.8</v>
      </c>
      <c r="U60" s="5">
        <v>13.6</v>
      </c>
      <c r="V60" s="5"/>
      <c r="W60" s="5">
        <f t="shared" si="0"/>
        <v>260.95</v>
      </c>
    </row>
    <row r="61" spans="1:23">
      <c r="A61" s="3">
        <v>1791</v>
      </c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>
        <v>17.9</v>
      </c>
      <c r="N61" s="5">
        <f>19.5+5.3</f>
        <v>24.8</v>
      </c>
      <c r="O61" s="5">
        <v>17.2</v>
      </c>
      <c r="P61" s="5">
        <v>17.35</v>
      </c>
      <c r="Q61" s="5">
        <v>8.55</v>
      </c>
      <c r="R61" s="5"/>
      <c r="S61" s="5">
        <v>12.75</v>
      </c>
      <c r="T61" s="5">
        <v>1.55</v>
      </c>
      <c r="U61" s="5">
        <v>3.05</v>
      </c>
      <c r="V61" s="5"/>
      <c r="W61" s="5">
        <f t="shared" si="0"/>
        <v>103.15</v>
      </c>
    </row>
    <row r="62" spans="1:23">
      <c r="A62" s="3">
        <v>2161</v>
      </c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>
        <f>15.1+17.05</f>
        <v>32.15</v>
      </c>
      <c r="N62" s="5">
        <f>18.3+10.75+25.3+22.85+24</f>
        <v>101.2</v>
      </c>
      <c r="O62" s="5">
        <f>22.9+13.5+18.9+13.35+11.3+24.45+22.25+18.65+13.7</f>
        <v>159</v>
      </c>
      <c r="P62" s="5">
        <f>21.4+23.5+23.1+22.25+17.9+22.95+18.8+27.95+22.05+21.65+14.85+7.6</f>
        <v>244</v>
      </c>
      <c r="Q62" s="5">
        <f>28.5+14.5+25.4+25.4+18.2+30.4+28.8+22.35+17</f>
        <v>210.55</v>
      </c>
      <c r="R62" s="5"/>
      <c r="S62" s="5"/>
      <c r="T62" s="5">
        <f>20.65+20+12</f>
        <v>52.65</v>
      </c>
      <c r="U62" s="5">
        <f>25.8+20.75+17.8+12.15</f>
        <v>76.5</v>
      </c>
      <c r="V62" s="5"/>
      <c r="W62" s="5">
        <f t="shared" si="0"/>
        <v>876.05</v>
      </c>
    </row>
    <row r="63" spans="1:23">
      <c r="A63" s="3">
        <v>2161</v>
      </c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>
        <v>4.95</v>
      </c>
      <c r="N63" s="5">
        <f>10.2+1.9</f>
        <v>12.1</v>
      </c>
      <c r="O63" s="5">
        <f>8.85+2.9+3.8</f>
        <v>15.55</v>
      </c>
      <c r="P63" s="5">
        <f>17.75+14.2+6.7+17.55</f>
        <v>56.2</v>
      </c>
      <c r="Q63" s="5">
        <f>15.8+15.75+13.95+11.65</f>
        <v>57.15</v>
      </c>
      <c r="R63" s="5"/>
      <c r="S63" s="5">
        <v>24.5</v>
      </c>
      <c r="T63" s="5">
        <f>15.85+11.3</f>
        <v>27.15</v>
      </c>
      <c r="U63" s="5">
        <f>13.8+8.05</f>
        <v>21.85</v>
      </c>
      <c r="V63" s="5"/>
      <c r="W63" s="5">
        <f t="shared" si="0"/>
        <v>219.45</v>
      </c>
    </row>
    <row r="64" spans="1:23">
      <c r="A64" s="3">
        <v>206</v>
      </c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>
        <v>8.4</v>
      </c>
      <c r="N64" s="5">
        <v>5.1</v>
      </c>
      <c r="O64" s="5">
        <f>12.4+14.3</f>
        <v>26.7</v>
      </c>
      <c r="P64" s="5">
        <f>11.35+23.75+25.05+25.9</f>
        <v>86.05</v>
      </c>
      <c r="Q64" s="5">
        <f>16.05+19.1+22.75</f>
        <v>57.9</v>
      </c>
      <c r="R64" s="5"/>
      <c r="S64" s="5">
        <v>2.35</v>
      </c>
      <c r="T64" s="5">
        <v>15.5</v>
      </c>
      <c r="U64" s="5">
        <v>10.5</v>
      </c>
      <c r="V64" s="5"/>
      <c r="W64" s="5">
        <f t="shared" si="0"/>
        <v>212.5</v>
      </c>
    </row>
    <row r="65" spans="1:23">
      <c r="A65" s="3">
        <v>1038</v>
      </c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>
        <v>13.15</v>
      </c>
      <c r="N65" s="5">
        <f>12.55+3.6</f>
        <v>16.15</v>
      </c>
      <c r="O65" s="5">
        <v>2.9</v>
      </c>
      <c r="P65" s="5">
        <v>2.35</v>
      </c>
      <c r="Q65" s="5"/>
      <c r="R65" s="5"/>
      <c r="S65" s="5">
        <f>23.1+8.95</f>
        <v>32.05</v>
      </c>
      <c r="T65" s="5">
        <v>19.45</v>
      </c>
      <c r="U65" s="5">
        <v>2.65</v>
      </c>
      <c r="V65" s="5"/>
      <c r="W65" s="5">
        <f t="shared" si="0"/>
        <v>88.7</v>
      </c>
    </row>
    <row r="66" spans="1:23">
      <c r="A66" s="3">
        <v>1010</v>
      </c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>
        <f>7.25+16.45+28+26.1+17.1+16.25</f>
        <v>111.15</v>
      </c>
      <c r="N66" s="5">
        <f>11.5+9.4+25.3+23.15+16.1+15.55</f>
        <v>101</v>
      </c>
      <c r="O66" s="5">
        <f>17.95+9.15+10.15+18.85+22.9+16+11.15</f>
        <v>106.15</v>
      </c>
      <c r="P66" s="5">
        <f>23.7+17.75+13.25+14.45+15.25+31.95+24+11.55</f>
        <v>151.9</v>
      </c>
      <c r="Q66" s="5">
        <f>28.65+13.25+20.35+14.15</f>
        <v>76.4</v>
      </c>
      <c r="R66" s="5"/>
      <c r="S66" s="5">
        <f>20.05+23.4+21.35+25.45</f>
        <v>90.25</v>
      </c>
      <c r="T66" s="5">
        <f>16+17.25</f>
        <v>33.25</v>
      </c>
      <c r="U66" s="5">
        <f>16.4+13.6</f>
        <v>30</v>
      </c>
      <c r="V66" s="5"/>
      <c r="W66" s="5">
        <f t="shared" si="0"/>
        <v>700.1</v>
      </c>
    </row>
    <row r="67" spans="1:23">
      <c r="A67" s="3">
        <v>1039</v>
      </c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>
        <f>19.55+8.95</f>
        <v>28.5</v>
      </c>
      <c r="N67" s="5">
        <f>19.95+16.25</f>
        <v>36.2</v>
      </c>
      <c r="O67" s="5">
        <v>6.9</v>
      </c>
      <c r="P67" s="5">
        <v>3.65</v>
      </c>
      <c r="Q67" s="5"/>
      <c r="R67" s="5"/>
      <c r="S67" s="5">
        <v>31.05</v>
      </c>
      <c r="T67" s="5">
        <v>16.9</v>
      </c>
      <c r="U67" s="5">
        <v>5.1</v>
      </c>
      <c r="V67" s="5"/>
      <c r="W67" s="5">
        <f t="shared" si="0"/>
        <v>128.3</v>
      </c>
    </row>
    <row r="68" spans="1:23">
      <c r="A68" s="3">
        <v>1012</v>
      </c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>
        <v>8.65</v>
      </c>
      <c r="N68" s="5">
        <f>9.5+3.7+8.3</f>
        <v>21.5</v>
      </c>
      <c r="O68" s="5">
        <f>2.9+7+1.35</f>
        <v>11.25</v>
      </c>
      <c r="P68" s="5">
        <f>15.15+8.6+18.9+17.35+4.7</f>
        <v>64.7</v>
      </c>
      <c r="Q68" s="5">
        <f>9.85+21+8.5</f>
        <v>39.35</v>
      </c>
      <c r="R68" s="5"/>
      <c r="S68" s="5">
        <f>11.1+7.3</f>
        <v>18.4</v>
      </c>
      <c r="T68" s="5">
        <f>15.45+13+7.3</f>
        <v>35.75</v>
      </c>
      <c r="U68" s="5">
        <f>20.1+12.2</f>
        <v>32.3</v>
      </c>
      <c r="V68" s="5"/>
      <c r="W68" s="5">
        <f t="shared" ref="W68:W131" si="1">SUM(C68:V68)</f>
        <v>231.9</v>
      </c>
    </row>
    <row r="69" spans="1:23">
      <c r="A69" s="3">
        <v>672</v>
      </c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>
        <f>7.85+2.1</f>
        <v>9.95</v>
      </c>
      <c r="N69" s="5">
        <v>18.5</v>
      </c>
      <c r="O69" s="5">
        <f>16.45+6.8</f>
        <v>23.25</v>
      </c>
      <c r="P69" s="5">
        <f>13.2+10.15+5.35</f>
        <v>28.7</v>
      </c>
      <c r="Q69" s="5"/>
      <c r="R69" s="5"/>
      <c r="S69" s="5">
        <v>7.15</v>
      </c>
      <c r="T69" s="5">
        <f>2.95+19.7</f>
        <v>22.65</v>
      </c>
      <c r="U69" s="5">
        <v>19.45</v>
      </c>
      <c r="V69" s="5"/>
      <c r="W69" s="5">
        <f t="shared" si="1"/>
        <v>129.65</v>
      </c>
    </row>
    <row r="70" spans="1:23">
      <c r="A70" s="3">
        <v>1023</v>
      </c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>
        <f>13.6+19.1+17.05+20.9+25.85+20.25+18.45+10.1</f>
        <v>145.3</v>
      </c>
      <c r="N70" s="5">
        <f>12.75+7.1+14.95+17.3+14.6+21.35+21+12.35</f>
        <v>121.4</v>
      </c>
      <c r="O70" s="5">
        <f>10.55+26.85+29.8+17.9+23.45+17+18.6+11.65+106</f>
        <v>261.8</v>
      </c>
      <c r="P70" s="5">
        <f>12.7+12.25+14.6+23.6+20.5+17.1+23.15+16.95+22.15+11.9+15.6</f>
        <v>190.5</v>
      </c>
      <c r="Q70" s="5">
        <f>10.55+26.55+14.3+13.65+16.2</f>
        <v>81.25</v>
      </c>
      <c r="R70" s="5"/>
      <c r="S70" s="5"/>
      <c r="T70" s="5">
        <v>29.55</v>
      </c>
      <c r="U70" s="5">
        <v>16.75</v>
      </c>
      <c r="V70" s="5"/>
      <c r="W70" s="5">
        <f t="shared" si="1"/>
        <v>846.55</v>
      </c>
    </row>
    <row r="71" spans="1:23">
      <c r="A71" s="3">
        <v>1023</v>
      </c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>
        <f>17.1+21.3+16.4+22.4+22.7+22.45+18.65+12.95</f>
        <v>153.95</v>
      </c>
      <c r="N71" s="5">
        <f>14.2+16.3+17.45+12.35+19.25+18.55+25.65+17.8+11.8</f>
        <v>153.35</v>
      </c>
      <c r="O71" s="5">
        <f>12.9+19.9+14.15+12.95+21.6+14.15+16.4</f>
        <v>112.05</v>
      </c>
      <c r="P71" s="5">
        <f>18.55+16.75+9.7+14.5+19+20.85+14.7</f>
        <v>114.05</v>
      </c>
      <c r="Q71" s="5">
        <f>11.85+19+14.55</f>
        <v>45.4</v>
      </c>
      <c r="R71" s="5"/>
      <c r="S71" s="5"/>
      <c r="T71" s="5">
        <f>22.15+26</f>
        <v>48.15</v>
      </c>
      <c r="U71" s="5">
        <f>13.2+20.45</f>
        <v>33.65</v>
      </c>
      <c r="V71" s="5"/>
      <c r="W71" s="5">
        <f t="shared" si="1"/>
        <v>660.6</v>
      </c>
    </row>
    <row r="72" spans="1:23">
      <c r="A72" s="3">
        <v>1023</v>
      </c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>
        <f>23.2+11.55</f>
        <v>34.75</v>
      </c>
      <c r="N72" s="5">
        <f>11.95+19.75+17+24.45</f>
        <v>73.15</v>
      </c>
      <c r="O72" s="5">
        <f>17.55+15.3+18.45+21.2+19.65+16+16.55+6</f>
        <v>130.7</v>
      </c>
      <c r="P72" s="5">
        <f>23.25+14+13.65+16.4+21.1+23+20.55+21.2+21.3+21.25+10.55</f>
        <v>206.25</v>
      </c>
      <c r="Q72" s="5">
        <f>21+18.25+20.15+19.95</f>
        <v>79.35</v>
      </c>
      <c r="R72" s="5"/>
      <c r="S72" s="5">
        <f>22.65+18.95+20.9+20.85+14.85+16.75+21.4+25.2+18.4</f>
        <v>179.95</v>
      </c>
      <c r="T72" s="5">
        <f>23.35+19.9+20.8+22.1</f>
        <v>86.15</v>
      </c>
      <c r="U72" s="5">
        <f>32.3+16.95+19.75</f>
        <v>69</v>
      </c>
      <c r="V72" s="5"/>
      <c r="W72" s="5">
        <f t="shared" si="1"/>
        <v>859.3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3399.35</v>
      </c>
      <c r="N349" s="6">
        <f t="shared" si="6"/>
        <v>3895.7</v>
      </c>
      <c r="O349" s="6">
        <f t="shared" si="6"/>
        <v>4265</v>
      </c>
      <c r="P349" s="6">
        <f t="shared" si="6"/>
        <v>4958.55</v>
      </c>
      <c r="Q349" s="6">
        <f t="shared" si="6"/>
        <v>2578.4</v>
      </c>
      <c r="R349" s="6">
        <f t="shared" si="6"/>
        <v>0</v>
      </c>
      <c r="S349" s="6">
        <f t="shared" si="6"/>
        <v>1779.55</v>
      </c>
      <c r="T349" s="6">
        <f t="shared" si="6"/>
        <v>1262.5</v>
      </c>
      <c r="U349" s="6">
        <f t="shared" si="6"/>
        <v>1391.3</v>
      </c>
      <c r="V349" s="6">
        <f t="shared" si="6"/>
        <v>0</v>
      </c>
      <c r="W349" s="6">
        <f>SUM(W2:W348)</f>
        <v>23530.35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209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5.45</v>
      </c>
      <c r="N2" s="5">
        <v>5.6</v>
      </c>
      <c r="O2" s="5">
        <v>2.9</v>
      </c>
      <c r="P2" s="5"/>
      <c r="Q2" s="5"/>
      <c r="R2" s="5"/>
      <c r="S2" s="5">
        <v>3.2</v>
      </c>
      <c r="T2" s="5"/>
      <c r="U2" s="5"/>
      <c r="V2" s="5"/>
      <c r="W2" s="5">
        <f t="shared" ref="W2:W67" si="0">SUM(C2:V2)</f>
        <v>17.15</v>
      </c>
    </row>
    <row r="3" spans="1:23">
      <c r="A3" s="3">
        <v>1026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6.65</v>
      </c>
      <c r="N3" s="5">
        <v>3.7</v>
      </c>
      <c r="O3" s="5">
        <v>1.55</v>
      </c>
      <c r="P3" s="5"/>
      <c r="Q3" s="5"/>
      <c r="R3" s="5"/>
      <c r="S3" s="5"/>
      <c r="T3" s="5"/>
      <c r="U3" s="5"/>
      <c r="V3" s="5"/>
      <c r="W3" s="5">
        <f t="shared" si="0"/>
        <v>11.9</v>
      </c>
    </row>
    <row r="4" spans="1:23">
      <c r="A4" s="3">
        <v>2198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15.05</v>
      </c>
      <c r="N4" s="5">
        <v>1.6</v>
      </c>
      <c r="O4" s="5">
        <v>4.35</v>
      </c>
      <c r="P4" s="5">
        <v>4.4</v>
      </c>
      <c r="Q4" s="5">
        <v>1.45</v>
      </c>
      <c r="R4" s="5"/>
      <c r="S4" s="5"/>
      <c r="T4" s="5"/>
      <c r="U4" s="5">
        <v>0.6</v>
      </c>
      <c r="V4" s="5"/>
      <c r="W4" s="5">
        <f t="shared" si="0"/>
        <v>27.45</v>
      </c>
    </row>
    <row r="5" spans="1:23">
      <c r="A5" s="3">
        <v>1014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10.9</v>
      </c>
      <c r="N5" s="5"/>
      <c r="O5" s="5">
        <v>1.45</v>
      </c>
      <c r="P5" s="5"/>
      <c r="Q5" s="5"/>
      <c r="R5" s="5"/>
      <c r="S5" s="5">
        <v>20.85</v>
      </c>
      <c r="T5" s="5"/>
      <c r="U5" s="5"/>
      <c r="V5" s="5"/>
      <c r="W5" s="5">
        <f t="shared" si="0"/>
        <v>33.2</v>
      </c>
    </row>
    <row r="6" spans="1:23">
      <c r="A6" s="3">
        <v>767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9.35</v>
      </c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9.35</v>
      </c>
    </row>
    <row r="7" spans="1:23">
      <c r="A7" s="3">
        <v>996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11.22</v>
      </c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11.22</v>
      </c>
    </row>
    <row r="8" spans="1:23">
      <c r="A8" s="3">
        <v>208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>
        <v>3.75</v>
      </c>
      <c r="O8" s="5">
        <v>2.9</v>
      </c>
      <c r="P8" s="5"/>
      <c r="Q8" s="5">
        <v>0.8</v>
      </c>
      <c r="R8" s="5"/>
      <c r="S8" s="5">
        <v>4.1</v>
      </c>
      <c r="T8" s="5">
        <v>1.35</v>
      </c>
      <c r="U8" s="5">
        <v>0.7</v>
      </c>
      <c r="V8" s="5"/>
      <c r="W8" s="5">
        <f t="shared" si="0"/>
        <v>13.6</v>
      </c>
    </row>
    <row r="9" spans="1:23">
      <c r="A9" s="3">
        <v>2495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8.55</v>
      </c>
      <c r="N9" s="5">
        <v>6.9</v>
      </c>
      <c r="O9" s="5">
        <v>5.8</v>
      </c>
      <c r="P9" s="5">
        <v>3.3</v>
      </c>
      <c r="Q9" s="5">
        <v>2.6</v>
      </c>
      <c r="R9" s="5"/>
      <c r="S9" s="5"/>
      <c r="T9" s="5"/>
      <c r="U9" s="5"/>
      <c r="V9" s="5"/>
      <c r="W9" s="5">
        <f t="shared" si="0"/>
        <v>27.15</v>
      </c>
    </row>
    <row r="10" spans="1:23">
      <c r="A10" s="3">
        <v>1745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2.05</v>
      </c>
      <c r="N10" s="5"/>
      <c r="O10" s="5">
        <v>2.95</v>
      </c>
      <c r="P10" s="5">
        <v>2</v>
      </c>
      <c r="Q10" s="5">
        <v>0.9</v>
      </c>
      <c r="R10" s="5"/>
      <c r="S10" s="5">
        <v>5.45</v>
      </c>
      <c r="T10" s="5"/>
      <c r="U10" s="5">
        <v>0.6</v>
      </c>
      <c r="V10" s="5"/>
      <c r="W10" s="5">
        <f t="shared" si="0"/>
        <v>13.95</v>
      </c>
    </row>
    <row r="11" spans="1:23">
      <c r="A11" s="3">
        <v>1795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2.2</v>
      </c>
      <c r="N11" s="5">
        <v>4.45</v>
      </c>
      <c r="O11" s="5">
        <v>6.35</v>
      </c>
      <c r="P11" s="5">
        <v>14.55</v>
      </c>
      <c r="Q11" s="5">
        <v>2.15</v>
      </c>
      <c r="R11" s="5"/>
      <c r="S11" s="5"/>
      <c r="T11" s="5">
        <v>1.65</v>
      </c>
      <c r="U11" s="5">
        <v>2.1</v>
      </c>
      <c r="V11" s="5"/>
      <c r="W11" s="5">
        <f t="shared" si="0"/>
        <v>33.45</v>
      </c>
    </row>
    <row r="12" spans="1:23">
      <c r="A12" s="3">
        <v>444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7.6</v>
      </c>
      <c r="N12" s="5">
        <v>7.1</v>
      </c>
      <c r="O12" s="5">
        <v>18.6</v>
      </c>
      <c r="P12" s="5">
        <f>14.3+19.75</f>
        <v>34.05</v>
      </c>
      <c r="Q12" s="5">
        <v>11.1</v>
      </c>
      <c r="R12" s="5"/>
      <c r="S12" s="5"/>
      <c r="T12" s="5"/>
      <c r="U12" s="5">
        <v>3.95</v>
      </c>
      <c r="V12" s="5"/>
      <c r="W12" s="5">
        <f t="shared" si="0"/>
        <v>82.4</v>
      </c>
    </row>
    <row r="13" spans="1:23">
      <c r="A13" s="3">
        <v>2415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25.8</v>
      </c>
      <c r="N13" s="5">
        <v>16.3</v>
      </c>
      <c r="O13" s="5">
        <v>11.8</v>
      </c>
      <c r="P13" s="5">
        <v>14.25</v>
      </c>
      <c r="Q13" s="5">
        <v>11.3</v>
      </c>
      <c r="R13" s="5"/>
      <c r="S13" s="5">
        <v>23.25</v>
      </c>
      <c r="T13" s="5"/>
      <c r="U13" s="5">
        <v>6.85</v>
      </c>
      <c r="V13" s="5"/>
      <c r="W13" s="5">
        <f t="shared" si="0"/>
        <v>109.55</v>
      </c>
    </row>
    <row r="14" spans="1:23">
      <c r="A14" s="3">
        <v>1651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f>22.9+15.35+14.7</f>
        <v>52.95</v>
      </c>
      <c r="N14" s="5">
        <f>13.8+9.25</f>
        <v>23.05</v>
      </c>
      <c r="O14" s="5">
        <f>14.3+3.95</f>
        <v>18.25</v>
      </c>
      <c r="P14" s="5">
        <v>13.7</v>
      </c>
      <c r="Q14" s="5"/>
      <c r="R14" s="5"/>
      <c r="S14" s="5">
        <v>6.95</v>
      </c>
      <c r="T14" s="5"/>
      <c r="U14" s="5"/>
      <c r="V14" s="5"/>
      <c r="W14" s="5">
        <f t="shared" si="0"/>
        <v>114.9</v>
      </c>
    </row>
    <row r="15" spans="1:23">
      <c r="A15" s="3">
        <v>211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v>6.75</v>
      </c>
      <c r="N15" s="5">
        <v>1.85</v>
      </c>
      <c r="O15" s="5">
        <v>4.6</v>
      </c>
      <c r="P15" s="5">
        <v>0.9</v>
      </c>
      <c r="Q15" s="5">
        <v>0.65</v>
      </c>
      <c r="R15" s="5"/>
      <c r="S15" s="5">
        <v>7</v>
      </c>
      <c r="T15" s="5"/>
      <c r="U15" s="5"/>
      <c r="V15" s="5"/>
      <c r="W15" s="5">
        <f t="shared" si="0"/>
        <v>21.75</v>
      </c>
    </row>
    <row r="16" spans="1:23">
      <c r="A16" s="3">
        <v>1791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f>4.4+14.65+7.9</f>
        <v>26.95</v>
      </c>
      <c r="N16" s="5">
        <v>17.65</v>
      </c>
      <c r="O16" s="5">
        <f>6.75+13.15</f>
        <v>19.9</v>
      </c>
      <c r="P16" s="5">
        <f>12.35+8.05</f>
        <v>20.4</v>
      </c>
      <c r="Q16" s="5">
        <v>7.65</v>
      </c>
      <c r="R16" s="5"/>
      <c r="S16" s="5">
        <v>2.35</v>
      </c>
      <c r="T16" s="5"/>
      <c r="U16" s="5">
        <v>1.2</v>
      </c>
      <c r="V16" s="5"/>
      <c r="W16" s="5">
        <f t="shared" si="0"/>
        <v>96.1</v>
      </c>
    </row>
    <row r="17" spans="1:23">
      <c r="A17" s="3">
        <v>354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f>15.75+16.65+19.75+10.65</f>
        <v>62.8</v>
      </c>
      <c r="N17" s="5">
        <f>16.9+23.6+22.35+11.9</f>
        <v>74.75</v>
      </c>
      <c r="O17" s="5">
        <f>15.85+24.4+23.55+19.05+14.5+6.3</f>
        <v>103.65</v>
      </c>
      <c r="P17" s="5">
        <f>11.65+20+14+26.55+20.4+25.1+18.35+17.2+14.25+19+3.65</f>
        <v>190.15</v>
      </c>
      <c r="Q17" s="5">
        <f>13.65+23.4+22.3+20.7+15.8</f>
        <v>95.85</v>
      </c>
      <c r="R17" s="5"/>
      <c r="S17" s="5">
        <v>19.75</v>
      </c>
      <c r="T17" s="5">
        <v>7.85</v>
      </c>
      <c r="U17" s="5">
        <v>23.3</v>
      </c>
      <c r="V17" s="5"/>
      <c r="W17" s="5">
        <f t="shared" si="0"/>
        <v>578.1</v>
      </c>
    </row>
    <row r="18" spans="1:23">
      <c r="A18" s="3">
        <v>333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4.85</v>
      </c>
      <c r="N18" s="5">
        <v>7.15</v>
      </c>
      <c r="O18" s="5">
        <v>1.45</v>
      </c>
      <c r="P18" s="5">
        <v>6.85</v>
      </c>
      <c r="Q18" s="5">
        <v>2.95</v>
      </c>
      <c r="R18" s="5"/>
      <c r="S18" s="5"/>
      <c r="T18" s="5"/>
      <c r="U18" s="5">
        <v>0.55</v>
      </c>
      <c r="V18" s="5"/>
      <c r="W18" s="5">
        <f t="shared" si="0"/>
        <v>23.8</v>
      </c>
    </row>
    <row r="19" spans="1:23">
      <c r="A19" s="3">
        <v>1016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v>2.8</v>
      </c>
      <c r="N19" s="5">
        <v>6.8</v>
      </c>
      <c r="O19" s="5">
        <v>9.6</v>
      </c>
      <c r="P19" s="5"/>
      <c r="Q19" s="5">
        <v>3.55</v>
      </c>
      <c r="R19" s="5"/>
      <c r="S19" s="5">
        <v>4.4</v>
      </c>
      <c r="T19" s="5">
        <v>1.25</v>
      </c>
      <c r="U19" s="5"/>
      <c r="V19" s="5"/>
      <c r="W19" s="5">
        <f t="shared" si="0"/>
        <v>28.4</v>
      </c>
    </row>
    <row r="20" spans="1:23">
      <c r="A20" s="3">
        <v>1792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f>12.4+16.95</f>
        <v>29.35</v>
      </c>
      <c r="N20" s="5">
        <f>12.65+17.8+15.8</f>
        <v>46.25</v>
      </c>
      <c r="O20" s="5">
        <f>14.35+19.85+16.1+12.95</f>
        <v>63.25</v>
      </c>
      <c r="P20" s="5">
        <f>19.3+12.6+14.8</f>
        <v>46.7</v>
      </c>
      <c r="Q20" s="5">
        <f>18.4+2.5</f>
        <v>20.9</v>
      </c>
      <c r="R20" s="5"/>
      <c r="S20" s="5">
        <v>13.3</v>
      </c>
      <c r="T20" s="5">
        <v>8.25</v>
      </c>
      <c r="U20" s="5">
        <v>11.3</v>
      </c>
      <c r="V20" s="5"/>
      <c r="W20" s="5">
        <f t="shared" si="0"/>
        <v>239.3</v>
      </c>
    </row>
    <row r="21" spans="1:23">
      <c r="A21" s="3">
        <v>404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f>20.95+19.75</f>
        <v>40.7</v>
      </c>
      <c r="N21" s="5"/>
      <c r="O21" s="5"/>
      <c r="P21" s="5"/>
      <c r="Q21" s="5"/>
      <c r="R21" s="5"/>
      <c r="S21" s="5">
        <v>2.55</v>
      </c>
      <c r="T21" s="5"/>
      <c r="U21" s="5"/>
      <c r="V21" s="5"/>
      <c r="W21" s="5">
        <f t="shared" si="0"/>
        <v>43.25</v>
      </c>
    </row>
    <row r="22" spans="1:23">
      <c r="A22" s="3">
        <v>309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f>14.25+13.05+15.15+17.8+22.4+20.95+19.05+25.25+11.55</f>
        <v>159.45</v>
      </c>
      <c r="N22" s="5">
        <f>22.8+15.55+13.25+23.85+18.9+24.8+23.15+20.25+14.8</f>
        <v>177.35</v>
      </c>
      <c r="O22" s="5">
        <f>17.95+19.8+14.05+12.65+16.1+24.75+25.1+24.7+18.4+15.5+11.5</f>
        <v>200.5</v>
      </c>
      <c r="P22" s="5">
        <f>24.6+20.45+15.1+17.5+23.3+23.25+20.6+9.95</f>
        <v>154.75</v>
      </c>
      <c r="Q22" s="5">
        <f>22.3+12.5+18.5+13.45</f>
        <v>66.75</v>
      </c>
      <c r="R22" s="5"/>
      <c r="S22" s="5">
        <f>16.58+19.6+19.96+15.36</f>
        <v>71.5</v>
      </c>
      <c r="T22" s="5">
        <v>24.06</v>
      </c>
      <c r="U22" s="5">
        <v>22.78</v>
      </c>
      <c r="V22" s="5"/>
      <c r="W22" s="5">
        <f t="shared" si="0"/>
        <v>877.14</v>
      </c>
    </row>
    <row r="23" spans="1:23">
      <c r="A23" s="3">
        <v>1011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f>23.98+20.62</f>
        <v>44.6</v>
      </c>
      <c r="N23" s="5">
        <f>20.98+23.48+20.72+19</f>
        <v>84.18</v>
      </c>
      <c r="O23" s="5">
        <f>22.34+24.1+19.64+23.88</f>
        <v>89.96</v>
      </c>
      <c r="P23" s="5">
        <f>22.42+25.32+27.06+17.26+9.7+1.12</f>
        <v>102.88</v>
      </c>
      <c r="Q23" s="5">
        <f>10.88+9.54+9.84+1.54</f>
        <v>31.8</v>
      </c>
      <c r="R23" s="5"/>
      <c r="S23" s="5">
        <f>20.66+11.7</f>
        <v>32.36</v>
      </c>
      <c r="T23" s="5">
        <v>8.72</v>
      </c>
      <c r="U23" s="5">
        <v>14.36</v>
      </c>
      <c r="V23" s="5"/>
      <c r="W23" s="5">
        <f t="shared" si="0"/>
        <v>408.86</v>
      </c>
    </row>
    <row r="24" spans="1:23">
      <c r="A24" s="3">
        <v>333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>
        <f>7.72+2.15</f>
        <v>9.87</v>
      </c>
      <c r="N24" s="5">
        <v>1.68</v>
      </c>
      <c r="O24" s="5"/>
      <c r="P24" s="5">
        <v>2.16</v>
      </c>
      <c r="Q24" s="5"/>
      <c r="R24" s="5"/>
      <c r="S24" s="5">
        <v>6.8</v>
      </c>
      <c r="T24" s="5"/>
      <c r="U24" s="5"/>
      <c r="V24" s="5"/>
      <c r="W24" s="5">
        <f t="shared" si="0"/>
        <v>20.51</v>
      </c>
    </row>
    <row r="25" spans="1:23">
      <c r="A25" s="3">
        <v>333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>
        <f>7.26+2.28</f>
        <v>9.54</v>
      </c>
      <c r="N25" s="5">
        <v>12.48</v>
      </c>
      <c r="O25" s="5">
        <v>2.94</v>
      </c>
      <c r="P25" s="5">
        <v>2.16</v>
      </c>
      <c r="Q25" s="5"/>
      <c r="R25" s="5"/>
      <c r="S25" s="5"/>
      <c r="T25" s="5"/>
      <c r="U25" s="5"/>
      <c r="V25" s="5"/>
      <c r="W25" s="5">
        <f t="shared" si="0"/>
        <v>27.12</v>
      </c>
    </row>
    <row r="26" spans="1:23">
      <c r="A26" s="3">
        <v>672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>
        <f>15.5+18.32+16.64+10.14+18.2</f>
        <v>78.8</v>
      </c>
      <c r="N26" s="5">
        <f>18.2+20.3+23.52+27.18+18.1+22.34+22.32+19.9+18.08</f>
        <v>189.94</v>
      </c>
      <c r="O26" s="5">
        <f>19.48+12.36+14.46+8.24+17.34+17.8+13.1+16.44+18.02+20.52+21.62+13.44+23.36</f>
        <v>216.18</v>
      </c>
      <c r="P26" s="5">
        <f>23.98+17.9+15.5+18.26+18.28+20+20.24+19.92+25.96+12.46+14.08+13.64+20.78</f>
        <v>241</v>
      </c>
      <c r="Q26" s="5">
        <f>25.9+25.14+17+19.84+15.46+18.16+10.82</f>
        <v>132.32</v>
      </c>
      <c r="R26" s="5"/>
      <c r="S26" s="5"/>
      <c r="T26" s="5">
        <f>20.62+12.58</f>
        <v>33.2</v>
      </c>
      <c r="U26" s="5">
        <f>21.38+14.92+20.36</f>
        <v>56.66</v>
      </c>
      <c r="V26" s="5"/>
      <c r="W26" s="5">
        <f t="shared" si="0"/>
        <v>948.1</v>
      </c>
    </row>
    <row r="27" spans="1:23">
      <c r="A27" s="3">
        <v>672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f>15.4+18.5+18.76+11.6+17.06+14.88+17.2+15.82+18.44</f>
        <v>147.66</v>
      </c>
      <c r="N27" s="5">
        <f>24.6+15.3+12.16+19.04+15.1+12.02+14.38</f>
        <v>112.6</v>
      </c>
      <c r="O27" s="5">
        <f>14.9+18.08+21.54+17.36+16.62+22.54+16.46+13.64+18.76+15.74</f>
        <v>175.64</v>
      </c>
      <c r="P27" s="5">
        <f>15.72+21.22+12.4+15.74+17.4+14.5+12.2+13.18+16.86+13.68</f>
        <v>152.9</v>
      </c>
      <c r="Q27" s="5">
        <f>18.02+11.92+17.5+14.84+15.34</f>
        <v>77.62</v>
      </c>
      <c r="R27" s="5"/>
      <c r="S27" s="5"/>
      <c r="T27" s="5"/>
      <c r="U27" s="5">
        <v>21.86</v>
      </c>
      <c r="V27" s="5"/>
      <c r="W27" s="5">
        <f t="shared" si="0"/>
        <v>688.28</v>
      </c>
    </row>
    <row r="28" spans="1:23">
      <c r="A28" s="3">
        <v>672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f>22.78+22.28+18.42</f>
        <v>63.48</v>
      </c>
      <c r="N28" s="5">
        <f>26.36+20.2+17.7+3.82</f>
        <v>68.08</v>
      </c>
      <c r="O28" s="5">
        <f>24.7+15.14+10.92+7.42</f>
        <v>58.18</v>
      </c>
      <c r="P28" s="5">
        <f>14.32+19.36+24+18.3+17.5+13.94+5.32</f>
        <v>112.74</v>
      </c>
      <c r="Q28" s="5">
        <f>19.94+9.02+14.62+5.32</f>
        <v>48.9</v>
      </c>
      <c r="R28" s="5"/>
      <c r="S28" s="5">
        <f>22.08+22.46+23.28+18.64+18.24+25.74</f>
        <v>130.44</v>
      </c>
      <c r="T28" s="5">
        <f>21.62+2.28</f>
        <v>23.9</v>
      </c>
      <c r="U28" s="5">
        <f>18.68+13.94</f>
        <v>32.62</v>
      </c>
      <c r="V28" s="5"/>
      <c r="W28" s="5">
        <f t="shared" si="0"/>
        <v>538.34</v>
      </c>
    </row>
    <row r="29" spans="1:23">
      <c r="A29" s="3">
        <v>211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>
        <v>1.64</v>
      </c>
      <c r="O29" s="5">
        <v>4.22</v>
      </c>
      <c r="P29" s="5"/>
      <c r="Q29" s="5"/>
      <c r="R29" s="5"/>
      <c r="S29" s="5"/>
      <c r="T29" s="5"/>
      <c r="U29" s="5">
        <v>4.92</v>
      </c>
      <c r="V29" s="5"/>
      <c r="W29" s="5">
        <f t="shared" si="0"/>
        <v>10.78</v>
      </c>
    </row>
    <row r="30" spans="1:23">
      <c r="A30" s="3">
        <v>2425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f>15.96+16.88+2.48</f>
        <v>35.32</v>
      </c>
      <c r="N30" s="5">
        <f>21.7+16.58+1.68+1.72</f>
        <v>41.68</v>
      </c>
      <c r="O30" s="5">
        <f>21.56+11.68+19.86</f>
        <v>53.1</v>
      </c>
      <c r="P30" s="5">
        <f>18+18.44+16.4+13.9</f>
        <v>66.74</v>
      </c>
      <c r="Q30" s="5">
        <f>18.68+15.18+14.86</f>
        <v>48.72</v>
      </c>
      <c r="R30" s="5"/>
      <c r="S30" s="5">
        <v>13.1</v>
      </c>
      <c r="T30" s="5">
        <v>5.66</v>
      </c>
      <c r="U30" s="5">
        <v>14.22</v>
      </c>
      <c r="V30" s="5"/>
      <c r="W30" s="5">
        <f t="shared" si="0"/>
        <v>278.54</v>
      </c>
    </row>
    <row r="31" spans="1:23">
      <c r="A31" s="3">
        <v>368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f>18.065+17.96</f>
        <v>36.025</v>
      </c>
      <c r="N31" s="5">
        <f>16.6+12.56</f>
        <v>29.16</v>
      </c>
      <c r="O31" s="5">
        <f>17.08+21.06+4.28</f>
        <v>42.42</v>
      </c>
      <c r="P31" s="5">
        <f>14.9+15.56+16.68+3.9</f>
        <v>51.04</v>
      </c>
      <c r="Q31" s="5">
        <f>19.88+5.42</f>
        <v>25.3</v>
      </c>
      <c r="R31" s="5"/>
      <c r="S31" s="5">
        <v>15</v>
      </c>
      <c r="T31" s="5">
        <v>1.46</v>
      </c>
      <c r="U31" s="5">
        <v>12.88</v>
      </c>
      <c r="V31" s="5"/>
      <c r="W31" s="5">
        <f t="shared" si="0"/>
        <v>213.285</v>
      </c>
    </row>
    <row r="32" spans="1:23">
      <c r="A32" s="3">
        <v>478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f>19.66+20.58+18.74+19.08+20.5+22.98+5.3</f>
        <v>126.84</v>
      </c>
      <c r="N32" s="5">
        <f>16.72+15.88+21.56+22.94+24.12+27.24+15.5</f>
        <v>143.96</v>
      </c>
      <c r="O32" s="5">
        <f>22.16+16.96+23.06+20.96+21.14+21.06+2.76</f>
        <v>128.1</v>
      </c>
      <c r="P32" s="5">
        <f>20.7+21.62+17.96+16.08+24.16+21.64</f>
        <v>122.16</v>
      </c>
      <c r="Q32" s="5">
        <f>18.5+20.76+18.18</f>
        <v>57.44</v>
      </c>
      <c r="R32" s="5"/>
      <c r="S32" s="5">
        <f>22.54+26.86+26.24</f>
        <v>75.64</v>
      </c>
      <c r="T32" s="5">
        <v>7.3</v>
      </c>
      <c r="U32" s="5">
        <f>18.72+0.58</f>
        <v>19.3</v>
      </c>
      <c r="V32" s="5"/>
      <c r="W32" s="5">
        <f t="shared" si="0"/>
        <v>680.74</v>
      </c>
    </row>
    <row r="33" spans="1:23">
      <c r="A33" s="3">
        <v>2167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f>18.32+20.32+18.72+19.1+15.2+11.56</f>
        <v>103.22</v>
      </c>
      <c r="N33" s="5">
        <f>21.18+19.26+14.1+19.1+15.4+18.34+13.46+20.56+15.16</f>
        <v>156.56</v>
      </c>
      <c r="O33" s="5">
        <f>22.44+23.56+20.3+16.48+14.7+15.9+19.84+15.56+16.52+13.74+15.32</f>
        <v>194.36</v>
      </c>
      <c r="P33" s="5">
        <f>23.18+19.5+24.86+15.44+20.4+19.52+14.84+18.64+17.04+15.48+19.1</f>
        <v>208</v>
      </c>
      <c r="Q33" s="5">
        <f>11.4+18.14+19.86+18.22+16.8</f>
        <v>84.42</v>
      </c>
      <c r="R33" s="5"/>
      <c r="S33" s="5">
        <f>20.96+20.3+18.64+17.34</f>
        <v>77.24</v>
      </c>
      <c r="T33" s="5">
        <f>16.14+12.68+12.1</f>
        <v>40.92</v>
      </c>
      <c r="U33" s="5">
        <f>20.74+13.38+15.58</f>
        <v>49.7</v>
      </c>
      <c r="V33" s="5"/>
      <c r="W33" s="5">
        <f t="shared" si="0"/>
        <v>914.42</v>
      </c>
    </row>
    <row r="34" spans="1:23">
      <c r="A34" s="3">
        <v>1795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f>14.12+11.46</f>
        <v>25.58</v>
      </c>
      <c r="N34" s="5">
        <v>5.48</v>
      </c>
      <c r="O34" s="5">
        <v>4.18</v>
      </c>
      <c r="P34" s="5">
        <v>11.44</v>
      </c>
      <c r="Q34" s="5">
        <v>4.44</v>
      </c>
      <c r="R34" s="5"/>
      <c r="S34" s="5">
        <v>16.78</v>
      </c>
      <c r="T34" s="5"/>
      <c r="U34" s="5">
        <v>7.38</v>
      </c>
      <c r="V34" s="5"/>
      <c r="W34" s="5">
        <f t="shared" si="0"/>
        <v>75.28</v>
      </c>
    </row>
    <row r="35" spans="1:23">
      <c r="A35" s="3">
        <v>1745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>
        <f>5.72+1.4</f>
        <v>7.12</v>
      </c>
      <c r="P35" s="5">
        <v>11.7</v>
      </c>
      <c r="Q35" s="5">
        <v>3.86</v>
      </c>
      <c r="R35" s="5"/>
      <c r="S35" s="5"/>
      <c r="T35" s="5"/>
      <c r="U35" s="5"/>
      <c r="V35" s="5"/>
      <c r="W35" s="5">
        <f t="shared" si="0"/>
        <v>22.68</v>
      </c>
    </row>
    <row r="36" spans="1:23">
      <c r="A36" s="3">
        <v>444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2.04</v>
      </c>
      <c r="N36" s="5">
        <f>4.92+1.98</f>
        <v>6.9</v>
      </c>
      <c r="O36" s="5">
        <v>10.18</v>
      </c>
      <c r="P36" s="5">
        <v>5.62</v>
      </c>
      <c r="Q36" s="5">
        <v>2.22</v>
      </c>
      <c r="R36" s="5"/>
      <c r="S36" s="5">
        <v>9.18</v>
      </c>
      <c r="T36" s="5"/>
      <c r="U36" s="5">
        <v>1.38</v>
      </c>
      <c r="V36" s="5"/>
      <c r="W36" s="5">
        <f t="shared" si="0"/>
        <v>37.52</v>
      </c>
    </row>
    <row r="37" spans="1:23">
      <c r="A37" s="3">
        <v>2443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11.76</v>
      </c>
      <c r="N37" s="5">
        <f>14.04+5.8</f>
        <v>19.84</v>
      </c>
      <c r="O37" s="5">
        <f>10.5+7.2</f>
        <v>17.7</v>
      </c>
      <c r="P37" s="5">
        <f>14+11.26+4.9</f>
        <v>30.16</v>
      </c>
      <c r="Q37" s="5">
        <v>9.52</v>
      </c>
      <c r="R37" s="5"/>
      <c r="S37" s="5">
        <v>3.74</v>
      </c>
      <c r="T37" s="5">
        <v>8.88</v>
      </c>
      <c r="U37" s="5">
        <v>11.4</v>
      </c>
      <c r="V37" s="5"/>
      <c r="W37" s="5">
        <f t="shared" si="0"/>
        <v>113</v>
      </c>
    </row>
    <row r="38" spans="1:23">
      <c r="A38" s="3">
        <v>560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f>13.52+4.82</f>
        <v>18.34</v>
      </c>
      <c r="N38" s="5">
        <f>11.26+9+0.2+1.62</f>
        <v>22.08</v>
      </c>
      <c r="O38" s="5">
        <f>11.24+11.82</f>
        <v>23.06</v>
      </c>
      <c r="P38" s="5">
        <v>18.06</v>
      </c>
      <c r="Q38" s="5">
        <v>3.6</v>
      </c>
      <c r="R38" s="5"/>
      <c r="S38" s="5">
        <v>11.74</v>
      </c>
      <c r="T38" s="5">
        <v>5</v>
      </c>
      <c r="U38" s="5">
        <v>1.74</v>
      </c>
      <c r="V38" s="5"/>
      <c r="W38" s="5">
        <f t="shared" si="0"/>
        <v>103.62</v>
      </c>
    </row>
    <row r="39" spans="1:24">
      <c r="A39" s="3">
        <v>2441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16.02</v>
      </c>
      <c r="N39" s="5">
        <v>6.52</v>
      </c>
      <c r="O39" s="5">
        <v>8.1</v>
      </c>
      <c r="P39" s="5">
        <v>5.98</v>
      </c>
      <c r="Q39" s="5">
        <v>1.68</v>
      </c>
      <c r="R39" s="5"/>
      <c r="S39" s="5">
        <v>10.56</v>
      </c>
      <c r="T39" s="5">
        <v>2.92</v>
      </c>
      <c r="U39" s="5"/>
      <c r="V39" s="5"/>
      <c r="W39" s="5">
        <f t="shared" si="0"/>
        <v>51.78</v>
      </c>
      <c r="X39" s="12"/>
    </row>
    <row r="40" spans="1:23">
      <c r="A40" s="3">
        <v>180</v>
      </c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v>2.32</v>
      </c>
      <c r="N40" s="5">
        <v>8.54</v>
      </c>
      <c r="O40" s="5">
        <v>10.44</v>
      </c>
      <c r="P40" s="5"/>
      <c r="Q40" s="5"/>
      <c r="R40" s="5"/>
      <c r="S40" s="5">
        <v>2.58</v>
      </c>
      <c r="T40" s="5"/>
      <c r="U40" s="5"/>
      <c r="V40" s="5"/>
      <c r="W40" s="5">
        <f t="shared" si="0"/>
        <v>23.88</v>
      </c>
    </row>
    <row r="41" spans="1:23">
      <c r="A41" s="3">
        <v>1039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f>18.26+12.28</f>
        <v>30.54</v>
      </c>
      <c r="N41" s="5">
        <f>15.96+9.64</f>
        <v>25.6</v>
      </c>
      <c r="O41" s="5">
        <v>14.86</v>
      </c>
      <c r="P41" s="5">
        <v>5.78</v>
      </c>
      <c r="Q41" s="5">
        <v>2.04</v>
      </c>
      <c r="R41" s="5"/>
      <c r="S41" s="5">
        <v>21.78</v>
      </c>
      <c r="T41" s="5">
        <v>5.14</v>
      </c>
      <c r="U41" s="5">
        <v>0.7</v>
      </c>
      <c r="V41" s="5"/>
      <c r="W41" s="5">
        <f t="shared" si="0"/>
        <v>106.44</v>
      </c>
    </row>
    <row r="42" spans="1:23">
      <c r="A42" s="3">
        <v>1037</v>
      </c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v>11.32</v>
      </c>
      <c r="N42" s="5">
        <v>13.28</v>
      </c>
      <c r="O42" s="5">
        <v>5.88</v>
      </c>
      <c r="P42" s="5">
        <f>14.68+3.74</f>
        <v>18.42</v>
      </c>
      <c r="Q42" s="5">
        <v>12.1</v>
      </c>
      <c r="R42" s="5"/>
      <c r="S42" s="5">
        <v>2.72</v>
      </c>
      <c r="T42" s="5">
        <v>1.28</v>
      </c>
      <c r="U42" s="5">
        <v>14.22</v>
      </c>
      <c r="V42" s="5"/>
      <c r="W42" s="5">
        <f t="shared" si="0"/>
        <v>79.22</v>
      </c>
    </row>
    <row r="43" spans="1:23">
      <c r="A43" s="3">
        <v>1009</v>
      </c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f>20.84+7</f>
        <v>27.84</v>
      </c>
      <c r="N43" s="5">
        <f>23.32+13.7+21.84+1.6</f>
        <v>60.46</v>
      </c>
      <c r="O43" s="5">
        <f>13.12+21.06+8.44</f>
        <v>42.62</v>
      </c>
      <c r="P43" s="5">
        <f>16.5+16.36+17.6</f>
        <v>50.46</v>
      </c>
      <c r="Q43" s="5">
        <v>7.78</v>
      </c>
      <c r="R43" s="5"/>
      <c r="S43" s="5">
        <v>12.22</v>
      </c>
      <c r="T43" s="5">
        <v>12.16</v>
      </c>
      <c r="U43" s="5">
        <v>11.22</v>
      </c>
      <c r="V43" s="5"/>
      <c r="W43" s="5">
        <f t="shared" si="0"/>
        <v>224.76</v>
      </c>
    </row>
    <row r="44" spans="1:23">
      <c r="A44" s="3">
        <v>1017</v>
      </c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f>20.48+17.06</f>
        <v>37.54</v>
      </c>
      <c r="N44" s="5">
        <f>20.82+13.28</f>
        <v>34.1</v>
      </c>
      <c r="O44" s="5">
        <v>16.14</v>
      </c>
      <c r="P44" s="5">
        <v>6.02</v>
      </c>
      <c r="Q44" s="5"/>
      <c r="R44" s="5"/>
      <c r="S44" s="5">
        <v>4.94</v>
      </c>
      <c r="T44" s="5">
        <v>1.42</v>
      </c>
      <c r="U44" s="5"/>
      <c r="V44" s="5"/>
      <c r="W44" s="5">
        <f t="shared" si="0"/>
        <v>100.16</v>
      </c>
    </row>
    <row r="45" spans="1:23">
      <c r="A45" s="3">
        <v>309</v>
      </c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f>20.64+18.42+15.02+15.1+19.08</f>
        <v>88.26</v>
      </c>
      <c r="N45" s="5">
        <f>17.58+17.8+12.98+14.7+18.64</f>
        <v>81.7</v>
      </c>
      <c r="O45" s="5">
        <f>10.46+12.56+12.22+19.36+20.6+20.74+18.22</f>
        <v>114.16</v>
      </c>
      <c r="P45" s="5">
        <f>22.8+14.7+15.68+19.3+21.18+20.82+13.5+13.1+19.56+16.82+17.34+19.42</f>
        <v>214.22</v>
      </c>
      <c r="Q45" s="5">
        <f>17.4+10.92+21.66+23.76+15.96+10.88+16.12+18.86+19</f>
        <v>154.56</v>
      </c>
      <c r="R45" s="5"/>
      <c r="S45" s="5"/>
      <c r="T45" s="5">
        <v>13.38</v>
      </c>
      <c r="U45" s="5">
        <f>21.7+14.84+19.3+13.48+17.24</f>
        <v>86.56</v>
      </c>
      <c r="V45" s="5"/>
      <c r="W45" s="5">
        <f t="shared" si="0"/>
        <v>752.84</v>
      </c>
    </row>
    <row r="46" spans="1:23">
      <c r="A46" s="3">
        <v>309</v>
      </c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>
        <f>18.66+22.12</f>
        <v>40.78</v>
      </c>
      <c r="N46" s="5">
        <f>21.06+10.94+15.02+16.32+17.08</f>
        <v>80.42</v>
      </c>
      <c r="O46" s="5">
        <f>15.74+17.42+12.5+24.54+18.7+24.1+18.38+20.44+18.96</f>
        <v>170.78</v>
      </c>
      <c r="P46" s="5">
        <f>18.86+17.92+19.32+20.58+17.12+21.9+21+17.88+15.8+25.28+18.22+19.32</f>
        <v>233.2</v>
      </c>
      <c r="Q46" s="5">
        <f>19.04+20.28+18.26+12.4+17.58+22+12.16+17.86+15.44</f>
        <v>155.02</v>
      </c>
      <c r="R46" s="5"/>
      <c r="S46" s="5"/>
      <c r="T46" s="5">
        <f>19.68+12.16+22.34+17.34</f>
        <v>71.52</v>
      </c>
      <c r="U46" s="5">
        <f>24.64+23.64+13.94+27.02+18.2</f>
        <v>107.44</v>
      </c>
      <c r="V46" s="5"/>
      <c r="W46" s="5">
        <f t="shared" si="0"/>
        <v>859.16</v>
      </c>
    </row>
    <row r="47" spans="1:23">
      <c r="A47" s="3">
        <v>309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>
        <f>15.9+19.52+18.52+23.86</f>
        <v>77.8</v>
      </c>
      <c r="N47" s="5">
        <f>19.26+20.72+20.52+14.9+17.84+13.02+13.08</f>
        <v>119.34</v>
      </c>
      <c r="O47" s="5">
        <f>22.76+16.32+18.88+16.02+21.8+21.2+17.6+21.3+22.88+23.28</f>
        <v>202.04</v>
      </c>
      <c r="P47" s="5">
        <f>17.42+21.78+19.1+20.64+17.56+19.76+22.42+23.42+19.6+17.74+18.26</f>
        <v>217.7</v>
      </c>
      <c r="Q47" s="5">
        <f>16.4+18.04+19.2+22.44+19.74+12.88+18.96</f>
        <v>127.66</v>
      </c>
      <c r="R47" s="5"/>
      <c r="S47" s="5"/>
      <c r="T47" s="5"/>
      <c r="U47" s="5">
        <f>17.58+23.22</f>
        <v>40.8</v>
      </c>
      <c r="V47" s="5"/>
      <c r="W47" s="5">
        <f t="shared" si="0"/>
        <v>785.34</v>
      </c>
    </row>
    <row r="48" spans="1:23">
      <c r="A48" s="3">
        <v>309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>24.42+15.1+15.42+17.84+2.28</f>
        <v>75.06</v>
      </c>
      <c r="N48" s="5">
        <f>18.9+24.44+17.16+19.72+10.42</f>
        <v>90.64</v>
      </c>
      <c r="O48" s="5">
        <f>22.74+25.7+19.42+18.84+15.68+14.12+19.74+17.1+20.87+14.2+7.74+8.24</f>
        <v>204.39</v>
      </c>
      <c r="P48" s="5">
        <f>18.3+14.44+18.7+13.7+18.44+23.52+14.1+16.4+15.76+19.18</f>
        <v>172.54</v>
      </c>
      <c r="Q48" s="5">
        <f>20.04+16.66+23.06+18.56+23.84</f>
        <v>102.16</v>
      </c>
      <c r="R48" s="5"/>
      <c r="S48" s="5">
        <f>22.36+22.12+23.8+24.42+18.74+21.72+22.34+20.78</f>
        <v>176.28</v>
      </c>
      <c r="T48" s="5">
        <f>20.18+23.3+22.84+17.14+14.12+10.03+11.94</f>
        <v>119.55</v>
      </c>
      <c r="U48" s="5">
        <f>20.22+18.86+19.54+18.82</f>
        <v>77.44</v>
      </c>
      <c r="V48" s="5"/>
      <c r="W48" s="5">
        <f t="shared" si="0"/>
        <v>1018.06</v>
      </c>
    </row>
    <row r="49" spans="1:23">
      <c r="A49" s="3">
        <v>2161</v>
      </c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>
        <v>9.04</v>
      </c>
      <c r="N49" s="5">
        <f>20.74+9.48</f>
        <v>30.22</v>
      </c>
      <c r="O49" s="5">
        <v>25.6</v>
      </c>
      <c r="P49" s="5">
        <f>17.74+19.06</f>
        <v>36.8</v>
      </c>
      <c r="Q49" s="5">
        <f>16.38+21.8</f>
        <v>38.18</v>
      </c>
      <c r="R49" s="5"/>
      <c r="S49" s="5">
        <v>6</v>
      </c>
      <c r="T49" s="5">
        <v>15.56</v>
      </c>
      <c r="U49" s="5">
        <v>25.06</v>
      </c>
      <c r="V49" s="5"/>
      <c r="W49" s="5">
        <f t="shared" si="0"/>
        <v>186.46</v>
      </c>
    </row>
    <row r="50" spans="1:23">
      <c r="A50" s="3">
        <v>2277</v>
      </c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>
        <f>18.18+4.54</f>
        <v>22.72</v>
      </c>
      <c r="N50" s="5">
        <f>11.92+1.74</f>
        <v>13.66</v>
      </c>
      <c r="O50" s="5">
        <f>18.48+4.58</f>
        <v>23.06</v>
      </c>
      <c r="P50" s="5">
        <f>13.88+16.28+3.62</f>
        <v>33.78</v>
      </c>
      <c r="Q50" s="5">
        <f>12.46+14.84</f>
        <v>27.3</v>
      </c>
      <c r="R50" s="5"/>
      <c r="S50" s="5">
        <f>23.8+25.64+10.96</f>
        <v>60.4</v>
      </c>
      <c r="T50" s="5">
        <v>7.66</v>
      </c>
      <c r="U50" s="5">
        <f>18.96+0.92</f>
        <v>19.88</v>
      </c>
      <c r="V50" s="5"/>
      <c r="W50" s="5">
        <f t="shared" si="0"/>
        <v>208.46</v>
      </c>
    </row>
    <row r="51" spans="1:23">
      <c r="A51" s="3">
        <v>1013</v>
      </c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>
        <f>16.06+14.72</f>
        <v>30.78</v>
      </c>
      <c r="N51" s="5">
        <f>16.82+17.96</f>
        <v>34.78</v>
      </c>
      <c r="O51" s="5">
        <f>14.24+15.7+16.8+10.88</f>
        <v>57.62</v>
      </c>
      <c r="P51" s="5">
        <f>18.46+12.78+17.36+5.6</f>
        <v>54.2</v>
      </c>
      <c r="Q51" s="5">
        <f>16+20.88+16.9</f>
        <v>53.78</v>
      </c>
      <c r="R51" s="5"/>
      <c r="S51" s="5">
        <f>29.56+4.6</f>
        <v>34.16</v>
      </c>
      <c r="T51" s="5">
        <v>6.58</v>
      </c>
      <c r="U51" s="5">
        <f>15.74+14.26</f>
        <v>30</v>
      </c>
      <c r="V51" s="5"/>
      <c r="W51" s="5">
        <f t="shared" si="0"/>
        <v>301.9</v>
      </c>
    </row>
    <row r="52" spans="1:23">
      <c r="A52" s="3">
        <v>1012</v>
      </c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>
        <v>6.2</v>
      </c>
      <c r="N52" s="5">
        <v>18</v>
      </c>
      <c r="O52" s="5">
        <f>14.4+10.22</f>
        <v>24.62</v>
      </c>
      <c r="P52" s="5">
        <f>20.26+18.3</f>
        <v>38.56</v>
      </c>
      <c r="Q52" s="5">
        <f>21.26+2.38</f>
        <v>23.64</v>
      </c>
      <c r="R52" s="5"/>
      <c r="S52" s="5"/>
      <c r="T52" s="5">
        <v>1.3</v>
      </c>
      <c r="U52" s="5">
        <v>11.96</v>
      </c>
      <c r="V52" s="5"/>
      <c r="W52" s="5">
        <f t="shared" si="0"/>
        <v>124.28</v>
      </c>
    </row>
    <row r="53" spans="1:23">
      <c r="A53" s="3">
        <v>1027</v>
      </c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>
        <v>2.2</v>
      </c>
      <c r="N53" s="5"/>
      <c r="O53" s="5">
        <v>4.36</v>
      </c>
      <c r="P53" s="5">
        <v>6.9</v>
      </c>
      <c r="Q53" s="5">
        <v>2.76</v>
      </c>
      <c r="R53" s="5"/>
      <c r="S53" s="5">
        <v>2.86</v>
      </c>
      <c r="T53" s="5">
        <v>1.3</v>
      </c>
      <c r="U53" s="5"/>
      <c r="V53" s="5"/>
      <c r="W53" s="5">
        <f t="shared" si="0"/>
        <v>20.38</v>
      </c>
    </row>
    <row r="54" spans="1:23">
      <c r="A54" s="3">
        <v>207</v>
      </c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>
        <f>15.38+13.96</f>
        <v>29.34</v>
      </c>
      <c r="N54" s="5">
        <f>16.12+15.36+1.92</f>
        <v>33.4</v>
      </c>
      <c r="O54" s="5">
        <f>14.36+15.64+18+18.86+11.98+10</f>
        <v>88.84</v>
      </c>
      <c r="P54" s="5">
        <f>16.06+17.9+18.14+12.8+20.08+20+18.2+19.3+8.56</f>
        <v>151.04</v>
      </c>
      <c r="Q54" s="5">
        <f>15.78+14.8+13.08+15.78</f>
        <v>59.44</v>
      </c>
      <c r="R54" s="5"/>
      <c r="S54" s="5"/>
      <c r="T54" s="5">
        <f>15.62+6.08</f>
        <v>21.7</v>
      </c>
      <c r="U54" s="5">
        <f>10.66+19.48+9.08</f>
        <v>39.22</v>
      </c>
      <c r="V54" s="5"/>
      <c r="W54" s="5">
        <f t="shared" si="0"/>
        <v>422.98</v>
      </c>
    </row>
    <row r="55" spans="1:23">
      <c r="A55" s="3">
        <v>1030</v>
      </c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>
        <v>2.44</v>
      </c>
      <c r="N55" s="5">
        <f>16.7+12.92</f>
        <v>29.62</v>
      </c>
      <c r="O55" s="5">
        <v>19.34</v>
      </c>
      <c r="P55" s="5">
        <f>14.08+18.1+23.08+20.58</f>
        <v>75.84</v>
      </c>
      <c r="Q55" s="5">
        <f>12.5+22.68</f>
        <v>35.18</v>
      </c>
      <c r="R55" s="5"/>
      <c r="S55" s="5">
        <v>10.3</v>
      </c>
      <c r="T55" s="5">
        <f>14.16+4.58</f>
        <v>18.74</v>
      </c>
      <c r="U55" s="5">
        <f>14.58+10.2</f>
        <v>24.78</v>
      </c>
      <c r="V55" s="5"/>
      <c r="W55" s="5">
        <f t="shared" si="0"/>
        <v>216.24</v>
      </c>
    </row>
    <row r="56" spans="1:23">
      <c r="A56" s="3">
        <v>260</v>
      </c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f>20.6+19.94+16.42+19+18.76+19.14</f>
        <v>113.86</v>
      </c>
      <c r="N56" s="5">
        <f>17.3+20.18+15.6+19.7+18.56+22.22+23.64+17.16+15.5</f>
        <v>169.86</v>
      </c>
      <c r="O56" s="5">
        <f>21+15.78+18.42+16.46+16.24+11.04+17.7+20.4+19.16+18.82</f>
        <v>175.02</v>
      </c>
      <c r="P56" s="5">
        <f>18.82+14.54+15.92+16.82+17.42+18.72+18.26+16.1+19.06+20+20.04+18.14+19.52+16.82</f>
        <v>250.18</v>
      </c>
      <c r="Q56" s="5">
        <f>17.1+14.24+17.78+16.74+18.32+23.72</f>
        <v>107.9</v>
      </c>
      <c r="R56" s="5"/>
      <c r="S56" s="5"/>
      <c r="T56" s="5">
        <f>14.04+18.7</f>
        <v>32.74</v>
      </c>
      <c r="U56" s="5">
        <f>20.6+17+17.98</f>
        <v>55.58</v>
      </c>
      <c r="V56" s="5"/>
      <c r="W56" s="5">
        <f t="shared" si="0"/>
        <v>905.14</v>
      </c>
    </row>
    <row r="57" spans="1:23">
      <c r="A57" s="3">
        <v>260</v>
      </c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>
        <f>17.62+19.36+16.98+22.48+21.44</f>
        <v>97.88</v>
      </c>
      <c r="N57" s="5">
        <f>22.34+17.3+14.84+16.92+21.68+19.44+17.84+7.66</f>
        <v>138.02</v>
      </c>
      <c r="O57" s="5">
        <f>19.34+20.74+21.14+18.26+17.4+23.1+20.12+14.48+16.97+18.28+9.02</f>
        <v>198.85</v>
      </c>
      <c r="P57" s="5">
        <f>16.4+19.66+18.72+17.96+20.42+23.66+19.78+14.32+14.24+16.9</f>
        <v>182.06</v>
      </c>
      <c r="Q57" s="5">
        <f>18.48+15.84+17.42+12.54+13.82</f>
        <v>78.1</v>
      </c>
      <c r="R57" s="5"/>
      <c r="S57" s="5">
        <f>25.8+24.78+18.94+20.46+17.44+17.16+21.68+17.68+18.98+17.46</f>
        <v>200.38</v>
      </c>
      <c r="T57" s="5">
        <f>19.94+17.48+12.64+19.6+1.88+23.66</f>
        <v>95.2</v>
      </c>
      <c r="U57" s="5">
        <f>25.06+18.4+9.02</f>
        <v>52.48</v>
      </c>
      <c r="V57" s="5"/>
      <c r="W57" s="5">
        <f t="shared" si="0"/>
        <v>1042.97</v>
      </c>
    </row>
    <row r="58" spans="1:23">
      <c r="A58" s="3">
        <v>672</v>
      </c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f>14.52+18.1+15.2+15.46</f>
        <v>63.28</v>
      </c>
      <c r="N58" s="5">
        <f>17.6+20.84+19.88+17.12+13.5+15.62+16.62</f>
        <v>121.18</v>
      </c>
      <c r="O58" s="5">
        <f>17.44+20.4+16.32+23.22+21.18+18.04+17.56+10.96+11.16</f>
        <v>156.28</v>
      </c>
      <c r="P58" s="5">
        <f>17.9+16.68+21.94+24.22+26.7+18.84+18.12+19.68+16.66+22.44+15.04+12.84+15.5+11.42</f>
        <v>257.98</v>
      </c>
      <c r="Q58" s="5">
        <f>16.14+14.98+22.44+23.96+14.96+17.1+21.98+12.98</f>
        <v>144.54</v>
      </c>
      <c r="R58" s="5"/>
      <c r="S58" s="5"/>
      <c r="T58" s="5">
        <f>18.32+20.96</f>
        <v>39.28</v>
      </c>
      <c r="U58" s="5">
        <f>17.06+16.5+19.36+21.6</f>
        <v>74.52</v>
      </c>
      <c r="V58" s="5"/>
      <c r="W58" s="5">
        <f t="shared" si="0"/>
        <v>857.06</v>
      </c>
    </row>
    <row r="59" spans="1:23">
      <c r="A59" s="3">
        <v>672</v>
      </c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>
        <f>11.74+25.8+16.58</f>
        <v>54.12</v>
      </c>
      <c r="N59" s="5">
        <f>19.14+20.4+13.18</f>
        <v>52.72</v>
      </c>
      <c r="O59" s="5">
        <f>15.24+10.2</f>
        <v>25.44</v>
      </c>
      <c r="P59" s="5">
        <f>15.58+15.62+1.1</f>
        <v>32.3</v>
      </c>
      <c r="Q59" s="5">
        <f>11.4+9.52</f>
        <v>20.92</v>
      </c>
      <c r="R59" s="5"/>
      <c r="S59" s="5">
        <f>13.2+15.24+28.3</f>
        <v>56.74</v>
      </c>
      <c r="T59" s="5">
        <v>12.08</v>
      </c>
      <c r="U59" s="5">
        <f>30.58+1.34</f>
        <v>31.92</v>
      </c>
      <c r="V59" s="5"/>
      <c r="W59" s="5">
        <f t="shared" si="0"/>
        <v>286.24</v>
      </c>
    </row>
    <row r="60" spans="1:23">
      <c r="A60" s="3">
        <v>1071</v>
      </c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>
        <f>4.7+2.06</f>
        <v>6.76</v>
      </c>
      <c r="N60" s="5"/>
      <c r="O60" s="5"/>
      <c r="P60" s="5">
        <v>1.18</v>
      </c>
      <c r="Q60" s="5">
        <v>1.82</v>
      </c>
      <c r="R60" s="5"/>
      <c r="S60" s="5"/>
      <c r="T60" s="5">
        <v>3.52</v>
      </c>
      <c r="U60" s="5"/>
      <c r="V60" s="5"/>
      <c r="W60" s="5">
        <f t="shared" si="0"/>
        <v>13.28</v>
      </c>
    </row>
    <row r="61" spans="1:23">
      <c r="A61" s="3">
        <v>999</v>
      </c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>
        <f>9.72+2.38</f>
        <v>12.1</v>
      </c>
      <c r="N61" s="5">
        <f>13.16+7.72</f>
        <v>20.88</v>
      </c>
      <c r="O61" s="5">
        <f>20.54+10.32</f>
        <v>30.86</v>
      </c>
      <c r="P61" s="5">
        <f>21.96+24.52</f>
        <v>46.48</v>
      </c>
      <c r="Q61" s="5">
        <v>15.1</v>
      </c>
      <c r="R61" s="5"/>
      <c r="S61" s="5">
        <v>16.4</v>
      </c>
      <c r="T61" s="5">
        <v>8.74</v>
      </c>
      <c r="U61" s="5">
        <v>8.84</v>
      </c>
      <c r="V61" s="5"/>
      <c r="W61" s="5">
        <f t="shared" si="0"/>
        <v>159.4</v>
      </c>
    </row>
    <row r="62" spans="1:23">
      <c r="A62" s="3">
        <v>1006</v>
      </c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>
        <v>16.94</v>
      </c>
      <c r="N62" s="5">
        <f>12.64+10.82</f>
        <v>23.46</v>
      </c>
      <c r="O62" s="5">
        <f>11.62+14.32</f>
        <v>25.94</v>
      </c>
      <c r="P62" s="5">
        <v>22.76</v>
      </c>
      <c r="Q62" s="5">
        <v>6.78</v>
      </c>
      <c r="R62" s="5"/>
      <c r="S62" s="5">
        <v>5.12</v>
      </c>
      <c r="T62" s="5">
        <v>2.5</v>
      </c>
      <c r="U62" s="5">
        <v>2.76</v>
      </c>
      <c r="V62" s="5"/>
      <c r="W62" s="5">
        <f t="shared" si="0"/>
        <v>106.26</v>
      </c>
    </row>
    <row r="63" spans="1:23">
      <c r="A63" s="3">
        <v>1005</v>
      </c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>
        <v>2.04</v>
      </c>
      <c r="N63" s="5">
        <v>14.62</v>
      </c>
      <c r="O63" s="5">
        <v>7.24</v>
      </c>
      <c r="P63" s="5">
        <v>15.2</v>
      </c>
      <c r="Q63" s="5">
        <v>2.22</v>
      </c>
      <c r="R63" s="5"/>
      <c r="S63" s="5">
        <v>2.54</v>
      </c>
      <c r="T63" s="5"/>
      <c r="U63" s="5">
        <v>4.66</v>
      </c>
      <c r="V63" s="5"/>
      <c r="W63" s="5">
        <f t="shared" si="0"/>
        <v>48.52</v>
      </c>
    </row>
    <row r="64" spans="1:23">
      <c r="A64" s="3">
        <v>1005</v>
      </c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>
        <f>11.7+14.68+6.42+21.42+12.14+17.54+19.94+4.9</f>
        <v>108.74</v>
      </c>
      <c r="N64" s="5">
        <f>13.96+11.82+8.68+15.38+23.22+17.9+19.14+22.54+5.66</f>
        <v>138.3</v>
      </c>
      <c r="O64" s="5">
        <f>12.88+9.66+13.16+15.84+17+14.4+16.92+14.08+8.48</f>
        <v>122.42</v>
      </c>
      <c r="P64" s="5">
        <f>14.04+7.82+13.62+24.52+14.12+19.54+9.4+1.2</f>
        <v>104.26</v>
      </c>
      <c r="Q64" s="5">
        <f>10.3+19.5+16.58+3.22</f>
        <v>49.6</v>
      </c>
      <c r="R64" s="5"/>
      <c r="S64" s="5">
        <f>21.16+21.12+19.44+8.3</f>
        <v>70.02</v>
      </c>
      <c r="T64" s="5">
        <f>19.66+14.7</f>
        <v>34.36</v>
      </c>
      <c r="U64" s="5">
        <f>14.44+13.5</f>
        <v>27.94</v>
      </c>
      <c r="V64" s="5"/>
      <c r="W64" s="5">
        <f t="shared" si="0"/>
        <v>655.64</v>
      </c>
    </row>
    <row r="65" spans="1:23">
      <c r="A65" s="3">
        <v>477</v>
      </c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>
        <f>16.06+19.14+10.52+26.22</f>
        <v>71.94</v>
      </c>
      <c r="N65" s="5">
        <f>19.44+25.48+22.26+18.04+19.16+18.48+21.28</f>
        <v>144.14</v>
      </c>
      <c r="O65" s="5">
        <f>21.56+20.26+20.76+19.36+19.14+23.24+17.16+12.46</f>
        <v>153.94</v>
      </c>
      <c r="P65" s="5">
        <f>20.98+22.2+22.6+20.88+20.16+17.78+15.46+18.15+17.1+24.96+12.7</f>
        <v>212.97</v>
      </c>
      <c r="Q65" s="5">
        <f>19.02+17.92+16.8+16.88+21.72+19.88+8.22</f>
        <v>120.44</v>
      </c>
      <c r="R65" s="5"/>
      <c r="S65" s="5">
        <v>24.64</v>
      </c>
      <c r="T65" s="5">
        <v>24.5</v>
      </c>
      <c r="U65" s="5">
        <f>18.7+16.6</f>
        <v>35.3</v>
      </c>
      <c r="V65" s="5"/>
      <c r="W65" s="5">
        <f t="shared" si="0"/>
        <v>787.87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2262.355</v>
      </c>
      <c r="N349" s="6">
        <f t="shared" si="6"/>
        <v>2803.97</v>
      </c>
      <c r="O349" s="6">
        <f t="shared" si="6"/>
        <v>3436.03</v>
      </c>
      <c r="P349" s="6">
        <f t="shared" si="6"/>
        <v>4091.57</v>
      </c>
      <c r="Q349" s="6">
        <f t="shared" si="6"/>
        <v>2109.46</v>
      </c>
      <c r="R349" s="6">
        <f t="shared" si="6"/>
        <v>0</v>
      </c>
      <c r="S349" s="6">
        <f t="shared" si="6"/>
        <v>1297.31</v>
      </c>
      <c r="T349" s="6">
        <f t="shared" si="6"/>
        <v>732.58</v>
      </c>
      <c r="U349" s="6">
        <f t="shared" si="6"/>
        <v>1105.63</v>
      </c>
      <c r="V349" s="6">
        <f t="shared" si="6"/>
        <v>0</v>
      </c>
      <c r="W349" s="6">
        <f>SUM(W2:W348)</f>
        <v>17838.905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260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f>21+11.95+15.05+15.3+10.6</f>
        <v>73.9</v>
      </c>
      <c r="N2" s="5">
        <f>18.8+21.65+22.6+24.85</f>
        <v>87.9</v>
      </c>
      <c r="O2" s="5">
        <f>16.2+19.85+24.35</f>
        <v>60.4</v>
      </c>
      <c r="P2" s="5">
        <f>21.95+17.25+27.1</f>
        <v>66.3</v>
      </c>
      <c r="Q2" s="5">
        <f>22.15+16.6</f>
        <v>38.75</v>
      </c>
      <c r="R2" s="5"/>
      <c r="S2" s="5">
        <f>21.05+22.1+18.15+19.05+14.7+10.9</f>
        <v>105.95</v>
      </c>
      <c r="T2" s="5">
        <f>17.55+13.05</f>
        <v>30.6</v>
      </c>
      <c r="U2" s="5">
        <f>14.6+15.6</f>
        <v>30.2</v>
      </c>
      <c r="V2" s="5"/>
      <c r="W2" s="5">
        <f t="shared" ref="W2:W67" si="0">SUM(C2:V2)</f>
        <v>494</v>
      </c>
    </row>
    <row r="3" spans="1:23">
      <c r="A3" s="3">
        <v>108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f>20.9+5</f>
        <v>25.9</v>
      </c>
      <c r="N3" s="5">
        <v>12.35</v>
      </c>
      <c r="O3" s="5">
        <v>11.55</v>
      </c>
      <c r="P3" s="5">
        <f>5.65+1</f>
        <v>6.65</v>
      </c>
      <c r="Q3" s="5"/>
      <c r="R3" s="5"/>
      <c r="S3" s="5">
        <v>8.05</v>
      </c>
      <c r="T3" s="5"/>
      <c r="U3" s="5"/>
      <c r="V3" s="5"/>
      <c r="W3" s="5">
        <f t="shared" si="0"/>
        <v>64.5</v>
      </c>
    </row>
    <row r="4" spans="1:23">
      <c r="A4" s="3">
        <v>2441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2.3</v>
      </c>
      <c r="N4" s="5">
        <v>10.3</v>
      </c>
      <c r="O4" s="5">
        <v>10.05</v>
      </c>
      <c r="P4" s="5">
        <v>1.1</v>
      </c>
      <c r="Q4" s="5">
        <v>1.9</v>
      </c>
      <c r="R4" s="5"/>
      <c r="S4" s="5">
        <v>4.2</v>
      </c>
      <c r="T4" s="5">
        <v>1.35</v>
      </c>
      <c r="U4" s="5"/>
      <c r="V4" s="5"/>
      <c r="W4" s="5">
        <f t="shared" si="0"/>
        <v>31.2</v>
      </c>
    </row>
    <row r="5" spans="1:23">
      <c r="A5" s="3">
        <v>560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9.95</v>
      </c>
      <c r="N5" s="5">
        <v>8.45</v>
      </c>
      <c r="O5" s="5">
        <v>7.3</v>
      </c>
      <c r="P5" s="5">
        <v>3.2</v>
      </c>
      <c r="Q5" s="5">
        <v>0.85</v>
      </c>
      <c r="R5" s="5"/>
      <c r="S5" s="5">
        <v>8.7</v>
      </c>
      <c r="T5" s="5">
        <v>3.05</v>
      </c>
      <c r="U5" s="5"/>
      <c r="V5" s="5"/>
      <c r="W5" s="5">
        <f t="shared" si="0"/>
        <v>41.5</v>
      </c>
    </row>
    <row r="6" spans="1:23">
      <c r="A6" s="3">
        <v>1030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>
        <v>2.9</v>
      </c>
      <c r="R6" s="5"/>
      <c r="S6" s="5"/>
      <c r="T6" s="5">
        <v>1.75</v>
      </c>
      <c r="U6" s="5">
        <v>6.3</v>
      </c>
      <c r="V6" s="5"/>
      <c r="W6" s="5">
        <f t="shared" si="0"/>
        <v>10.95</v>
      </c>
    </row>
    <row r="7" spans="1:23">
      <c r="A7" s="3">
        <v>309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f>15.95+20.9+21.35+24.25+20.5</f>
        <v>102.95</v>
      </c>
      <c r="N7" s="5">
        <f>23.2+18.25+24.5+22.75+21.8+16.9+16.1+12.2+17.2+19.4</f>
        <v>192.3</v>
      </c>
      <c r="O7" s="5">
        <f>17.2+21.05+19.15+20.75+19.5+16.55+17.35+13.45+19</f>
        <v>164</v>
      </c>
      <c r="P7" s="5">
        <f>17.35+16.7+23.55+20.25+18.35+21.85+21+8.2+21.65+18.85</f>
        <v>187.75</v>
      </c>
      <c r="Q7" s="5">
        <f>19.05+10.8</f>
        <v>29.85</v>
      </c>
      <c r="R7" s="5"/>
      <c r="S7" s="5"/>
      <c r="T7" s="5">
        <f>22.7+19.1+16+15+22.25+24.15</f>
        <v>119.2</v>
      </c>
      <c r="U7" s="5">
        <f>18.85+12.05+15.5+21.75+16.75</f>
        <v>84.9</v>
      </c>
      <c r="V7" s="5"/>
      <c r="W7" s="5">
        <f t="shared" si="0"/>
        <v>880.95</v>
      </c>
    </row>
    <row r="8" spans="1:23">
      <c r="A8" s="3">
        <v>309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f>17.25+16.35+18.2+21.8+17.15+14.1+22.35</f>
        <v>127.2</v>
      </c>
      <c r="N8" s="5">
        <f>15.7+13.6+18.4+17.4+19.1+18.8+21.7+19.75+5.25</f>
        <v>149.7</v>
      </c>
      <c r="O8" s="5">
        <f>18.75+14.6+17.5+17.4+16.35+22.5</f>
        <v>107.1</v>
      </c>
      <c r="P8" s="5">
        <f>17.5+29.85+30.1</f>
        <v>77.45</v>
      </c>
      <c r="Q8" s="5">
        <f>25.2+11.6</f>
        <v>36.8</v>
      </c>
      <c r="R8" s="5"/>
      <c r="S8" s="5">
        <f>22.9+21.35+19.55+21.85+20.65+11.65</f>
        <v>117.95</v>
      </c>
      <c r="T8" s="5">
        <f>20.15+20.8+17.7+17+22.5+19.45</f>
        <v>117.6</v>
      </c>
      <c r="U8" s="5">
        <f>19.45+19.7+18.25</f>
        <v>57.4</v>
      </c>
      <c r="V8" s="5"/>
      <c r="W8" s="5">
        <f t="shared" si="0"/>
        <v>791.2</v>
      </c>
    </row>
    <row r="9" spans="1:23">
      <c r="A9" s="3">
        <v>2161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18.15</v>
      </c>
      <c r="N9" s="5">
        <f>22.9+9</f>
        <v>31.9</v>
      </c>
      <c r="O9" s="5">
        <f>21.75+24.1+17.35+4.25</f>
        <v>67.45</v>
      </c>
      <c r="P9" s="5">
        <f>26.8+20.05+21.9+27.3+23.5</f>
        <v>119.55</v>
      </c>
      <c r="Q9" s="5">
        <f>23.55+24.38+25.95+27.95+15.35</f>
        <v>117.18</v>
      </c>
      <c r="R9" s="5"/>
      <c r="S9" s="5">
        <v>8.3</v>
      </c>
      <c r="T9" s="5">
        <f>8.6+22.3</f>
        <v>30.9</v>
      </c>
      <c r="U9" s="5">
        <f>12.15+20.05+18.1+21.9+12.75</f>
        <v>84.95</v>
      </c>
      <c r="V9" s="5"/>
      <c r="W9" s="5">
        <f t="shared" si="0"/>
        <v>478.38</v>
      </c>
    </row>
    <row r="10" spans="1:23">
      <c r="A10" s="3">
        <v>477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20.8</v>
      </c>
      <c r="N10" s="5">
        <f>20.5+5.85</f>
        <v>26.35</v>
      </c>
      <c r="O10" s="5">
        <f>19.75+12.65+1.3</f>
        <v>33.7</v>
      </c>
      <c r="P10" s="5">
        <f>23.5+11.3+8.9</f>
        <v>43.7</v>
      </c>
      <c r="Q10" s="5">
        <f>14.8+7.3</f>
        <v>22.1</v>
      </c>
      <c r="R10" s="5"/>
      <c r="S10" s="5">
        <v>22.65</v>
      </c>
      <c r="T10" s="5">
        <v>8.4</v>
      </c>
      <c r="U10" s="5">
        <v>13.25</v>
      </c>
      <c r="V10" s="5"/>
      <c r="W10" s="5">
        <f t="shared" si="0"/>
        <v>190.95</v>
      </c>
    </row>
    <row r="11" spans="1:23">
      <c r="A11" s="3">
        <v>1026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>
        <v>5.36</v>
      </c>
      <c r="O11" s="5">
        <v>1.34</v>
      </c>
      <c r="P11" s="5"/>
      <c r="Q11" s="5"/>
      <c r="R11" s="5"/>
      <c r="S11" s="5"/>
      <c r="T11" s="5"/>
      <c r="U11" s="5"/>
      <c r="V11" s="5"/>
      <c r="W11" s="5">
        <f t="shared" si="0"/>
        <v>6.7</v>
      </c>
    </row>
    <row r="12" spans="1:23">
      <c r="A12" s="3">
        <v>1014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2.5</v>
      </c>
      <c r="N12" s="5">
        <v>3.16</v>
      </c>
      <c r="O12" s="5">
        <v>1.28</v>
      </c>
      <c r="P12" s="5"/>
      <c r="Q12" s="5"/>
      <c r="R12" s="5"/>
      <c r="S12" s="5">
        <v>15.32</v>
      </c>
      <c r="T12" s="5"/>
      <c r="U12" s="5"/>
      <c r="V12" s="5"/>
      <c r="W12" s="5">
        <f t="shared" si="0"/>
        <v>22.26</v>
      </c>
    </row>
    <row r="13" spans="1:23">
      <c r="A13" s="3">
        <v>206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9.56</v>
      </c>
      <c r="N13" s="5">
        <v>16.52</v>
      </c>
      <c r="O13" s="5">
        <v>2.82</v>
      </c>
      <c r="P13" s="5">
        <v>1.78</v>
      </c>
      <c r="Q13" s="5">
        <v>0.9</v>
      </c>
      <c r="R13" s="5"/>
      <c r="S13" s="5"/>
      <c r="T13" s="5"/>
      <c r="U13" s="5"/>
      <c r="V13" s="5"/>
      <c r="W13" s="5">
        <f t="shared" si="0"/>
        <v>31.58</v>
      </c>
    </row>
    <row r="14" spans="1:23">
      <c r="A14" s="3">
        <v>996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v>9.9</v>
      </c>
      <c r="N14" s="5">
        <v>1.7</v>
      </c>
      <c r="O14" s="5"/>
      <c r="P14" s="5">
        <v>1.14</v>
      </c>
      <c r="Q14" s="5"/>
      <c r="R14" s="5"/>
      <c r="S14" s="5"/>
      <c r="T14" s="5"/>
      <c r="U14" s="5"/>
      <c r="V14" s="5"/>
      <c r="W14" s="5">
        <f t="shared" si="0"/>
        <v>12.74</v>
      </c>
    </row>
    <row r="15" spans="1:23">
      <c r="A15" s="3">
        <v>404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f>14.66+12.56</f>
        <v>27.22</v>
      </c>
      <c r="N15" s="5">
        <v>1.88</v>
      </c>
      <c r="O15" s="5"/>
      <c r="P15" s="5"/>
      <c r="Q15" s="5"/>
      <c r="R15" s="5"/>
      <c r="S15" s="5">
        <v>10.36</v>
      </c>
      <c r="T15" s="5"/>
      <c r="U15" s="5"/>
      <c r="V15" s="5"/>
      <c r="W15" s="5">
        <f t="shared" si="0"/>
        <v>39.46</v>
      </c>
    </row>
    <row r="16" spans="1:23">
      <c r="A16" s="3">
        <v>2198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14.14</v>
      </c>
      <c r="N16" s="5">
        <v>15.54</v>
      </c>
      <c r="O16" s="5">
        <v>11.42</v>
      </c>
      <c r="P16" s="5">
        <v>17.68</v>
      </c>
      <c r="Q16" s="5">
        <v>1.66</v>
      </c>
      <c r="R16" s="5"/>
      <c r="S16" s="5"/>
      <c r="T16" s="5"/>
      <c r="U16" s="5"/>
      <c r="V16" s="5"/>
      <c r="W16" s="5">
        <f t="shared" si="0"/>
        <v>60.44</v>
      </c>
    </row>
    <row r="17" spans="1:23">
      <c r="A17" s="3">
        <v>2415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f>16.98+7.92</f>
        <v>24.9</v>
      </c>
      <c r="N17" s="5">
        <f>18.3+7.68</f>
        <v>25.98</v>
      </c>
      <c r="O17" s="5">
        <v>8.96</v>
      </c>
      <c r="P17" s="5">
        <f>19.56+10.8+0.9</f>
        <v>31.26</v>
      </c>
      <c r="Q17" s="5">
        <v>10</v>
      </c>
      <c r="R17" s="5"/>
      <c r="S17" s="5">
        <v>22.26</v>
      </c>
      <c r="T17" s="5">
        <v>1.76</v>
      </c>
      <c r="U17" s="5">
        <v>5.4</v>
      </c>
      <c r="V17" s="5"/>
      <c r="W17" s="5">
        <f t="shared" si="0"/>
        <v>130.52</v>
      </c>
    </row>
    <row r="18" spans="1:23">
      <c r="A18" s="3">
        <v>1011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7.8</v>
      </c>
      <c r="N18" s="5">
        <v>10.3</v>
      </c>
      <c r="O18" s="5">
        <v>14.25</v>
      </c>
      <c r="P18" s="5">
        <f>21.5+3.8</f>
        <v>25.3</v>
      </c>
      <c r="Q18" s="5">
        <v>1.35</v>
      </c>
      <c r="R18" s="5"/>
      <c r="S18" s="5">
        <v>3.45</v>
      </c>
      <c r="T18" s="5"/>
      <c r="U18" s="5">
        <v>0.6</v>
      </c>
      <c r="V18" s="5"/>
      <c r="W18" s="5">
        <f t="shared" si="0"/>
        <v>63.05</v>
      </c>
    </row>
    <row r="19" spans="1:23">
      <c r="A19" s="3">
        <v>207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v>13.7</v>
      </c>
      <c r="N19" s="5">
        <f>13.55+21.5</f>
        <v>35.05</v>
      </c>
      <c r="O19" s="5">
        <v>14.6</v>
      </c>
      <c r="P19" s="5">
        <f>20.85+14.4+5.9</f>
        <v>41.15</v>
      </c>
      <c r="Q19" s="5">
        <v>15.85</v>
      </c>
      <c r="R19" s="5"/>
      <c r="S19" s="5">
        <v>3.3</v>
      </c>
      <c r="T19" s="5"/>
      <c r="U19" s="5">
        <v>3.55</v>
      </c>
      <c r="V19" s="5"/>
      <c r="W19" s="5">
        <f t="shared" si="0"/>
        <v>127.2</v>
      </c>
    </row>
    <row r="20" spans="1:23">
      <c r="A20" s="3">
        <v>1795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v>4.05</v>
      </c>
      <c r="N20" s="5">
        <v>1.85</v>
      </c>
      <c r="O20" s="5"/>
      <c r="P20" s="5">
        <v>3.7</v>
      </c>
      <c r="Q20" s="5">
        <v>11.2</v>
      </c>
      <c r="R20" s="5"/>
      <c r="S20" s="5">
        <v>16.25</v>
      </c>
      <c r="T20" s="5">
        <v>1.2</v>
      </c>
      <c r="U20" s="5">
        <v>7.85</v>
      </c>
      <c r="V20" s="5"/>
      <c r="W20" s="5">
        <f t="shared" si="0"/>
        <v>46.1</v>
      </c>
    </row>
    <row r="21" spans="1:23">
      <c r="A21" s="3">
        <v>1017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v>19.2</v>
      </c>
      <c r="N21" s="5">
        <f>16.25+1.95</f>
        <v>18.2</v>
      </c>
      <c r="O21" s="5">
        <v>12.1</v>
      </c>
      <c r="P21" s="5">
        <v>8.05</v>
      </c>
      <c r="Q21" s="5">
        <v>4.3</v>
      </c>
      <c r="R21" s="5"/>
      <c r="S21" s="5">
        <v>9.9</v>
      </c>
      <c r="T21" s="5"/>
      <c r="U21" s="5">
        <v>2.7</v>
      </c>
      <c r="V21" s="5"/>
      <c r="W21" s="5">
        <f t="shared" si="0"/>
        <v>74.45</v>
      </c>
    </row>
    <row r="22" spans="1:23">
      <c r="A22" s="3">
        <v>1651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f>19.35+15.6</f>
        <v>34.95</v>
      </c>
      <c r="N22" s="5">
        <f>17.8+3.85</f>
        <v>21.65</v>
      </c>
      <c r="O22" s="5">
        <v>15.4</v>
      </c>
      <c r="P22" s="5">
        <v>6.7</v>
      </c>
      <c r="Q22" s="5"/>
      <c r="R22" s="5"/>
      <c r="S22" s="5">
        <v>3.1</v>
      </c>
      <c r="T22" s="5"/>
      <c r="U22" s="5"/>
      <c r="V22" s="5"/>
      <c r="W22" s="5">
        <f t="shared" si="0"/>
        <v>81.8</v>
      </c>
    </row>
    <row r="23" spans="1:23">
      <c r="A23" s="3">
        <v>1745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v>2.05</v>
      </c>
      <c r="N23" s="5"/>
      <c r="O23" s="5">
        <v>11.25</v>
      </c>
      <c r="P23" s="5">
        <v>25</v>
      </c>
      <c r="Q23" s="5">
        <v>15.55</v>
      </c>
      <c r="R23" s="5"/>
      <c r="S23" s="5"/>
      <c r="T23" s="5">
        <v>1.55</v>
      </c>
      <c r="U23" s="5">
        <v>5.05</v>
      </c>
      <c r="V23" s="7"/>
      <c r="W23" s="5">
        <f t="shared" si="0"/>
        <v>60.45</v>
      </c>
    </row>
    <row r="24" spans="1:23">
      <c r="A24" s="3">
        <v>2167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>
        <f>19.9+15.95+15.8+25.75+24.05+20.45</f>
        <v>121.9</v>
      </c>
      <c r="N24" s="5">
        <f>15.3+11.35+17.7+14.1+22.55+23.95</f>
        <v>104.95</v>
      </c>
      <c r="O24" s="5">
        <f>20.4+15.1+18.55+16.1+20+22.75+11.05+15.05+14.7+15.25+16.75+17.05</f>
        <v>202.75</v>
      </c>
      <c r="P24" s="5">
        <f>18.9+17.1+14.05+19.5+21+21.4+16.25+23.95+12.75+25.75+15.8+15.95+19.9</f>
        <v>242.3</v>
      </c>
      <c r="Q24" s="5">
        <f>19.5+19.65+13.95+10.6</f>
        <v>63.7</v>
      </c>
      <c r="R24" s="5"/>
      <c r="S24" s="5">
        <f>21.65+14.9</f>
        <v>36.55</v>
      </c>
      <c r="T24" s="5">
        <v>14.55</v>
      </c>
      <c r="U24" s="5">
        <v>14.95</v>
      </c>
      <c r="V24" s="5"/>
      <c r="W24" s="5">
        <f t="shared" si="0"/>
        <v>801.65</v>
      </c>
    </row>
    <row r="25" spans="1:23">
      <c r="A25" s="3">
        <v>2167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>
        <f>20.2+18.45</f>
        <v>38.65</v>
      </c>
      <c r="N25" s="5">
        <f>14.45+14.5+19.4+5.5</f>
        <v>53.85</v>
      </c>
      <c r="O25" s="5">
        <f>14.75+10.15</f>
        <v>24.9</v>
      </c>
      <c r="P25" s="5">
        <f>18.05+17.1+13.25</f>
        <v>48.4</v>
      </c>
      <c r="Q25" s="5">
        <v>22.9</v>
      </c>
      <c r="R25" s="5"/>
      <c r="S25" s="5">
        <f>5.2+23.8</f>
        <v>29</v>
      </c>
      <c r="T25" s="5">
        <v>3.9</v>
      </c>
      <c r="U25" s="5">
        <v>14.3</v>
      </c>
      <c r="V25" s="5"/>
      <c r="W25" s="5">
        <f t="shared" si="0"/>
        <v>235.9</v>
      </c>
    </row>
    <row r="26" spans="1:23">
      <c r="A26" s="3">
        <v>309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>
        <f>21.35+28.7+28.55+23.35+17.5+24.65+28.05+18.7</f>
        <v>190.85</v>
      </c>
      <c r="N26" s="5">
        <f>18.6+23.6+17.1+21.3+19.85+15.75+23.1+23.85+22.6</f>
        <v>185.75</v>
      </c>
      <c r="O26" s="5">
        <f>20.35+16.35+20.8+17.55+23.15+17.35+13.25+23.9</f>
        <v>152.7</v>
      </c>
      <c r="P26" s="5">
        <f>19.3+24.45+22.4+23.25+23.4+22.2</f>
        <v>135</v>
      </c>
      <c r="Q26" s="5">
        <f>28.15+20.7</f>
        <v>48.85</v>
      </c>
      <c r="R26" s="5"/>
      <c r="S26" s="5"/>
      <c r="T26" s="5"/>
      <c r="U26" s="5"/>
      <c r="V26" s="5"/>
      <c r="W26" s="5">
        <f t="shared" si="0"/>
        <v>713.15</v>
      </c>
    </row>
    <row r="27" spans="1:23">
      <c r="A27" s="3">
        <v>309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f>17.45+21.3+20.7+21.75+17.8+21.95+16.6+19.5+17.6+15.1</f>
        <v>189.75</v>
      </c>
      <c r="N27" s="5">
        <f>15.4+28.35+21.95+15.8+19.5+19.45+23.6</f>
        <v>144.05</v>
      </c>
      <c r="O27" s="5">
        <f>22.45+25.35+22.9+19.35+20.4+20.15+19.05+13.45</f>
        <v>163.1</v>
      </c>
      <c r="P27" s="5">
        <f>22.45+18.2+25.6+18+22.45+21.65+22.45+23.7+13.65+22.05</f>
        <v>210.2</v>
      </c>
      <c r="Q27" s="5">
        <f>24.15+18.45+16.6+16.55+21.3+7.75</f>
        <v>104.8</v>
      </c>
      <c r="R27" s="5"/>
      <c r="S27" s="5">
        <f>21.85+20.45+15.35</f>
        <v>57.65</v>
      </c>
      <c r="T27" s="5">
        <f>23+19.25+27.25</f>
        <v>69.5</v>
      </c>
      <c r="U27" s="5">
        <f>21.9+26.35+27.45</f>
        <v>75.7</v>
      </c>
      <c r="V27" s="5"/>
      <c r="W27" s="5">
        <f t="shared" si="0"/>
        <v>1014.75</v>
      </c>
    </row>
    <row r="28" spans="1:23">
      <c r="A28" s="3">
        <v>211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v>11.05</v>
      </c>
      <c r="N28" s="5">
        <v>5.05</v>
      </c>
      <c r="O28" s="5">
        <v>6.7</v>
      </c>
      <c r="P28" s="5">
        <v>2.25</v>
      </c>
      <c r="Q28" s="5">
        <v>0.7</v>
      </c>
      <c r="R28" s="5"/>
      <c r="S28" s="5"/>
      <c r="T28" s="5"/>
      <c r="U28" s="5"/>
      <c r="V28" s="5"/>
      <c r="W28" s="5">
        <f t="shared" si="0"/>
        <v>25.75</v>
      </c>
    </row>
    <row r="29" spans="1:23">
      <c r="A29" s="3">
        <v>1009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f>19.8+18.5+12.6</f>
        <v>50.9</v>
      </c>
      <c r="N29" s="5"/>
      <c r="O29" s="5">
        <v>7.2</v>
      </c>
      <c r="P29" s="5">
        <v>12.8</v>
      </c>
      <c r="Q29" s="5">
        <v>3.5</v>
      </c>
      <c r="R29" s="5"/>
      <c r="S29" s="5">
        <v>21.1</v>
      </c>
      <c r="T29" s="5">
        <v>1.15</v>
      </c>
      <c r="U29" s="5"/>
      <c r="V29" s="5"/>
      <c r="W29" s="5">
        <f t="shared" si="0"/>
        <v>96.65</v>
      </c>
    </row>
    <row r="30" spans="1:23">
      <c r="A30" s="3">
        <v>208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v>21.15</v>
      </c>
      <c r="N30" s="5">
        <v>1.6</v>
      </c>
      <c r="O30" s="5"/>
      <c r="P30" s="5">
        <v>1.1</v>
      </c>
      <c r="Q30" s="5"/>
      <c r="R30" s="5"/>
      <c r="S30" s="5"/>
      <c r="T30" s="5"/>
      <c r="U30" s="5"/>
      <c r="V30" s="5"/>
      <c r="W30" s="5">
        <f t="shared" si="0"/>
        <v>23.85</v>
      </c>
    </row>
    <row r="31" spans="1:23">
      <c r="A31" s="3">
        <v>1016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v>6.35</v>
      </c>
      <c r="N31" s="5">
        <f>1.7+3.5</f>
        <v>5.2</v>
      </c>
      <c r="O31" s="5"/>
      <c r="P31" s="5">
        <v>6.156</v>
      </c>
      <c r="Q31" s="5">
        <v>1.65</v>
      </c>
      <c r="R31" s="5"/>
      <c r="S31" s="5"/>
      <c r="T31" s="5"/>
      <c r="U31" s="5"/>
      <c r="V31" s="5"/>
      <c r="W31" s="5">
        <f t="shared" si="0"/>
        <v>19.356</v>
      </c>
    </row>
    <row r="32" spans="1:23">
      <c r="A32" s="3">
        <v>478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f>18.8+27.75+21.75+21.9+17.5+20.8</f>
        <v>128.5</v>
      </c>
      <c r="N32" s="5">
        <f>16.3+21.05+21.4+14.8+22.6+1.75</f>
        <v>97.9</v>
      </c>
      <c r="O32" s="5">
        <f>18.15+23.55+15.45+19.85+19.55+19.5+14.05+4.55</f>
        <v>134.65</v>
      </c>
      <c r="P32" s="5">
        <f>17.55+19.8+21.35+21.95+17.3+16.85+21.9</f>
        <v>136.7</v>
      </c>
      <c r="Q32" s="5">
        <f>14.8+12.75+16.85+18.35+10.15</f>
        <v>72.9</v>
      </c>
      <c r="R32" s="5"/>
      <c r="S32" s="5">
        <v>25.25</v>
      </c>
      <c r="T32" s="5">
        <v>5.95</v>
      </c>
      <c r="U32" s="5">
        <v>24.3</v>
      </c>
      <c r="V32" s="5"/>
      <c r="W32" s="5">
        <f t="shared" si="0"/>
        <v>626.15</v>
      </c>
    </row>
    <row r="33" spans="1:23">
      <c r="A33" s="3">
        <v>333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23.15</v>
      </c>
      <c r="N33" s="5">
        <v>4.9</v>
      </c>
      <c r="O33" s="5">
        <v>2.9</v>
      </c>
      <c r="P33" s="5">
        <v>3.65</v>
      </c>
      <c r="Q33" s="5">
        <v>0.75</v>
      </c>
      <c r="R33" s="5"/>
      <c r="S33" s="5"/>
      <c r="T33" s="5"/>
      <c r="U33" s="5"/>
      <c r="V33" s="5"/>
      <c r="W33" s="5">
        <f t="shared" si="0"/>
        <v>35.35</v>
      </c>
    </row>
    <row r="34" spans="1:23">
      <c r="A34" s="3">
        <v>1012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v>17</v>
      </c>
      <c r="N34" s="5">
        <f>13.85+3.75</f>
        <v>17.6</v>
      </c>
      <c r="O34" s="5">
        <f>15.55+15.2</f>
        <v>30.75</v>
      </c>
      <c r="P34" s="5">
        <f>16.65+19.6+17.45+5.4</f>
        <v>59.1</v>
      </c>
      <c r="Q34" s="5">
        <f>14.3+15.75+4.2</f>
        <v>34.25</v>
      </c>
      <c r="R34" s="5"/>
      <c r="S34" s="5">
        <v>4.85</v>
      </c>
      <c r="T34" s="5">
        <v>15.2</v>
      </c>
      <c r="U34" s="5">
        <f>24.15+14</f>
        <v>38.15</v>
      </c>
      <c r="V34" s="5"/>
      <c r="W34" s="5">
        <f t="shared" si="0"/>
        <v>216.9</v>
      </c>
    </row>
    <row r="35" spans="1:23">
      <c r="A35" s="3">
        <v>672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f>17.15+22.95+15.8+21.5</f>
        <v>77.4</v>
      </c>
      <c r="N35" s="5">
        <f>18.95+18.35+25.15+19.7+20+18.5</f>
        <v>120.65</v>
      </c>
      <c r="O35" s="5">
        <f>19.9+17.4+20.9+20.6+21.4+25.25+20.5+19.6+14.75+19.7+27.1</f>
        <v>227.1</v>
      </c>
      <c r="P35" s="5">
        <f>21.9+19.8+16.65+20.3+19.65+23.65+21.1+21.6+20.9+21.45+16.7+19.3</f>
        <v>243</v>
      </c>
      <c r="Q35" s="5">
        <f>14.7+16.7+27.1+24.05+23.65+23.05+17.05</f>
        <v>146.3</v>
      </c>
      <c r="R35" s="5"/>
      <c r="S35" s="5"/>
      <c r="T35" s="5"/>
      <c r="U35" s="5">
        <f>26.5+23.7</f>
        <v>50.2</v>
      </c>
      <c r="V35" s="5"/>
      <c r="W35" s="5">
        <f t="shared" si="0"/>
        <v>864.65</v>
      </c>
    </row>
    <row r="36" spans="1:23">
      <c r="A36" s="3">
        <v>672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f>25.8+16.9+18.45+4.75</f>
        <v>65.9</v>
      </c>
      <c r="N36" s="5">
        <f>24.85+20.4+18.9</f>
        <v>64.15</v>
      </c>
      <c r="O36" s="5">
        <f>20.05+20.65+20.5+19.5+11.75</f>
        <v>92.45</v>
      </c>
      <c r="P36" s="5">
        <f>17.65+19.2+24.4+11+21.1</f>
        <v>93.35</v>
      </c>
      <c r="Q36" s="5">
        <f>20.3+25.55+22.4+5.3</f>
        <v>73.55</v>
      </c>
      <c r="R36" s="5"/>
      <c r="S36" s="5">
        <f>27.8+22.05+23.25+8.15</f>
        <v>81.25</v>
      </c>
      <c r="T36" s="5">
        <f>20+12.9</f>
        <v>32.9</v>
      </c>
      <c r="U36" s="5">
        <f>18.6+18.4</f>
        <v>37</v>
      </c>
      <c r="V36" s="5"/>
      <c r="W36" s="5">
        <f t="shared" si="0"/>
        <v>540.55</v>
      </c>
    </row>
    <row r="37" spans="1:23">
      <c r="A37" s="3">
        <v>1023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f>25.6+24.85</f>
        <v>50.45</v>
      </c>
      <c r="N37" s="5">
        <v>23.35</v>
      </c>
      <c r="O37" s="5">
        <v>8.05</v>
      </c>
      <c r="P37" s="5">
        <v>3.65</v>
      </c>
      <c r="Q37" s="5"/>
      <c r="R37" s="5"/>
      <c r="S37" s="5"/>
      <c r="T37" s="5"/>
      <c r="U37" s="5"/>
      <c r="V37" s="5"/>
      <c r="W37" s="5">
        <f t="shared" si="0"/>
        <v>85.5</v>
      </c>
    </row>
    <row r="38" spans="1:23">
      <c r="A38" s="3">
        <v>999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18.7</v>
      </c>
      <c r="N38" s="5">
        <v>13.3</v>
      </c>
      <c r="O38" s="5">
        <v>11.15</v>
      </c>
      <c r="P38" s="5">
        <f>16.9+11.4</f>
        <v>28.3</v>
      </c>
      <c r="Q38" s="5">
        <v>26.2</v>
      </c>
      <c r="R38" s="5"/>
      <c r="S38" s="5">
        <v>5.65</v>
      </c>
      <c r="T38" s="5">
        <v>5.15</v>
      </c>
      <c r="U38" s="5">
        <v>9</v>
      </c>
      <c r="V38" s="5"/>
      <c r="W38" s="5">
        <f t="shared" si="0"/>
        <v>117.45</v>
      </c>
    </row>
    <row r="39" spans="1:23">
      <c r="A39" s="3">
        <v>1006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10.3</v>
      </c>
      <c r="N39" s="5">
        <f>19.25+3.55</f>
        <v>22.8</v>
      </c>
      <c r="O39" s="5">
        <f>18.3+8.45</f>
        <v>26.75</v>
      </c>
      <c r="P39" s="5">
        <f>17.05+8.25</f>
        <v>25.3</v>
      </c>
      <c r="Q39" s="5">
        <v>7.2</v>
      </c>
      <c r="R39" s="5"/>
      <c r="S39" s="5"/>
      <c r="T39" s="5">
        <v>1.65</v>
      </c>
      <c r="U39" s="5">
        <v>1.55</v>
      </c>
      <c r="V39" s="5"/>
      <c r="W39" s="5">
        <f t="shared" si="0"/>
        <v>95.55</v>
      </c>
    </row>
    <row r="40" spans="1:23">
      <c r="A40" s="3">
        <v>1795</v>
      </c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v>2.4</v>
      </c>
      <c r="N40" s="5"/>
      <c r="O40" s="5"/>
      <c r="P40" s="5">
        <v>4.4</v>
      </c>
      <c r="Q40" s="5">
        <v>13.45</v>
      </c>
      <c r="R40" s="5"/>
      <c r="S40" s="5"/>
      <c r="T40" s="5"/>
      <c r="U40" s="5">
        <v>0.65</v>
      </c>
      <c r="V40" s="5"/>
      <c r="W40" s="5">
        <f t="shared" si="0"/>
        <v>20.9</v>
      </c>
    </row>
    <row r="41" spans="1:23">
      <c r="A41" s="3">
        <v>368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v>22.25</v>
      </c>
      <c r="N41" s="5">
        <f>16.5+11.5</f>
        <v>28</v>
      </c>
      <c r="O41" s="5">
        <f>15.15+10.25</f>
        <v>25.4</v>
      </c>
      <c r="P41" s="5">
        <f>17.15+14.85+20</f>
        <v>52</v>
      </c>
      <c r="Q41" s="5"/>
      <c r="R41" s="5"/>
      <c r="S41" s="5">
        <v>6.15</v>
      </c>
      <c r="T41" s="5">
        <v>1.6</v>
      </c>
      <c r="U41" s="5">
        <v>7.9</v>
      </c>
      <c r="V41" s="5"/>
      <c r="W41" s="5">
        <f t="shared" si="0"/>
        <v>143.3</v>
      </c>
    </row>
    <row r="42" spans="1:23">
      <c r="A42" s="3">
        <v>354</v>
      </c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f>19.9+17.2+18.2+12.15</f>
        <v>67.45</v>
      </c>
      <c r="N42" s="5">
        <f>21.1+20.1+18.35+10.7</f>
        <v>70.25</v>
      </c>
      <c r="O42" s="5">
        <f>19.35+16.3+17.1+23.65+5.3</f>
        <v>81.7</v>
      </c>
      <c r="P42" s="5">
        <f>21.05+18.3+23.6+18+18.6+18.5+17.75</f>
        <v>135.8</v>
      </c>
      <c r="Q42" s="5">
        <f>18.8+21.4+17.65+3.35</f>
        <v>61.2</v>
      </c>
      <c r="R42" s="5"/>
      <c r="S42" s="5">
        <f>18.35+29.4</f>
        <v>47.75</v>
      </c>
      <c r="T42" s="5">
        <v>10.1</v>
      </c>
      <c r="U42" s="5">
        <v>24.7</v>
      </c>
      <c r="V42" s="5"/>
      <c r="W42" s="5">
        <f t="shared" si="0"/>
        <v>498.95</v>
      </c>
    </row>
    <row r="43" spans="1:23">
      <c r="A43" s="3">
        <v>1792</v>
      </c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f>20.55+21.65</f>
        <v>42.2</v>
      </c>
      <c r="N43" s="5">
        <f>19.1+13.1</f>
        <v>32.2</v>
      </c>
      <c r="O43" s="5">
        <f>22.4+14.65</f>
        <v>37.05</v>
      </c>
      <c r="P43" s="5">
        <f>24.95+18.35+13+2.6</f>
        <v>58.9</v>
      </c>
      <c r="Q43" s="5"/>
      <c r="R43" s="5"/>
      <c r="S43" s="5">
        <v>6.75</v>
      </c>
      <c r="T43" s="5">
        <v>4.95</v>
      </c>
      <c r="U43" s="5"/>
      <c r="V43" s="5"/>
      <c r="W43" s="5">
        <f t="shared" si="0"/>
        <v>182.05</v>
      </c>
    </row>
    <row r="44" spans="1:23">
      <c r="A44" s="3">
        <v>1791</v>
      </c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v>6.6</v>
      </c>
      <c r="N44" s="5">
        <f>9.05+1.7</f>
        <v>10.75</v>
      </c>
      <c r="O44" s="5">
        <v>21.2</v>
      </c>
      <c r="P44" s="5">
        <f>19.7+17.05+6.25</f>
        <v>43</v>
      </c>
      <c r="Q44" s="5">
        <v>11.9</v>
      </c>
      <c r="R44" s="5"/>
      <c r="S44" s="5">
        <v>6.5</v>
      </c>
      <c r="T44" s="5">
        <v>1.35</v>
      </c>
      <c r="U44" s="5">
        <v>2.85</v>
      </c>
      <c r="V44" s="5"/>
      <c r="W44" s="5">
        <f t="shared" si="0"/>
        <v>104.15</v>
      </c>
    </row>
    <row r="45" spans="1:23">
      <c r="A45" s="3">
        <v>1005</v>
      </c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f>15.35+18.85</f>
        <v>34.2</v>
      </c>
      <c r="N45" s="5">
        <f>16.65+11.85</f>
        <v>28.5</v>
      </c>
      <c r="O45" s="5">
        <v>14.5</v>
      </c>
      <c r="P45" s="5">
        <v>4.8</v>
      </c>
      <c r="Q45" s="5"/>
      <c r="R45" s="5"/>
      <c r="S45" s="5">
        <v>24.05</v>
      </c>
      <c r="T45" s="5">
        <v>1.8</v>
      </c>
      <c r="U45" s="5"/>
      <c r="V45" s="5"/>
      <c r="W45" s="5">
        <f t="shared" si="0"/>
        <v>107.85</v>
      </c>
    </row>
    <row r="46" spans="1:23">
      <c r="A46" s="3">
        <v>2198</v>
      </c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>
        <v>5.6</v>
      </c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5.6</v>
      </c>
    </row>
    <row r="47" spans="1:23">
      <c r="A47" s="3">
        <v>1010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>
        <f>16.45+19.45+19.9+16.9+19.1+17.5+25.35</f>
        <v>134.65</v>
      </c>
      <c r="N47" s="5">
        <f>18.35+17.6+20.9+17.4+18.7+18.2+18.4</f>
        <v>129.55</v>
      </c>
      <c r="O47" s="5">
        <f>16.75+21.15+13.9+18.5+14.75+16.35+15.85+17.35+16.6+9.05+10.25</f>
        <v>170.5</v>
      </c>
      <c r="P47" s="5">
        <f>16.1+23.25+17.2+17.3+22.8+13.65+16.55+20.4+15.3+18.45+20.15</f>
        <v>201.15</v>
      </c>
      <c r="Q47" s="5">
        <f>17.4+15.65+26.1+18.65</f>
        <v>77.8</v>
      </c>
      <c r="R47" s="5"/>
      <c r="S47" s="5">
        <f>25.15+24.75+21.7+23.35</f>
        <v>94.95</v>
      </c>
      <c r="T47" s="5">
        <f>20.6+6.7</f>
        <v>27.3</v>
      </c>
      <c r="U47" s="5">
        <v>25.25</v>
      </c>
      <c r="V47" s="5"/>
      <c r="W47" s="5">
        <f t="shared" si="0"/>
        <v>861.15</v>
      </c>
    </row>
    <row r="48" spans="1:23">
      <c r="A48" s="3">
        <v>2443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v>11.5</v>
      </c>
      <c r="N48" s="5">
        <v>13.6</v>
      </c>
      <c r="O48" s="5">
        <v>20</v>
      </c>
      <c r="P48" s="5">
        <v>26.1</v>
      </c>
      <c r="Q48" s="5">
        <v>12.4</v>
      </c>
      <c r="R48" s="5"/>
      <c r="S48" s="5"/>
      <c r="T48" s="5"/>
      <c r="U48" s="5">
        <v>2.75</v>
      </c>
      <c r="V48" s="5"/>
      <c r="W48" s="5">
        <f t="shared" si="0"/>
        <v>86.35</v>
      </c>
    </row>
    <row r="49" spans="1:23">
      <c r="A49" s="3">
        <v>2425</v>
      </c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>
        <f>17.95+14.9</f>
        <v>32.85</v>
      </c>
      <c r="N49" s="5">
        <v>24.05</v>
      </c>
      <c r="O49" s="5">
        <f>20.85+20.2</f>
        <v>41.05</v>
      </c>
      <c r="P49" s="5">
        <f>19.3+25.6+21.8</f>
        <v>66.7</v>
      </c>
      <c r="Q49" s="5">
        <f>21.3+11.15</f>
        <v>32.45</v>
      </c>
      <c r="R49" s="5"/>
      <c r="S49" s="5">
        <v>12.65</v>
      </c>
      <c r="T49" s="5">
        <v>1.9</v>
      </c>
      <c r="U49" s="5">
        <v>10.1</v>
      </c>
      <c r="V49" s="5"/>
      <c r="W49" s="5">
        <f t="shared" si="0"/>
        <v>221.75</v>
      </c>
    </row>
    <row r="50" spans="1:23">
      <c r="A50" s="3">
        <v>101</v>
      </c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>
        <v>6.8</v>
      </c>
      <c r="N50" s="5">
        <v>12.5</v>
      </c>
      <c r="O50" s="5">
        <v>5.6</v>
      </c>
      <c r="P50" s="5">
        <v>14.05</v>
      </c>
      <c r="Q50" s="5">
        <v>6.25</v>
      </c>
      <c r="R50" s="5"/>
      <c r="S50" s="5">
        <v>3.6</v>
      </c>
      <c r="T50" s="5">
        <v>9.1</v>
      </c>
      <c r="U50" s="5">
        <v>2.5</v>
      </c>
      <c r="V50" s="5"/>
      <c r="W50" s="5">
        <f t="shared" si="0"/>
        <v>60.4</v>
      </c>
    </row>
    <row r="51" spans="1:23">
      <c r="A51" s="3">
        <v>1795</v>
      </c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>
        <v>7.55</v>
      </c>
      <c r="N51" s="5">
        <v>3.6</v>
      </c>
      <c r="O51" s="5">
        <v>5.7</v>
      </c>
      <c r="P51" s="5">
        <v>5.8</v>
      </c>
      <c r="Q51" s="5">
        <v>3.5</v>
      </c>
      <c r="R51" s="5"/>
      <c r="S51" s="5">
        <v>24.25</v>
      </c>
      <c r="T51" s="5">
        <v>3.5</v>
      </c>
      <c r="U51" s="5">
        <v>5.85</v>
      </c>
      <c r="V51" s="5"/>
      <c r="W51" s="5">
        <f t="shared" si="0"/>
        <v>59.75</v>
      </c>
    </row>
    <row r="52" spans="1:23">
      <c r="A52" s="3">
        <v>1030</v>
      </c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>
        <v>20.1</v>
      </c>
      <c r="N52" s="5">
        <v>7.35</v>
      </c>
      <c r="O52" s="5">
        <f>20.3+7.6</f>
        <v>27.9</v>
      </c>
      <c r="P52" s="5">
        <f>17.05+25.85+20.1+23</f>
        <v>86</v>
      </c>
      <c r="Q52" s="5">
        <f>20.95+18.5</f>
        <v>39.45</v>
      </c>
      <c r="R52" s="5"/>
      <c r="S52" s="5">
        <f>17.7+6.45</f>
        <v>24.15</v>
      </c>
      <c r="T52" s="5"/>
      <c r="U52" s="5"/>
      <c r="V52" s="5"/>
      <c r="W52" s="5">
        <f t="shared" si="0"/>
        <v>204.95</v>
      </c>
    </row>
    <row r="53" spans="1:23">
      <c r="A53" s="3">
        <v>672</v>
      </c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f>21.4+19.4+19+18.9</f>
        <v>78.7</v>
      </c>
      <c r="O53" s="5">
        <f>14.65+12.6+18.6+16.95+20.1+22.35+16.9+17.55</f>
        <v>139.7</v>
      </c>
      <c r="P53" s="5">
        <f>17.3+17.85+13.65+20.05+21.1+17.25+16.7+18+19.6+18.1+18.35</f>
        <v>197.95</v>
      </c>
      <c r="Q53" s="5">
        <f>24.7+14.3+18.8+22.45+20.05+17.55+15.2+20.3+5.95</f>
        <v>159.3</v>
      </c>
      <c r="R53" s="5"/>
      <c r="S53" s="5"/>
      <c r="T53" s="5">
        <v>14.75</v>
      </c>
      <c r="U53" s="5">
        <f>13.754+24.45+22.05</f>
        <v>60.254</v>
      </c>
      <c r="V53" s="5"/>
      <c r="W53" s="5">
        <f t="shared" si="0"/>
        <v>650.654</v>
      </c>
    </row>
    <row r="54" spans="1:23">
      <c r="A54" s="3">
        <v>672</v>
      </c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>
        <f>24.4+25.7+13.15</f>
        <v>63.25</v>
      </c>
      <c r="N54" s="5">
        <v>17.6</v>
      </c>
      <c r="O54" s="5">
        <f>15.9+15.05+25.05+7.2</f>
        <v>63.2</v>
      </c>
      <c r="P54" s="5">
        <v>16.4</v>
      </c>
      <c r="Q54" s="5">
        <f>18.25+15.2</f>
        <v>33.45</v>
      </c>
      <c r="R54" s="5"/>
      <c r="S54" s="5">
        <v>22.5</v>
      </c>
      <c r="T54" s="5">
        <v>23.7</v>
      </c>
      <c r="U54" s="5">
        <v>21.35</v>
      </c>
      <c r="V54" s="5"/>
      <c r="W54" s="5">
        <f t="shared" si="0"/>
        <v>261.45</v>
      </c>
    </row>
    <row r="55" spans="1:23">
      <c r="A55" s="3">
        <v>2167</v>
      </c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>
        <v>3.1</v>
      </c>
      <c r="O55" s="5">
        <v>1.4</v>
      </c>
      <c r="P55" s="5">
        <v>2.55</v>
      </c>
      <c r="Q55" s="5">
        <v>0.75</v>
      </c>
      <c r="R55" s="5"/>
      <c r="S55" s="5"/>
      <c r="T55" s="5">
        <v>1.1</v>
      </c>
      <c r="U55" s="5">
        <v>1.3</v>
      </c>
      <c r="V55" s="5"/>
      <c r="W55" s="5">
        <f t="shared" si="0"/>
        <v>10.2</v>
      </c>
    </row>
    <row r="56" spans="1:23">
      <c r="A56" s="3">
        <v>1039</v>
      </c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f>17.4+17.35</f>
        <v>34.75</v>
      </c>
      <c r="N56" s="5">
        <v>22.7</v>
      </c>
      <c r="O56" s="5">
        <f>19.35+4.5</f>
        <v>23.85</v>
      </c>
      <c r="P56" s="5">
        <v>13.25</v>
      </c>
      <c r="Q56" s="5">
        <v>2.5</v>
      </c>
      <c r="R56" s="5"/>
      <c r="S56" s="5">
        <v>12.05</v>
      </c>
      <c r="T56" s="5">
        <v>16.9</v>
      </c>
      <c r="U56" s="5">
        <v>3.5</v>
      </c>
      <c r="V56" s="5"/>
      <c r="W56" s="5">
        <f t="shared" si="0"/>
        <v>129.5</v>
      </c>
    </row>
    <row r="57" spans="1:23">
      <c r="A57" s="3">
        <v>444</v>
      </c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>
        <f>13.45+14.6</f>
        <v>28.05</v>
      </c>
      <c r="N57" s="5">
        <v>14.9</v>
      </c>
      <c r="O57" s="5">
        <f>18.95+18.75+9.4</f>
        <v>47.1</v>
      </c>
      <c r="P57" s="5">
        <f>16.05+15.05+18.8+17.3</f>
        <v>67.2</v>
      </c>
      <c r="Q57" s="5">
        <f>20.25+7.9</f>
        <v>28.15</v>
      </c>
      <c r="R57" s="5"/>
      <c r="S57" s="5">
        <v>16.6</v>
      </c>
      <c r="T57" s="5">
        <v>4.6</v>
      </c>
      <c r="U57" s="5">
        <v>18.1</v>
      </c>
      <c r="V57" s="5"/>
      <c r="W57" s="5">
        <f t="shared" si="0"/>
        <v>224.7</v>
      </c>
    </row>
    <row r="58" spans="1:23">
      <c r="A58" s="3">
        <v>2297</v>
      </c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f>21.15+23.65+13.85</f>
        <v>58.65</v>
      </c>
      <c r="N58" s="5">
        <f>21.4+20.65+20.35+20.05+13.7</f>
        <v>96.15</v>
      </c>
      <c r="O58" s="5">
        <f>25.05+18.55+22.45+17.3+10.6</f>
        <v>93.95</v>
      </c>
      <c r="P58" s="5">
        <f>23.15+16.05+23.05+19.5+21.05+9.95</f>
        <v>112.75</v>
      </c>
      <c r="Q58" s="5">
        <f>18.8+20.25+17.7+5.75</f>
        <v>62.5</v>
      </c>
      <c r="R58" s="5"/>
      <c r="S58" s="5">
        <v>18.05</v>
      </c>
      <c r="T58" s="5">
        <f>27.9+13.95+4.1</f>
        <v>45.95</v>
      </c>
      <c r="U58" s="5">
        <f>24+4.95</f>
        <v>28.95</v>
      </c>
      <c r="V58" s="5"/>
      <c r="W58" s="5">
        <f t="shared" si="0"/>
        <v>516.95</v>
      </c>
    </row>
    <row r="59" spans="1:23">
      <c r="A59" s="3">
        <v>1027</v>
      </c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>
        <v>5.15</v>
      </c>
      <c r="N59" s="5">
        <v>1.75</v>
      </c>
      <c r="O59" s="5">
        <v>8.65</v>
      </c>
      <c r="P59" s="5">
        <v>6.7</v>
      </c>
      <c r="Q59" s="5">
        <v>0.8</v>
      </c>
      <c r="R59" s="5"/>
      <c r="S59" s="5"/>
      <c r="T59" s="5"/>
      <c r="U59" s="5"/>
      <c r="V59" s="5"/>
      <c r="W59" s="5">
        <f t="shared" si="0"/>
        <v>23.05</v>
      </c>
    </row>
    <row r="60" spans="1:23">
      <c r="A60" s="3">
        <v>260</v>
      </c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3">
        <f>16.9+16.65+18.6+22.35+7.15+18.25</f>
        <v>99.9</v>
      </c>
      <c r="N60" s="5">
        <f>16.05+10.45+17.05+17.5+22.15+22.1+12.55</f>
        <v>117.85</v>
      </c>
      <c r="O60" s="5">
        <f>14.6+13.6+17.6+17.5+17.7+21.9+19.45+16.35+7.1+19.02+16.55+16.7</f>
        <v>198.07</v>
      </c>
      <c r="P60" s="5">
        <f>17.6+13.6+20.4+18.7+19.25+16.25+16.7+16.3+21.25+3.9+17.2+15.65</f>
        <v>196.8</v>
      </c>
      <c r="Q60" s="5">
        <f>20.02+14.65+19.75+17.45+18.9+11</f>
        <v>101.77</v>
      </c>
      <c r="R60" s="5"/>
      <c r="S60" s="5"/>
      <c r="T60" s="5">
        <f>16.75+12.25</f>
        <v>29</v>
      </c>
      <c r="U60" s="5">
        <f>16.2+15.85</f>
        <v>32.05</v>
      </c>
      <c r="V60" s="5"/>
      <c r="W60" s="5">
        <f t="shared" si="0"/>
        <v>775.44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2257.02</v>
      </c>
      <c r="N349" s="6">
        <f t="shared" si="6"/>
        <v>2254.64</v>
      </c>
      <c r="O349" s="6">
        <f t="shared" si="6"/>
        <v>2672.64</v>
      </c>
      <c r="P349" s="6">
        <f t="shared" si="6"/>
        <v>3231.016</v>
      </c>
      <c r="Q349" s="6">
        <f t="shared" si="6"/>
        <v>1566.01</v>
      </c>
      <c r="R349" s="6">
        <f t="shared" si="6"/>
        <v>0</v>
      </c>
      <c r="S349" s="6">
        <f t="shared" si="6"/>
        <v>941.04</v>
      </c>
      <c r="T349" s="6">
        <f t="shared" si="6"/>
        <v>664.91</v>
      </c>
      <c r="U349" s="6">
        <f t="shared" si="6"/>
        <v>815.354</v>
      </c>
      <c r="V349" s="6">
        <f t="shared" si="6"/>
        <v>0</v>
      </c>
      <c r="W349" s="6">
        <f>SUM(W2:W348)</f>
        <v>14402.63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9"/>
  <sheetViews>
    <sheetView workbookViewId="0">
      <pane xSplit="12" ySplit="1" topLeftCell="M40" activePane="bottomRight" state="frozen"/>
      <selection/>
      <selection pane="topRight"/>
      <selection pane="bottomLeft"/>
      <selection pane="bottomRight" activeCell="A69" sqref="A69"/>
    </sheetView>
  </sheetViews>
  <sheetFormatPr defaultColWidth="11" defaultRowHeight="14.25"/>
  <cols>
    <col min="1" max="1" width="9.56923076923077" customWidth="1"/>
    <col min="2" max="12" width="11" hidden="1" customWidth="1"/>
    <col min="13" max="13" width="9.15384615384615" customWidth="1"/>
    <col min="14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9.15384615384615" customWidth="1"/>
  </cols>
  <sheetData>
    <row r="1" ht="15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5" spans="1:23">
      <c r="A2" s="10">
        <v>1014</v>
      </c>
      <c r="M2" s="11"/>
      <c r="N2" s="11"/>
      <c r="O2" s="10">
        <v>1.5</v>
      </c>
      <c r="P2" s="11"/>
      <c r="Q2" s="11"/>
      <c r="R2" s="11"/>
      <c r="S2" s="10">
        <v>17.4</v>
      </c>
      <c r="T2" s="11"/>
      <c r="U2" s="11"/>
      <c r="V2" s="5"/>
      <c r="W2" s="5">
        <f>SUM(C2:V2)</f>
        <v>18.9</v>
      </c>
    </row>
    <row r="3" ht="15" spans="1:23">
      <c r="A3" s="10">
        <v>404</v>
      </c>
      <c r="M3" s="10">
        <v>23.65</v>
      </c>
      <c r="N3" s="10">
        <v>7.55</v>
      </c>
      <c r="O3" s="11"/>
      <c r="P3" s="11"/>
      <c r="Q3" s="11"/>
      <c r="R3" s="11"/>
      <c r="S3" s="10">
        <v>8.95</v>
      </c>
      <c r="T3" s="11"/>
      <c r="U3" s="11"/>
      <c r="V3" s="5"/>
      <c r="W3" s="5">
        <f t="shared" ref="W3:W46" si="0">SUM(C3:V3)</f>
        <v>40.15</v>
      </c>
    </row>
    <row r="4" ht="15" spans="1:23">
      <c r="A4" s="10">
        <v>1651</v>
      </c>
      <c r="M4" s="10">
        <v>8.1</v>
      </c>
      <c r="N4" s="10">
        <v>18.95</v>
      </c>
      <c r="O4" s="10">
        <v>26.05</v>
      </c>
      <c r="P4" s="10">
        <v>24.9</v>
      </c>
      <c r="Q4" s="10">
        <v>2.75</v>
      </c>
      <c r="R4" s="11"/>
      <c r="S4" s="11"/>
      <c r="T4" s="11"/>
      <c r="U4" s="11"/>
      <c r="V4" s="5"/>
      <c r="W4" s="5">
        <f t="shared" si="0"/>
        <v>80.75</v>
      </c>
    </row>
    <row r="5" ht="15" spans="1:23">
      <c r="A5" s="10">
        <v>996</v>
      </c>
      <c r="M5" s="10">
        <v>15.95</v>
      </c>
      <c r="N5" s="10">
        <v>5</v>
      </c>
      <c r="O5" s="11"/>
      <c r="P5" s="11"/>
      <c r="Q5" s="11"/>
      <c r="R5" s="11"/>
      <c r="S5" s="11"/>
      <c r="T5" s="11"/>
      <c r="U5" s="11"/>
      <c r="V5" s="5"/>
      <c r="W5" s="5">
        <f t="shared" si="0"/>
        <v>20.95</v>
      </c>
    </row>
    <row r="6" ht="15" spans="1:23">
      <c r="A6" s="10">
        <v>1017</v>
      </c>
      <c r="M6" s="10">
        <v>35.8</v>
      </c>
      <c r="N6" s="10">
        <v>21.35</v>
      </c>
      <c r="O6" s="10">
        <v>17.3</v>
      </c>
      <c r="P6" s="10">
        <v>7.35</v>
      </c>
      <c r="Q6" s="10">
        <v>2.45</v>
      </c>
      <c r="R6" s="11"/>
      <c r="S6" s="10">
        <v>10.9</v>
      </c>
      <c r="T6" s="10">
        <v>1.25</v>
      </c>
      <c r="U6" s="10">
        <v>0.9</v>
      </c>
      <c r="V6" s="5"/>
      <c r="W6" s="5">
        <f t="shared" si="0"/>
        <v>97.3</v>
      </c>
    </row>
    <row r="7" ht="15" spans="1:23">
      <c r="A7" s="10">
        <v>1745</v>
      </c>
      <c r="M7" s="10">
        <v>4.8</v>
      </c>
      <c r="N7" s="10">
        <v>3.45</v>
      </c>
      <c r="O7" s="11"/>
      <c r="P7" s="10">
        <v>8.05</v>
      </c>
      <c r="Q7" s="10">
        <v>8.6</v>
      </c>
      <c r="R7" s="11"/>
      <c r="S7" s="10">
        <v>4.4</v>
      </c>
      <c r="T7" s="11"/>
      <c r="U7" s="10">
        <v>4.85</v>
      </c>
      <c r="V7" s="5"/>
      <c r="W7" s="5">
        <f t="shared" si="0"/>
        <v>34.15</v>
      </c>
    </row>
    <row r="8" ht="15" spans="1:23">
      <c r="A8" s="10">
        <v>999</v>
      </c>
      <c r="M8" s="10">
        <v>24.65</v>
      </c>
      <c r="N8" s="10">
        <v>9.55</v>
      </c>
      <c r="O8" s="10">
        <v>18.65</v>
      </c>
      <c r="P8" s="10">
        <v>28.5</v>
      </c>
      <c r="Q8" s="10">
        <v>14.1</v>
      </c>
      <c r="R8" s="11"/>
      <c r="S8" s="10">
        <v>3.05</v>
      </c>
      <c r="T8" s="11"/>
      <c r="U8" s="10">
        <v>7.5</v>
      </c>
      <c r="V8" s="5"/>
      <c r="W8" s="5">
        <f t="shared" si="0"/>
        <v>106</v>
      </c>
    </row>
    <row r="9" ht="15" spans="1:23">
      <c r="A9" s="10">
        <v>1012</v>
      </c>
      <c r="M9" s="10">
        <v>14.8</v>
      </c>
      <c r="N9" s="10">
        <v>18</v>
      </c>
      <c r="O9" s="10">
        <v>23.3</v>
      </c>
      <c r="P9" s="10">
        <v>24.5</v>
      </c>
      <c r="Q9" s="10">
        <v>31.45</v>
      </c>
      <c r="R9" s="11"/>
      <c r="S9" s="11"/>
      <c r="T9" s="10">
        <v>6.8</v>
      </c>
      <c r="U9" s="10">
        <v>9.2</v>
      </c>
      <c r="V9" s="5"/>
      <c r="W9" s="5">
        <f t="shared" si="0"/>
        <v>128.05</v>
      </c>
    </row>
    <row r="10" ht="15" spans="1:23">
      <c r="A10" s="10">
        <v>208</v>
      </c>
      <c r="M10" s="10">
        <v>3.1</v>
      </c>
      <c r="N10" s="11"/>
      <c r="O10" s="10">
        <v>1.3</v>
      </c>
      <c r="P10" s="11"/>
      <c r="Q10" s="11"/>
      <c r="R10" s="11"/>
      <c r="S10" s="11"/>
      <c r="T10" s="11"/>
      <c r="U10" s="11"/>
      <c r="V10" s="5"/>
      <c r="W10" s="5">
        <f t="shared" si="0"/>
        <v>4.4</v>
      </c>
    </row>
    <row r="11" ht="15" spans="1:23">
      <c r="A11" s="10">
        <v>2495</v>
      </c>
      <c r="M11" s="10">
        <v>9.75</v>
      </c>
      <c r="N11" s="10">
        <v>6.45</v>
      </c>
      <c r="O11" s="10">
        <v>1.35</v>
      </c>
      <c r="P11" s="10">
        <v>2.05</v>
      </c>
      <c r="Q11" s="11"/>
      <c r="R11" s="11"/>
      <c r="S11" s="10">
        <v>15.2</v>
      </c>
      <c r="T11" s="11"/>
      <c r="U11" s="11"/>
      <c r="V11" s="5"/>
      <c r="W11" s="5">
        <f t="shared" si="0"/>
        <v>34.8</v>
      </c>
    </row>
    <row r="12" ht="15" spans="1:23">
      <c r="A12" s="10">
        <v>1009</v>
      </c>
      <c r="M12" s="10">
        <v>20.7</v>
      </c>
      <c r="N12" s="10">
        <v>15.3</v>
      </c>
      <c r="O12" s="10">
        <v>16.65</v>
      </c>
      <c r="P12" s="10">
        <v>11.55</v>
      </c>
      <c r="Q12" s="10">
        <v>8.15</v>
      </c>
      <c r="R12" s="11"/>
      <c r="S12" s="10">
        <v>12.2</v>
      </c>
      <c r="T12" s="10">
        <v>3.4</v>
      </c>
      <c r="U12" s="10">
        <v>0.65</v>
      </c>
      <c r="V12" s="5"/>
      <c r="W12" s="5">
        <f t="shared" si="0"/>
        <v>88.6</v>
      </c>
    </row>
    <row r="13" ht="15" spans="1:23">
      <c r="A13" s="10">
        <v>211</v>
      </c>
      <c r="M13" s="10">
        <v>13.1</v>
      </c>
      <c r="N13" s="10">
        <v>16.45</v>
      </c>
      <c r="O13" s="10">
        <v>15.95</v>
      </c>
      <c r="P13" s="10">
        <v>14.5</v>
      </c>
      <c r="Q13" s="10">
        <v>4</v>
      </c>
      <c r="R13" s="11"/>
      <c r="S13" s="10">
        <v>10.1</v>
      </c>
      <c r="T13" s="11"/>
      <c r="U13" s="10">
        <v>1.35</v>
      </c>
      <c r="V13" s="5"/>
      <c r="W13" s="5">
        <f t="shared" si="0"/>
        <v>75.45</v>
      </c>
    </row>
    <row r="14" ht="15" spans="1:23">
      <c r="A14" s="10">
        <v>309</v>
      </c>
      <c r="M14" s="10">
        <v>110.45</v>
      </c>
      <c r="N14" s="10">
        <v>172.5</v>
      </c>
      <c r="O14" s="10">
        <v>169.6</v>
      </c>
      <c r="P14" s="10">
        <v>182.925</v>
      </c>
      <c r="Q14" s="10">
        <v>70.95</v>
      </c>
      <c r="R14" s="11"/>
      <c r="S14" s="11"/>
      <c r="T14" s="10">
        <v>30</v>
      </c>
      <c r="U14" s="10">
        <v>28.1</v>
      </c>
      <c r="V14" s="5"/>
      <c r="W14" s="5">
        <f t="shared" si="0"/>
        <v>764.525</v>
      </c>
    </row>
    <row r="15" ht="15" spans="1:23">
      <c r="A15" s="10">
        <v>309</v>
      </c>
      <c r="M15" s="10">
        <v>66.25</v>
      </c>
      <c r="N15" s="10">
        <v>36.15</v>
      </c>
      <c r="O15" s="10">
        <v>61.8</v>
      </c>
      <c r="P15" s="10">
        <v>72.8</v>
      </c>
      <c r="Q15" s="10">
        <v>38.55</v>
      </c>
      <c r="R15" s="11"/>
      <c r="S15" s="10">
        <v>72.95</v>
      </c>
      <c r="T15" s="10">
        <v>13.6</v>
      </c>
      <c r="U15" s="10">
        <v>15.2</v>
      </c>
      <c r="V15" s="5"/>
      <c r="W15" s="5">
        <f t="shared" si="0"/>
        <v>377.3</v>
      </c>
    </row>
    <row r="16" ht="15" spans="1:23">
      <c r="A16" s="10">
        <v>209</v>
      </c>
      <c r="M16" s="10">
        <v>2.25</v>
      </c>
      <c r="N16" s="10">
        <v>3.9</v>
      </c>
      <c r="O16" s="11"/>
      <c r="P16" s="11"/>
      <c r="Q16" s="11"/>
      <c r="R16" s="11"/>
      <c r="S16" s="10">
        <v>2.3</v>
      </c>
      <c r="T16" s="11"/>
      <c r="U16" s="11"/>
      <c r="V16" s="5"/>
      <c r="W16" s="5">
        <f t="shared" si="0"/>
        <v>8.45</v>
      </c>
    </row>
    <row r="17" ht="15" spans="1:23">
      <c r="A17" s="10">
        <v>2167</v>
      </c>
      <c r="M17" s="10">
        <v>100.95</v>
      </c>
      <c r="N17" s="10">
        <v>142.5</v>
      </c>
      <c r="O17" s="10">
        <v>150.37</v>
      </c>
      <c r="P17" s="10">
        <v>162.65</v>
      </c>
      <c r="Q17" s="10">
        <v>112.35</v>
      </c>
      <c r="R17" s="11"/>
      <c r="S17" s="10">
        <v>63.35</v>
      </c>
      <c r="T17" s="10">
        <v>24.75</v>
      </c>
      <c r="U17" s="10">
        <v>38.1</v>
      </c>
      <c r="V17" s="5"/>
      <c r="W17" s="5">
        <f t="shared" si="0"/>
        <v>795.02</v>
      </c>
    </row>
    <row r="18" ht="15" spans="1:23">
      <c r="A18" s="10">
        <v>478</v>
      </c>
      <c r="M18" s="10">
        <v>64.4</v>
      </c>
      <c r="N18" s="10">
        <v>24.55</v>
      </c>
      <c r="O18" s="10">
        <v>47</v>
      </c>
      <c r="P18" s="10">
        <v>34.4</v>
      </c>
      <c r="Q18" s="10">
        <v>44.2</v>
      </c>
      <c r="R18" s="11"/>
      <c r="S18" s="10">
        <v>40.5</v>
      </c>
      <c r="T18" s="10">
        <v>7.55</v>
      </c>
      <c r="U18" s="10">
        <v>9.8</v>
      </c>
      <c r="V18" s="5"/>
      <c r="W18" s="5">
        <f t="shared" si="0"/>
        <v>272.4</v>
      </c>
    </row>
    <row r="19" ht="15" spans="1:23">
      <c r="A19" s="10">
        <v>672</v>
      </c>
      <c r="M19" s="10">
        <v>68.75</v>
      </c>
      <c r="N19" s="10">
        <v>125.35</v>
      </c>
      <c r="O19" s="10">
        <v>118.5</v>
      </c>
      <c r="P19" s="10">
        <v>113.85</v>
      </c>
      <c r="Q19" s="10">
        <v>65.95</v>
      </c>
      <c r="R19" s="11"/>
      <c r="S19" s="10">
        <v>18.5</v>
      </c>
      <c r="T19" s="10">
        <v>12.1</v>
      </c>
      <c r="U19" s="10">
        <v>25.7</v>
      </c>
      <c r="V19" s="5"/>
      <c r="W19" s="5">
        <f t="shared" si="0"/>
        <v>548.7</v>
      </c>
    </row>
    <row r="20" ht="15" spans="1:23">
      <c r="A20" s="10">
        <v>477</v>
      </c>
      <c r="M20" s="10">
        <v>77.3</v>
      </c>
      <c r="N20" s="10">
        <v>63.5</v>
      </c>
      <c r="O20" s="10">
        <v>64.05</v>
      </c>
      <c r="P20" s="10">
        <v>54.6</v>
      </c>
      <c r="Q20" s="10">
        <v>21.3</v>
      </c>
      <c r="R20" s="11"/>
      <c r="S20" s="10">
        <v>34.65</v>
      </c>
      <c r="T20" s="10">
        <v>5.6</v>
      </c>
      <c r="U20" s="10">
        <v>36.15</v>
      </c>
      <c r="V20" s="5"/>
      <c r="W20" s="5">
        <f t="shared" si="0"/>
        <v>357.15</v>
      </c>
    </row>
    <row r="21" ht="15" spans="1:23">
      <c r="A21" s="10">
        <v>2425</v>
      </c>
      <c r="M21" s="10">
        <v>34.15</v>
      </c>
      <c r="N21" s="10">
        <v>42.5</v>
      </c>
      <c r="O21" s="10">
        <v>31.6</v>
      </c>
      <c r="P21" s="10">
        <v>54.75</v>
      </c>
      <c r="Q21" s="10">
        <v>24.85</v>
      </c>
      <c r="R21" s="11"/>
      <c r="S21" s="11"/>
      <c r="T21" s="10">
        <v>3.05</v>
      </c>
      <c r="U21" s="10">
        <v>16.1</v>
      </c>
      <c r="V21" s="5"/>
      <c r="W21" s="5">
        <f t="shared" si="0"/>
        <v>207</v>
      </c>
    </row>
    <row r="22" ht="15" spans="1:23">
      <c r="A22" s="10">
        <v>1026</v>
      </c>
      <c r="M22" s="10">
        <v>5.5</v>
      </c>
      <c r="N22" s="11"/>
      <c r="O22" s="10">
        <v>4.1</v>
      </c>
      <c r="P22" s="10">
        <v>6.4</v>
      </c>
      <c r="Q22" s="11"/>
      <c r="R22" s="11"/>
      <c r="S22" s="11"/>
      <c r="T22" s="11"/>
      <c r="U22" s="10">
        <v>0.65</v>
      </c>
      <c r="V22" s="5"/>
      <c r="W22" s="5">
        <f t="shared" si="0"/>
        <v>16.65</v>
      </c>
    </row>
    <row r="23" ht="15" spans="1:23">
      <c r="A23" s="10">
        <v>1006</v>
      </c>
      <c r="M23" s="10">
        <v>8.05</v>
      </c>
      <c r="N23" s="10">
        <v>20.8</v>
      </c>
      <c r="O23" s="10">
        <v>18.85</v>
      </c>
      <c r="P23" s="10">
        <v>29.25</v>
      </c>
      <c r="Q23" s="10">
        <v>8.8</v>
      </c>
      <c r="R23" s="11"/>
      <c r="S23" s="11"/>
      <c r="T23" s="10">
        <v>3.25</v>
      </c>
      <c r="U23" s="10">
        <v>2.75</v>
      </c>
      <c r="V23" s="5"/>
      <c r="W23" s="5">
        <f t="shared" si="0"/>
        <v>91.75</v>
      </c>
    </row>
    <row r="24" ht="15" spans="1:23">
      <c r="A24" s="10">
        <v>2415</v>
      </c>
      <c r="M24" s="10">
        <v>21.5</v>
      </c>
      <c r="N24" s="10">
        <v>20.8</v>
      </c>
      <c r="O24" s="10">
        <v>28.85</v>
      </c>
      <c r="P24" s="10">
        <v>11.15</v>
      </c>
      <c r="Q24" s="10">
        <v>5.15</v>
      </c>
      <c r="R24" s="11"/>
      <c r="S24" s="10">
        <v>25.8</v>
      </c>
      <c r="T24" s="11"/>
      <c r="U24" s="10">
        <v>4.9</v>
      </c>
      <c r="V24" s="5"/>
      <c r="W24" s="5">
        <f t="shared" si="0"/>
        <v>118.15</v>
      </c>
    </row>
    <row r="25" ht="15" spans="1:23">
      <c r="A25" s="10">
        <v>672</v>
      </c>
      <c r="M25" s="10">
        <v>66.15</v>
      </c>
      <c r="N25" s="10">
        <v>66.15</v>
      </c>
      <c r="O25" s="10">
        <v>58.2</v>
      </c>
      <c r="P25" s="10">
        <v>95.6</v>
      </c>
      <c r="Q25" s="10">
        <v>56.2</v>
      </c>
      <c r="R25" s="11"/>
      <c r="S25" s="10">
        <v>21.7</v>
      </c>
      <c r="T25" s="10">
        <v>22.5</v>
      </c>
      <c r="U25" s="10">
        <v>28.85</v>
      </c>
      <c r="V25" s="5"/>
      <c r="W25" s="5">
        <f t="shared" si="0"/>
        <v>415.35</v>
      </c>
    </row>
    <row r="26" ht="15" spans="1:23">
      <c r="A26" s="10">
        <v>1010</v>
      </c>
      <c r="M26" s="10">
        <v>46.65</v>
      </c>
      <c r="N26" s="10">
        <v>37.9</v>
      </c>
      <c r="O26" s="10">
        <v>42.25</v>
      </c>
      <c r="P26" s="10">
        <v>41.4</v>
      </c>
      <c r="Q26" s="10">
        <v>12.55</v>
      </c>
      <c r="R26" s="11"/>
      <c r="S26" s="10">
        <v>2.25</v>
      </c>
      <c r="T26" s="10">
        <v>6.2</v>
      </c>
      <c r="U26" s="10">
        <v>7.75</v>
      </c>
      <c r="V26" s="5"/>
      <c r="W26" s="5">
        <f t="shared" si="0"/>
        <v>196.95</v>
      </c>
    </row>
    <row r="27" ht="15" spans="1:23">
      <c r="A27" s="10">
        <v>260</v>
      </c>
      <c r="M27" s="10">
        <v>158.1</v>
      </c>
      <c r="N27" s="10">
        <v>159.9</v>
      </c>
      <c r="O27" s="10">
        <v>162.85</v>
      </c>
      <c r="P27" s="10">
        <v>126.6</v>
      </c>
      <c r="Q27" s="10">
        <v>79.3</v>
      </c>
      <c r="R27" s="11"/>
      <c r="S27" s="10">
        <v>87.15</v>
      </c>
      <c r="T27" s="10">
        <v>34.25</v>
      </c>
      <c r="U27" s="10">
        <v>45.05</v>
      </c>
      <c r="V27" s="5"/>
      <c r="W27" s="5">
        <f t="shared" si="0"/>
        <v>853.2</v>
      </c>
    </row>
    <row r="28" ht="15" spans="1:23">
      <c r="A28" s="10">
        <v>977</v>
      </c>
      <c r="M28" s="10">
        <v>2.6</v>
      </c>
      <c r="N28" s="10">
        <v>5.7</v>
      </c>
      <c r="O28" s="10">
        <v>1.4</v>
      </c>
      <c r="P28" s="10">
        <v>7.1</v>
      </c>
      <c r="Q28" s="10">
        <v>10.55</v>
      </c>
      <c r="R28" s="11"/>
      <c r="S28" s="10">
        <v>4.35</v>
      </c>
      <c r="T28" s="10">
        <v>1.7</v>
      </c>
      <c r="U28" s="10">
        <v>8.75</v>
      </c>
      <c r="V28" s="5"/>
      <c r="W28" s="5">
        <f t="shared" si="0"/>
        <v>42.15</v>
      </c>
    </row>
    <row r="29" ht="15" spans="1:23">
      <c r="A29" s="10">
        <v>354</v>
      </c>
      <c r="M29" s="10">
        <v>95.4</v>
      </c>
      <c r="N29" s="10">
        <v>29.45</v>
      </c>
      <c r="O29" s="10">
        <v>80</v>
      </c>
      <c r="P29" s="10">
        <v>84.95</v>
      </c>
      <c r="Q29" s="10">
        <v>43.75</v>
      </c>
      <c r="R29" s="11"/>
      <c r="S29" s="10">
        <v>15.75</v>
      </c>
      <c r="T29" s="10">
        <v>6.9</v>
      </c>
      <c r="U29" s="10">
        <v>11.75</v>
      </c>
      <c r="V29" s="5"/>
      <c r="W29" s="5">
        <f t="shared" si="0"/>
        <v>367.95</v>
      </c>
    </row>
    <row r="30" ht="15" spans="1:23">
      <c r="A30" s="10">
        <v>444</v>
      </c>
      <c r="M30" s="10">
        <v>2.35</v>
      </c>
      <c r="N30" s="10">
        <v>15</v>
      </c>
      <c r="O30" s="10">
        <v>8.55</v>
      </c>
      <c r="P30" s="10">
        <v>20.6</v>
      </c>
      <c r="Q30" s="10">
        <v>6.85</v>
      </c>
      <c r="R30" s="11"/>
      <c r="S30" s="10">
        <v>10.6</v>
      </c>
      <c r="T30" s="10">
        <v>6.35</v>
      </c>
      <c r="U30" s="10">
        <v>4.4</v>
      </c>
      <c r="V30" s="5"/>
      <c r="W30" s="5">
        <f t="shared" si="0"/>
        <v>74.7</v>
      </c>
    </row>
    <row r="31" ht="15" spans="1:23">
      <c r="A31" s="10">
        <v>1792</v>
      </c>
      <c r="M31" s="10">
        <v>16.85</v>
      </c>
      <c r="N31" s="10">
        <v>8.4</v>
      </c>
      <c r="O31" s="10">
        <v>37.7</v>
      </c>
      <c r="P31" s="10">
        <v>50.35</v>
      </c>
      <c r="Q31" s="10">
        <v>17.7</v>
      </c>
      <c r="R31" s="11"/>
      <c r="S31" s="11"/>
      <c r="T31" s="10">
        <v>1.4</v>
      </c>
      <c r="U31" s="10">
        <v>2.7</v>
      </c>
      <c r="V31" s="5"/>
      <c r="W31" s="5">
        <f t="shared" si="0"/>
        <v>135.1</v>
      </c>
    </row>
    <row r="32" ht="15" spans="1:23">
      <c r="A32" s="10">
        <v>1791</v>
      </c>
      <c r="M32" s="11"/>
      <c r="N32" s="11"/>
      <c r="O32" s="10">
        <v>2.95</v>
      </c>
      <c r="P32" s="10">
        <v>11.65</v>
      </c>
      <c r="Q32" s="10">
        <v>6.3</v>
      </c>
      <c r="R32" s="11"/>
      <c r="S32" s="10">
        <v>2.35</v>
      </c>
      <c r="T32" s="10">
        <v>9.1</v>
      </c>
      <c r="U32" s="10">
        <v>3.1</v>
      </c>
      <c r="V32" s="5"/>
      <c r="W32" s="5">
        <f t="shared" si="0"/>
        <v>35.45</v>
      </c>
    </row>
    <row r="33" ht="15" spans="1:23">
      <c r="A33" s="10">
        <v>333</v>
      </c>
      <c r="M33" s="10">
        <v>24.4</v>
      </c>
      <c r="N33" s="10">
        <v>19.65</v>
      </c>
      <c r="O33" s="11"/>
      <c r="P33" s="10">
        <v>1.15</v>
      </c>
      <c r="Q33" s="11"/>
      <c r="R33" s="11"/>
      <c r="S33" s="10">
        <v>3.2</v>
      </c>
      <c r="T33" s="11"/>
      <c r="U33" s="11"/>
      <c r="V33" s="5"/>
      <c r="W33" s="5">
        <f t="shared" si="0"/>
        <v>48.4</v>
      </c>
    </row>
    <row r="34" ht="15" spans="1:23">
      <c r="A34" s="10">
        <v>212</v>
      </c>
      <c r="M34" s="10">
        <v>6.85</v>
      </c>
      <c r="N34" s="10">
        <v>7.45</v>
      </c>
      <c r="O34" s="10">
        <v>7.5</v>
      </c>
      <c r="P34" s="10">
        <v>4.15</v>
      </c>
      <c r="Q34" s="11"/>
      <c r="R34" s="11"/>
      <c r="S34" s="10">
        <v>6.15</v>
      </c>
      <c r="T34" s="10">
        <v>1.75</v>
      </c>
      <c r="U34" s="11"/>
      <c r="V34" s="5"/>
      <c r="W34" s="5">
        <f t="shared" si="0"/>
        <v>33.85</v>
      </c>
    </row>
    <row r="35" ht="15" spans="1:23">
      <c r="A35" s="10">
        <v>672</v>
      </c>
      <c r="M35" s="10">
        <v>16.35</v>
      </c>
      <c r="N35" s="10">
        <v>9.45</v>
      </c>
      <c r="O35" s="10">
        <v>18.45</v>
      </c>
      <c r="P35" s="10">
        <v>52.45</v>
      </c>
      <c r="Q35" s="10">
        <v>44.2</v>
      </c>
      <c r="R35" s="11"/>
      <c r="S35" s="10">
        <v>9.35</v>
      </c>
      <c r="T35" s="10">
        <v>1.2</v>
      </c>
      <c r="U35" s="10">
        <v>10.8</v>
      </c>
      <c r="V35" s="5"/>
      <c r="W35" s="5">
        <f t="shared" si="0"/>
        <v>162.25</v>
      </c>
    </row>
    <row r="36" ht="15" spans="1:23">
      <c r="A36" s="10">
        <v>1795</v>
      </c>
      <c r="M36" s="10">
        <v>4.1</v>
      </c>
      <c r="N36" s="10">
        <v>7.1</v>
      </c>
      <c r="O36" s="10">
        <v>10.5</v>
      </c>
      <c r="P36" s="10">
        <v>13.3</v>
      </c>
      <c r="Q36" s="11"/>
      <c r="R36" s="11"/>
      <c r="S36" s="11"/>
      <c r="T36" s="10">
        <v>3.95</v>
      </c>
      <c r="U36" s="10">
        <v>0.75</v>
      </c>
      <c r="V36" s="5"/>
      <c r="W36" s="5">
        <f t="shared" si="0"/>
        <v>39.7</v>
      </c>
    </row>
    <row r="37" ht="15" spans="1:23">
      <c r="A37" s="10">
        <v>1745</v>
      </c>
      <c r="M37" s="10">
        <v>2.1</v>
      </c>
      <c r="N37" s="10">
        <v>5.35</v>
      </c>
      <c r="O37" s="10">
        <v>2.85</v>
      </c>
      <c r="P37" s="10">
        <v>13.6</v>
      </c>
      <c r="Q37" s="10">
        <v>1.55</v>
      </c>
      <c r="R37" s="11"/>
      <c r="S37" s="11"/>
      <c r="T37" s="10">
        <v>1.3</v>
      </c>
      <c r="U37" s="10">
        <v>2.75</v>
      </c>
      <c r="V37" s="5"/>
      <c r="W37" s="5">
        <f t="shared" si="0"/>
        <v>29.5</v>
      </c>
    </row>
    <row r="38" ht="15" spans="1:23">
      <c r="A38" s="10">
        <v>1010</v>
      </c>
      <c r="M38" s="10">
        <v>37.25</v>
      </c>
      <c r="N38" s="10">
        <v>20.15</v>
      </c>
      <c r="O38" s="10">
        <v>9</v>
      </c>
      <c r="P38" s="10">
        <v>8.5</v>
      </c>
      <c r="Q38" s="10">
        <v>4.55</v>
      </c>
      <c r="R38" s="11"/>
      <c r="S38" s="10">
        <v>2.6</v>
      </c>
      <c r="T38" s="10">
        <v>5.35</v>
      </c>
      <c r="U38" s="10">
        <v>2</v>
      </c>
      <c r="V38" s="5"/>
      <c r="W38" s="5">
        <f t="shared" si="0"/>
        <v>89.4</v>
      </c>
    </row>
    <row r="39" ht="15" spans="1:23">
      <c r="A39" s="10">
        <v>2443</v>
      </c>
      <c r="M39" s="10">
        <v>3.9</v>
      </c>
      <c r="N39" s="10">
        <v>12.55</v>
      </c>
      <c r="O39" s="10">
        <v>11.05</v>
      </c>
      <c r="P39" s="10">
        <v>10.25</v>
      </c>
      <c r="Q39" s="10">
        <v>5.2</v>
      </c>
      <c r="R39" s="11"/>
      <c r="S39" s="11"/>
      <c r="T39" s="10">
        <v>1.1</v>
      </c>
      <c r="U39" s="10">
        <v>3.2</v>
      </c>
      <c r="V39" s="5"/>
      <c r="W39" s="5">
        <f t="shared" si="0"/>
        <v>47.25</v>
      </c>
    </row>
    <row r="40" ht="15" spans="1:23">
      <c r="A40" s="10">
        <v>180</v>
      </c>
      <c r="M40" s="10">
        <v>11.3</v>
      </c>
      <c r="N40" s="10">
        <v>7.25</v>
      </c>
      <c r="O40" s="10">
        <v>1.45</v>
      </c>
      <c r="P40" s="11"/>
      <c r="Q40" s="10">
        <v>0.85</v>
      </c>
      <c r="R40" s="11"/>
      <c r="S40" s="11"/>
      <c r="T40" s="11"/>
      <c r="U40" s="10">
        <v>0.85</v>
      </c>
      <c r="V40" s="5"/>
      <c r="W40" s="5">
        <f t="shared" si="0"/>
        <v>21.7</v>
      </c>
    </row>
    <row r="41" ht="15" spans="1:23">
      <c r="A41" s="10">
        <v>560</v>
      </c>
      <c r="M41" s="10">
        <v>9.85</v>
      </c>
      <c r="N41" s="10">
        <v>8.6</v>
      </c>
      <c r="O41" s="10">
        <v>5.8</v>
      </c>
      <c r="P41" s="10">
        <v>7.1</v>
      </c>
      <c r="Q41" s="10">
        <v>6.65</v>
      </c>
      <c r="R41" s="11"/>
      <c r="S41" s="11"/>
      <c r="T41" s="11"/>
      <c r="U41" s="11"/>
      <c r="V41" s="5"/>
      <c r="W41" s="5">
        <f t="shared" si="0"/>
        <v>38</v>
      </c>
    </row>
    <row r="42" ht="15" spans="1:23">
      <c r="A42" s="10">
        <v>1039</v>
      </c>
      <c r="M42" s="10">
        <v>40.3</v>
      </c>
      <c r="N42" s="10">
        <v>27.1</v>
      </c>
      <c r="O42" s="10">
        <v>11.8</v>
      </c>
      <c r="P42" s="10">
        <v>8.1</v>
      </c>
      <c r="Q42" s="10">
        <v>0.7</v>
      </c>
      <c r="R42" s="11"/>
      <c r="S42" s="10">
        <v>4.65</v>
      </c>
      <c r="T42" s="10">
        <v>4</v>
      </c>
      <c r="U42" s="11"/>
      <c r="V42" s="5"/>
      <c r="W42" s="5">
        <f t="shared" si="0"/>
        <v>96.65</v>
      </c>
    </row>
    <row r="43" ht="15" spans="1:23">
      <c r="A43" s="10">
        <v>672</v>
      </c>
      <c r="M43" s="10">
        <v>12.05</v>
      </c>
      <c r="N43" s="10">
        <v>16.1</v>
      </c>
      <c r="O43" s="10">
        <v>35.9</v>
      </c>
      <c r="P43" s="10">
        <v>96.65</v>
      </c>
      <c r="Q43" s="10">
        <v>48.65</v>
      </c>
      <c r="R43" s="11"/>
      <c r="S43" s="10">
        <v>2.05</v>
      </c>
      <c r="T43" s="10">
        <v>15.7</v>
      </c>
      <c r="U43" s="10">
        <v>36.35</v>
      </c>
      <c r="V43" s="5"/>
      <c r="W43" s="5">
        <f t="shared" si="0"/>
        <v>263.45</v>
      </c>
    </row>
    <row r="44" ht="15" spans="1:23">
      <c r="A44" s="10">
        <v>2198</v>
      </c>
      <c r="M44" s="10">
        <v>4.4</v>
      </c>
      <c r="N44" s="10">
        <v>13</v>
      </c>
      <c r="O44" s="10">
        <v>4.2</v>
      </c>
      <c r="P44" s="10">
        <v>1.85</v>
      </c>
      <c r="Q44" s="11"/>
      <c r="R44" s="11"/>
      <c r="S44" s="10">
        <v>2.05</v>
      </c>
      <c r="T44" s="11"/>
      <c r="U44" s="10">
        <v>0.65</v>
      </c>
      <c r="V44" s="5"/>
      <c r="W44" s="5">
        <f t="shared" si="0"/>
        <v>26.15</v>
      </c>
    </row>
    <row r="45" ht="15" spans="1:23">
      <c r="A45" s="10">
        <v>478</v>
      </c>
      <c r="M45" s="10">
        <v>101.85</v>
      </c>
      <c r="N45" s="10">
        <v>123.45</v>
      </c>
      <c r="O45" s="10">
        <v>56.8</v>
      </c>
      <c r="P45" s="10">
        <v>34.35</v>
      </c>
      <c r="Q45" s="10">
        <v>4.7</v>
      </c>
      <c r="R45" s="11"/>
      <c r="S45" s="10">
        <v>32.25</v>
      </c>
      <c r="T45" s="10">
        <v>7.1</v>
      </c>
      <c r="U45" s="10">
        <v>5.65</v>
      </c>
      <c r="V45" s="5"/>
      <c r="W45" s="5">
        <f t="shared" si="0"/>
        <v>366.15</v>
      </c>
    </row>
    <row r="46" ht="15" spans="1:23">
      <c r="A46" s="10">
        <v>1001</v>
      </c>
      <c r="M46" s="10">
        <v>54.05</v>
      </c>
      <c r="N46" s="10">
        <v>95.4</v>
      </c>
      <c r="O46" s="10">
        <v>105.65</v>
      </c>
      <c r="P46" s="10">
        <v>178.65</v>
      </c>
      <c r="Q46" s="10">
        <v>82.15</v>
      </c>
      <c r="R46" s="11"/>
      <c r="S46" s="10">
        <v>30.15</v>
      </c>
      <c r="T46" s="10">
        <v>30</v>
      </c>
      <c r="U46" s="10">
        <v>36.8</v>
      </c>
      <c r="V46" s="5"/>
      <c r="W46" s="5">
        <f t="shared" si="0"/>
        <v>612.85</v>
      </c>
    </row>
    <row r="47" ht="15" spans="1:23">
      <c r="A47" s="10">
        <v>1027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10">
        <v>5.2</v>
      </c>
      <c r="N47" s="10">
        <v>7.15</v>
      </c>
      <c r="O47" s="11"/>
      <c r="P47" s="10">
        <v>1.05</v>
      </c>
      <c r="Q47" s="10">
        <v>1.8</v>
      </c>
      <c r="R47" s="11"/>
      <c r="S47" s="11"/>
      <c r="T47" s="10">
        <v>1.1</v>
      </c>
      <c r="U47" s="11"/>
      <c r="V47" s="5"/>
      <c r="W47" s="5">
        <f t="shared" ref="W47:W68" si="1">SUM(C47:V47)</f>
        <v>16.3</v>
      </c>
    </row>
    <row r="48" ht="15" spans="1:23">
      <c r="A48" s="10">
        <v>672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10">
        <v>30.75</v>
      </c>
      <c r="N48" s="10">
        <v>32.45</v>
      </c>
      <c r="O48" s="10">
        <v>22.1</v>
      </c>
      <c r="P48" s="10">
        <v>8.9</v>
      </c>
      <c r="Q48" s="10">
        <v>3.7</v>
      </c>
      <c r="R48" s="11"/>
      <c r="S48" s="10">
        <v>11.1</v>
      </c>
      <c r="T48" s="10">
        <v>7.35</v>
      </c>
      <c r="U48" s="10">
        <v>4.65</v>
      </c>
      <c r="V48" s="5"/>
      <c r="W48" s="5">
        <f t="shared" si="1"/>
        <v>121</v>
      </c>
    </row>
    <row r="49" ht="15" spans="1:23">
      <c r="A49" s="10">
        <v>1023</v>
      </c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10">
        <v>133.15</v>
      </c>
      <c r="N49" s="10">
        <v>129.95</v>
      </c>
      <c r="O49" s="10">
        <v>148.8</v>
      </c>
      <c r="P49" s="10">
        <v>220.7</v>
      </c>
      <c r="Q49" s="10">
        <v>142.2</v>
      </c>
      <c r="R49" s="11"/>
      <c r="S49" s="10">
        <v>31.65</v>
      </c>
      <c r="T49" s="10">
        <v>45.3</v>
      </c>
      <c r="U49" s="10">
        <v>28.95</v>
      </c>
      <c r="V49" s="5"/>
      <c r="W49" s="5">
        <f t="shared" si="1"/>
        <v>880.7</v>
      </c>
    </row>
    <row r="50" ht="15" spans="1:23">
      <c r="A50" s="10">
        <v>1023</v>
      </c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10">
        <v>111.95</v>
      </c>
      <c r="N50" s="10">
        <v>89.75</v>
      </c>
      <c r="O50" s="10">
        <v>214.6</v>
      </c>
      <c r="P50" s="10">
        <v>171.2</v>
      </c>
      <c r="Q50" s="10">
        <v>78.1</v>
      </c>
      <c r="R50" s="11"/>
      <c r="S50" s="10">
        <v>45.3</v>
      </c>
      <c r="T50" s="10">
        <v>30.05</v>
      </c>
      <c r="U50" s="10">
        <v>36.7</v>
      </c>
      <c r="V50" s="5"/>
      <c r="W50" s="5">
        <f t="shared" si="1"/>
        <v>777.65</v>
      </c>
    </row>
    <row r="51" ht="15" spans="1:23">
      <c r="A51" s="10">
        <v>1005</v>
      </c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10">
        <v>13</v>
      </c>
      <c r="N51" s="10">
        <v>12.95</v>
      </c>
      <c r="O51" s="11"/>
      <c r="P51" s="10">
        <v>3.9</v>
      </c>
      <c r="Q51" s="10">
        <v>0.7</v>
      </c>
      <c r="R51" s="11"/>
      <c r="S51" s="11"/>
      <c r="T51" s="10">
        <v>1.8</v>
      </c>
      <c r="U51" s="10">
        <v>2.35</v>
      </c>
      <c r="V51" s="5"/>
      <c r="W51" s="5">
        <f t="shared" si="1"/>
        <v>34.7</v>
      </c>
    </row>
    <row r="52" ht="15" spans="1:23">
      <c r="A52" s="10">
        <v>2167</v>
      </c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10">
        <v>2145</v>
      </c>
      <c r="N52" s="10">
        <v>1.7</v>
      </c>
      <c r="O52" s="11"/>
      <c r="P52" s="11"/>
      <c r="Q52" s="11"/>
      <c r="R52" s="11"/>
      <c r="S52" s="11"/>
      <c r="T52" s="11"/>
      <c r="U52" s="11"/>
      <c r="V52" s="5"/>
      <c r="W52" s="5">
        <f t="shared" si="1"/>
        <v>2146.7</v>
      </c>
    </row>
    <row r="53" ht="15" spans="1:23">
      <c r="A53" s="10">
        <v>309</v>
      </c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10">
        <v>173.4</v>
      </c>
      <c r="N53" s="10">
        <v>193.95</v>
      </c>
      <c r="O53" s="10">
        <v>154.35</v>
      </c>
      <c r="P53" s="10">
        <v>155.55</v>
      </c>
      <c r="Q53" s="10">
        <v>82.65</v>
      </c>
      <c r="R53" s="11"/>
      <c r="S53" s="11"/>
      <c r="T53" s="10">
        <v>57.65</v>
      </c>
      <c r="U53" s="10">
        <v>56.8</v>
      </c>
      <c r="V53" s="5"/>
      <c r="W53" s="5">
        <f t="shared" si="1"/>
        <v>874.35</v>
      </c>
    </row>
    <row r="54" ht="15" spans="1:23">
      <c r="A54" s="10">
        <v>309</v>
      </c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10">
        <v>123.8</v>
      </c>
      <c r="N54" s="10">
        <v>130.7</v>
      </c>
      <c r="O54" s="10">
        <v>113.45</v>
      </c>
      <c r="P54" s="10">
        <v>85.35</v>
      </c>
      <c r="Q54" s="10">
        <v>34.3</v>
      </c>
      <c r="R54" s="11"/>
      <c r="S54" s="10">
        <v>121.4</v>
      </c>
      <c r="T54" s="10">
        <v>47.9</v>
      </c>
      <c r="U54" s="10">
        <v>62.8</v>
      </c>
      <c r="V54" s="5"/>
      <c r="W54" s="5">
        <f t="shared" si="1"/>
        <v>719.7</v>
      </c>
    </row>
    <row r="55" ht="15" spans="1:23">
      <c r="A55" s="10">
        <v>2161</v>
      </c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10">
        <v>9.75</v>
      </c>
      <c r="N55" s="10">
        <v>24.15</v>
      </c>
      <c r="O55" s="10">
        <v>49.9</v>
      </c>
      <c r="P55" s="10">
        <v>70.55</v>
      </c>
      <c r="Q55" s="10">
        <v>81.5</v>
      </c>
      <c r="R55" s="11"/>
      <c r="S55" s="10">
        <v>11.4</v>
      </c>
      <c r="T55" s="10">
        <v>14.7</v>
      </c>
      <c r="U55" s="10">
        <v>61.3</v>
      </c>
      <c r="V55" s="5"/>
      <c r="W55" s="5">
        <f t="shared" si="1"/>
        <v>323.25</v>
      </c>
    </row>
    <row r="56" ht="15" spans="1:23">
      <c r="A56" s="10">
        <v>2297</v>
      </c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10">
        <v>90.8</v>
      </c>
      <c r="N56" s="10">
        <v>118.3</v>
      </c>
      <c r="O56" s="10">
        <v>97.8</v>
      </c>
      <c r="P56" s="10">
        <v>159.9</v>
      </c>
      <c r="Q56" s="10">
        <v>64.6</v>
      </c>
      <c r="R56" s="11"/>
      <c r="S56" s="10">
        <v>51.45</v>
      </c>
      <c r="T56" s="10">
        <v>42.85</v>
      </c>
      <c r="U56" s="10">
        <v>37.2</v>
      </c>
      <c r="V56" s="5"/>
      <c r="W56" s="5">
        <f t="shared" si="1"/>
        <v>662.9</v>
      </c>
    </row>
    <row r="57" ht="15" spans="1:23">
      <c r="A57" s="10">
        <v>2167</v>
      </c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11"/>
      <c r="N57" s="10">
        <v>1.8</v>
      </c>
      <c r="O57" s="11"/>
      <c r="P57" s="11"/>
      <c r="Q57" s="11"/>
      <c r="R57" s="11"/>
      <c r="S57" s="11"/>
      <c r="T57" s="11"/>
      <c r="U57" s="11"/>
      <c r="V57" s="5"/>
      <c r="W57" s="5">
        <f t="shared" si="1"/>
        <v>1.8</v>
      </c>
    </row>
    <row r="58" ht="15" spans="1:23">
      <c r="A58" s="10">
        <v>1030</v>
      </c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10">
        <v>21.25</v>
      </c>
      <c r="N58" s="10">
        <v>33.3</v>
      </c>
      <c r="O58" s="10">
        <v>42.1</v>
      </c>
      <c r="P58" s="10">
        <v>87.05</v>
      </c>
      <c r="Q58" s="10">
        <v>53.55</v>
      </c>
      <c r="R58" s="11"/>
      <c r="S58" s="10">
        <v>15.4</v>
      </c>
      <c r="T58" s="10">
        <v>18.2</v>
      </c>
      <c r="U58" s="10">
        <v>36.45</v>
      </c>
      <c r="V58" s="5"/>
      <c r="W58" s="5">
        <f t="shared" si="1"/>
        <v>307.3</v>
      </c>
    </row>
    <row r="59" ht="15" spans="1:23">
      <c r="A59" s="10">
        <v>260</v>
      </c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10">
        <v>53.6</v>
      </c>
      <c r="N59" s="10">
        <v>73.45</v>
      </c>
      <c r="O59" s="10">
        <v>45.4</v>
      </c>
      <c r="P59" s="10">
        <v>41.25</v>
      </c>
      <c r="Q59" s="10">
        <v>16.2</v>
      </c>
      <c r="R59" s="11"/>
      <c r="S59" s="10">
        <v>44.7</v>
      </c>
      <c r="T59" s="10">
        <v>24</v>
      </c>
      <c r="U59" s="10">
        <v>12.2</v>
      </c>
      <c r="V59" s="5"/>
      <c r="W59" s="5">
        <f t="shared" si="1"/>
        <v>310.8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1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1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1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1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1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1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1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1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si="1"/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ref="W69:W132" si="2">SUM(C69:V69)</f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2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2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2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2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2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2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2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2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2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2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2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2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2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2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2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2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2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2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2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2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2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2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2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2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2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2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2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2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2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2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2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2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2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2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2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2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2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2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2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2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2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2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2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2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2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2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2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2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2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2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2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2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2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2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2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2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2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2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2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2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2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2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si="2"/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ref="W133:W196" si="3">SUM(C133:V133)</f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3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3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3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3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3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3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3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3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3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3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3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3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3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3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3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3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3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3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3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3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3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3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3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3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3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3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3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3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3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3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3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3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3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3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3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3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3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3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3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3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3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3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3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3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3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3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3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3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3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3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3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3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3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3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3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3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3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3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3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3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3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3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si="3"/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ref="W197:W260" si="4">SUM(C197:V197)</f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4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4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4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4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4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4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4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4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4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4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4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4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4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4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4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4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4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4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4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4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4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4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4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4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4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4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4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4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4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4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4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4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4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4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4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4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4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4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4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4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4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4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4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4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4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4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4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4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4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4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4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4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4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4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4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4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4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4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4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4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4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4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si="4"/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ref="W261:W324" si="5">SUM(C261:V261)</f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5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5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5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5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5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5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5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5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5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5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5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5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5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5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5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5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5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5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5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5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5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5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5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5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5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5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5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5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5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5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5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5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5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5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5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5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5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5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5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5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5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5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5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5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5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5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5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5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5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5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5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5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5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5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5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5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5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5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5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5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5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5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si="5"/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ref="W325:W349" si="6">SUM(C325:V325)</f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6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6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6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6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6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6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6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6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6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6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6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6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6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6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6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6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6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6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6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6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6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6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6"/>
        <v>0</v>
      </c>
    </row>
    <row r="349" spans="1:23">
      <c r="A349" s="3"/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>
        <f t="shared" si="6"/>
        <v>0</v>
      </c>
    </row>
    <row r="350" spans="3:23">
      <c r="C350" s="6">
        <f t="shared" ref="C350:V350" si="7">SUM(C1:C349)</f>
        <v>0</v>
      </c>
      <c r="D350" s="6">
        <f t="shared" si="7"/>
        <v>0</v>
      </c>
      <c r="E350" s="6">
        <f t="shared" si="7"/>
        <v>0</v>
      </c>
      <c r="F350" s="6">
        <f t="shared" si="7"/>
        <v>0</v>
      </c>
      <c r="G350" s="6">
        <f t="shared" si="7"/>
        <v>0</v>
      </c>
      <c r="H350" s="6">
        <f t="shared" si="7"/>
        <v>0</v>
      </c>
      <c r="I350" s="6">
        <f t="shared" si="7"/>
        <v>0</v>
      </c>
      <c r="J350" s="6">
        <f t="shared" si="7"/>
        <v>0</v>
      </c>
      <c r="K350" s="6">
        <f t="shared" si="7"/>
        <v>0</v>
      </c>
      <c r="L350" s="6">
        <f t="shared" si="7"/>
        <v>0</v>
      </c>
      <c r="M350" s="6">
        <f t="shared" si="7"/>
        <v>4362.45</v>
      </c>
      <c r="N350" s="6">
        <f t="shared" si="7"/>
        <v>2319.3</v>
      </c>
      <c r="O350" s="6">
        <f t="shared" si="7"/>
        <v>2380.12</v>
      </c>
      <c r="P350" s="6">
        <f t="shared" si="7"/>
        <v>2717.925</v>
      </c>
      <c r="Q350" s="6">
        <f t="shared" si="7"/>
        <v>1455.3</v>
      </c>
      <c r="R350" s="6">
        <f t="shared" si="7"/>
        <v>0</v>
      </c>
      <c r="S350" s="6">
        <f t="shared" si="7"/>
        <v>909.25</v>
      </c>
      <c r="T350" s="6">
        <f t="shared" si="7"/>
        <v>562.1</v>
      </c>
      <c r="U350" s="6">
        <f t="shared" si="7"/>
        <v>753.45</v>
      </c>
      <c r="V350" s="6">
        <f t="shared" si="7"/>
        <v>0</v>
      </c>
      <c r="W350" s="6">
        <f>SUM(W2:W349)</f>
        <v>15459.895</v>
      </c>
    </row>
    <row r="359" spans="22:22">
      <c r="V359" t="s">
        <v>23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9" activePane="bottomLeft" state="frozen"/>
      <selection/>
      <selection pane="bottomLeft" activeCell="A69" sqref="A6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404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f>19.15+12.65</f>
        <v>31.8</v>
      </c>
      <c r="N2" s="5">
        <v>1.8</v>
      </c>
      <c r="O2" s="5"/>
      <c r="P2" s="5"/>
      <c r="Q2" s="5"/>
      <c r="R2" s="5"/>
      <c r="S2" s="5">
        <v>6.55</v>
      </c>
      <c r="T2" s="5"/>
      <c r="U2" s="5"/>
      <c r="V2" s="5"/>
      <c r="W2" s="5">
        <f t="shared" ref="W2:W67" si="0">SUM(C2:V2)</f>
        <v>40.15</v>
      </c>
    </row>
    <row r="3" spans="1:23">
      <c r="A3" s="3">
        <v>2198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6.6</v>
      </c>
      <c r="N3" s="5">
        <v>19</v>
      </c>
      <c r="O3" s="5">
        <v>4.2</v>
      </c>
      <c r="P3" s="5">
        <v>5.1</v>
      </c>
      <c r="Q3" s="5">
        <v>0.8</v>
      </c>
      <c r="R3" s="5"/>
      <c r="S3" s="5"/>
      <c r="T3" s="5"/>
      <c r="U3" s="5"/>
      <c r="V3" s="5"/>
      <c r="W3" s="5">
        <f t="shared" si="0"/>
        <v>35.7</v>
      </c>
    </row>
    <row r="4" spans="1:23">
      <c r="A4" s="3">
        <v>1026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>
        <f>7.25+1.65</f>
        <v>8.9</v>
      </c>
      <c r="O4" s="5">
        <v>4.25</v>
      </c>
      <c r="P4" s="5"/>
      <c r="Q4" s="5"/>
      <c r="R4" s="5"/>
      <c r="S4" s="5"/>
      <c r="T4" s="5">
        <v>1.1</v>
      </c>
      <c r="U4" s="5"/>
      <c r="V4" s="5"/>
      <c r="W4" s="5">
        <f t="shared" si="0"/>
        <v>14.25</v>
      </c>
    </row>
    <row r="5" spans="1:23">
      <c r="A5" s="3">
        <v>1651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f>17.6+12.05</f>
        <v>29.65</v>
      </c>
      <c r="N5" s="5">
        <v>16</v>
      </c>
      <c r="O5" s="5">
        <f>14.65+9.2</f>
        <v>23.85</v>
      </c>
      <c r="P5" s="5">
        <v>10.6</v>
      </c>
      <c r="Q5" s="5">
        <v>1.85</v>
      </c>
      <c r="R5" s="5"/>
      <c r="S5" s="5"/>
      <c r="T5" s="5"/>
      <c r="U5" s="5"/>
      <c r="V5" s="5"/>
      <c r="W5" s="5">
        <f t="shared" si="0"/>
        <v>81.95</v>
      </c>
    </row>
    <row r="6" spans="1:23">
      <c r="A6" s="3">
        <v>1017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24.95</v>
      </c>
      <c r="N6" s="5">
        <v>12.55</v>
      </c>
      <c r="O6" s="5">
        <v>16.15</v>
      </c>
      <c r="P6" s="5">
        <f>14.75+1</f>
        <v>15.75</v>
      </c>
      <c r="Q6" s="5"/>
      <c r="R6" s="5"/>
      <c r="S6" s="5">
        <v>6.25</v>
      </c>
      <c r="T6" s="5">
        <v>1.25</v>
      </c>
      <c r="U6" s="5">
        <v>1.45</v>
      </c>
      <c r="V6" s="5"/>
      <c r="W6" s="5">
        <f t="shared" si="0"/>
        <v>78.35</v>
      </c>
    </row>
    <row r="7" spans="1:23">
      <c r="A7" s="3">
        <v>213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27.2</v>
      </c>
      <c r="N7" s="5">
        <v>11.3</v>
      </c>
      <c r="O7" s="5">
        <v>2.55</v>
      </c>
      <c r="P7" s="5"/>
      <c r="Q7" s="5"/>
      <c r="R7" s="5"/>
      <c r="S7" s="5">
        <v>4.05</v>
      </c>
      <c r="T7" s="5"/>
      <c r="U7" s="5">
        <v>2.1</v>
      </c>
      <c r="V7" s="5"/>
      <c r="W7" s="5">
        <f t="shared" si="0"/>
        <v>47.2</v>
      </c>
    </row>
    <row r="8" spans="1:23">
      <c r="A8" s="3">
        <v>828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8.05</v>
      </c>
      <c r="N8" s="5">
        <v>1.7</v>
      </c>
      <c r="O8" s="5">
        <v>18.45</v>
      </c>
      <c r="P8" s="5">
        <v>18.6</v>
      </c>
      <c r="Q8" s="5">
        <v>12.5</v>
      </c>
      <c r="R8" s="5"/>
      <c r="S8" s="5"/>
      <c r="T8" s="5">
        <v>1.25</v>
      </c>
      <c r="U8" s="5">
        <v>4.15</v>
      </c>
      <c r="V8" s="5"/>
      <c r="W8" s="5">
        <f t="shared" si="0"/>
        <v>64.7</v>
      </c>
    </row>
    <row r="9" spans="1:23">
      <c r="A9" s="3">
        <v>1006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>
        <v>10.3</v>
      </c>
      <c r="O9" s="5">
        <f>15.55+7.2</f>
        <v>22.75</v>
      </c>
      <c r="P9" s="5">
        <f>16.85+12.2</f>
        <v>29.05</v>
      </c>
      <c r="Q9" s="5">
        <f>12.65+6.5</f>
        <v>19.15</v>
      </c>
      <c r="R9" s="5"/>
      <c r="S9" s="5"/>
      <c r="T9" s="5">
        <v>2.8</v>
      </c>
      <c r="U9" s="5">
        <v>7.05</v>
      </c>
      <c r="V9" s="5"/>
      <c r="W9" s="5">
        <f t="shared" si="0"/>
        <v>91.1</v>
      </c>
    </row>
    <row r="10" spans="1:23">
      <c r="A10" s="3">
        <v>2167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f>18.4+20.65+13.85+13.9+18.4+18.45+17.3+14.9</f>
        <v>135.85</v>
      </c>
      <c r="N10" s="5">
        <f>18.7+18.1+19.2+21.85+21.8+21.85+24.6+22.7+8.55</f>
        <v>177.35</v>
      </c>
      <c r="O10" s="5">
        <f>14.45+18.9+17.45+16.5+16.45+18.1+17.45+18.4+21.85+20.35+21+20.85</f>
        <v>221.75</v>
      </c>
      <c r="P10" s="5">
        <f>14.25+15.15+18.5+18.85+19.45+22.65+19.85+22.2+13.95</f>
        <v>164.85</v>
      </c>
      <c r="Q10" s="5">
        <f>14.2+16.95+21.3+9.6</f>
        <v>62.05</v>
      </c>
      <c r="R10" s="5"/>
      <c r="S10" s="5">
        <f>21.05+17.95+20.95+27.05</f>
        <v>87</v>
      </c>
      <c r="T10" s="5">
        <f>22.15+6.65</f>
        <v>28.8</v>
      </c>
      <c r="U10" s="5">
        <f>18.05+15.35</f>
        <v>33.4</v>
      </c>
      <c r="V10" s="5"/>
      <c r="W10" s="5">
        <f t="shared" si="0"/>
        <v>911.05</v>
      </c>
    </row>
    <row r="11" spans="1:23">
      <c r="A11" s="3">
        <v>309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f>23+21.2+24.55+20.1+20+21.15+24.25+6.95</f>
        <v>161.2</v>
      </c>
      <c r="N11" s="5">
        <f>21.25+19.25+16.8+23.2+16.55+24.65+18.15+17.75+22.45</f>
        <v>180.05</v>
      </c>
      <c r="O11" s="5">
        <f>20.3+25.05+28+23.5+21.45+17.45+18.7+15.65</f>
        <v>170.1</v>
      </c>
      <c r="P11" s="5">
        <f>21.65+24.35+20.5+19.55+22.45+18.85+21.5+19.3+24.9+12.25</f>
        <v>205.3</v>
      </c>
      <c r="Q11" s="5">
        <f>21.2+24.05+19.45+17.05</f>
        <v>81.75</v>
      </c>
      <c r="R11" s="5"/>
      <c r="S11" s="5">
        <f>24+19.7</f>
        <v>43.7</v>
      </c>
      <c r="T11" s="5">
        <f>19.7+11.15</f>
        <v>30.85</v>
      </c>
      <c r="U11" s="5">
        <f>19.05+16.15</f>
        <v>35.2</v>
      </c>
      <c r="V11" s="5"/>
      <c r="W11" s="5">
        <f t="shared" si="0"/>
        <v>908.15</v>
      </c>
    </row>
    <row r="12" spans="1:23">
      <c r="A12" s="3">
        <v>672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f>11.2+13.35+15.15+13.45+14.5</f>
        <v>67.65</v>
      </c>
      <c r="N12" s="5">
        <f>17+12.9+15.2+12.55+10.65+17.35+21</f>
        <v>106.65</v>
      </c>
      <c r="O12" s="5">
        <f>10.65+18.45+15.5+14.05+17+13.25+12.85+20.65+12</f>
        <v>134.4</v>
      </c>
      <c r="P12" s="5">
        <f>19.55+14.8+15.6+13.1+19.55+16.95</f>
        <v>99.55</v>
      </c>
      <c r="Q12" s="5">
        <f>13.1+17.15+7.15</f>
        <v>37.4</v>
      </c>
      <c r="R12" s="5"/>
      <c r="S12" s="5">
        <f>18+17.8+22.1+14.4</f>
        <v>72.3</v>
      </c>
      <c r="T12" s="5">
        <v>13.35</v>
      </c>
      <c r="U12" s="5">
        <v>12.5</v>
      </c>
      <c r="V12" s="5"/>
      <c r="W12" s="5">
        <f t="shared" si="0"/>
        <v>543.8</v>
      </c>
    </row>
    <row r="13" spans="1:23">
      <c r="A13" s="3">
        <v>209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7.8</v>
      </c>
      <c r="N13" s="5">
        <v>3.55</v>
      </c>
      <c r="O13" s="5"/>
      <c r="P13" s="5"/>
      <c r="Q13" s="5"/>
      <c r="R13" s="5"/>
      <c r="S13" s="5"/>
      <c r="T13" s="5"/>
      <c r="U13" s="5"/>
      <c r="V13" s="5"/>
      <c r="W13" s="5">
        <f t="shared" si="0"/>
        <v>11.35</v>
      </c>
    </row>
    <row r="14" spans="1:23">
      <c r="A14" s="3">
        <v>354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f>14.8+14.3+5.8</f>
        <v>34.9</v>
      </c>
      <c r="N14" s="5">
        <f>11.5+15.8+18.2+13</f>
        <v>58.5</v>
      </c>
      <c r="O14" s="5">
        <f>18.1+15.8+11.2+21.45+20.35+4.8</f>
        <v>91.7</v>
      </c>
      <c r="P14" s="5">
        <f>19.2+17.95+16.65+18.3+20.4+3.25</f>
        <v>95.75</v>
      </c>
      <c r="Q14" s="5">
        <f>13.45+12.1+10.15</f>
        <v>35.7</v>
      </c>
      <c r="R14" s="5"/>
      <c r="S14" s="5">
        <f>21.35+11.1</f>
        <v>32.45</v>
      </c>
      <c r="T14" s="5">
        <v>5.3</v>
      </c>
      <c r="U14" s="5">
        <v>16.35</v>
      </c>
      <c r="V14" s="5"/>
      <c r="W14" s="5">
        <f t="shared" si="0"/>
        <v>370.65</v>
      </c>
    </row>
    <row r="15" spans="1:23">
      <c r="A15" s="3">
        <v>1792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v>22.8</v>
      </c>
      <c r="N15" s="5">
        <v>20.4</v>
      </c>
      <c r="O15" s="5">
        <f>14.5+17.15</f>
        <v>31.65</v>
      </c>
      <c r="P15" s="5">
        <f>21.35+12.3</f>
        <v>33.65</v>
      </c>
      <c r="Q15" s="5">
        <v>13.05</v>
      </c>
      <c r="R15" s="5"/>
      <c r="S15" s="5">
        <v>19.15</v>
      </c>
      <c r="T15" s="5">
        <v>1.2</v>
      </c>
      <c r="U15" s="5">
        <v>1.75</v>
      </c>
      <c r="V15" s="5"/>
      <c r="W15" s="5">
        <f t="shared" si="0"/>
        <v>143.65</v>
      </c>
    </row>
    <row r="16" spans="1:23">
      <c r="A16" s="3">
        <v>207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20.15</v>
      </c>
      <c r="N16" s="5">
        <v>7.45</v>
      </c>
      <c r="O16" s="5">
        <v>4.35</v>
      </c>
      <c r="P16" s="5">
        <f>16.2+4.8</f>
        <v>21</v>
      </c>
      <c r="Q16" s="5">
        <f>19.35+2.55</f>
        <v>21.9</v>
      </c>
      <c r="R16" s="5"/>
      <c r="S16" s="5">
        <v>6.75</v>
      </c>
      <c r="T16" s="5">
        <v>1.8</v>
      </c>
      <c r="U16" s="5">
        <v>5.4</v>
      </c>
      <c r="V16" s="5"/>
      <c r="W16" s="5">
        <f t="shared" si="0"/>
        <v>88.8</v>
      </c>
    </row>
    <row r="17" spans="1:23">
      <c r="A17" s="3">
        <v>476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f>15.6+5.05</f>
        <v>20.65</v>
      </c>
      <c r="N17" s="5">
        <v>20.9</v>
      </c>
      <c r="O17" s="5">
        <f>18.65+17.25</f>
        <v>35.9</v>
      </c>
      <c r="P17" s="5">
        <f>18.25+19.25+24.55+22.3+4.9</f>
        <v>89.25</v>
      </c>
      <c r="Q17" s="5">
        <f>17.1+22.5+13.35</f>
        <v>52.95</v>
      </c>
      <c r="R17" s="5"/>
      <c r="S17" s="5">
        <v>12.15</v>
      </c>
      <c r="T17" s="5">
        <v>11.85</v>
      </c>
      <c r="U17" s="5">
        <f>24+2.9</f>
        <v>26.9</v>
      </c>
      <c r="V17" s="5"/>
      <c r="W17" s="5">
        <f t="shared" si="0"/>
        <v>270.55</v>
      </c>
    </row>
    <row r="18" spans="1:23">
      <c r="A18" s="3">
        <v>1745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2</v>
      </c>
      <c r="N18" s="5"/>
      <c r="O18" s="5">
        <v>13.05</v>
      </c>
      <c r="P18" s="5">
        <v>19.2</v>
      </c>
      <c r="Q18" s="5">
        <v>10.35</v>
      </c>
      <c r="R18" s="5"/>
      <c r="S18" s="5">
        <v>3.9</v>
      </c>
      <c r="T18" s="5"/>
      <c r="U18" s="5">
        <v>5.5</v>
      </c>
      <c r="V18" s="5"/>
      <c r="W18" s="5">
        <f t="shared" si="0"/>
        <v>54</v>
      </c>
    </row>
    <row r="19" spans="1:23">
      <c r="A19" s="3">
        <v>1975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v>24.55</v>
      </c>
      <c r="N19" s="5">
        <v>12.9</v>
      </c>
      <c r="O19" s="5">
        <v>19.3</v>
      </c>
      <c r="P19" s="5">
        <v>15.25</v>
      </c>
      <c r="Q19" s="5">
        <v>5.75</v>
      </c>
      <c r="R19" s="5"/>
      <c r="S19" s="5">
        <v>6</v>
      </c>
      <c r="T19" s="5">
        <v>2.75</v>
      </c>
      <c r="U19" s="5">
        <v>7</v>
      </c>
      <c r="V19" s="5"/>
      <c r="W19" s="5">
        <f t="shared" si="0"/>
        <v>93.5</v>
      </c>
    </row>
    <row r="20" spans="1:23">
      <c r="A20" s="3">
        <v>1009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f>21.25+4.3</f>
        <v>25.55</v>
      </c>
      <c r="N20" s="5">
        <v>19.6</v>
      </c>
      <c r="O20" s="5">
        <v>10</v>
      </c>
      <c r="P20" s="5">
        <v>2.4</v>
      </c>
      <c r="Q20" s="5"/>
      <c r="R20" s="5"/>
      <c r="S20" s="5">
        <v>3.45</v>
      </c>
      <c r="T20" s="5"/>
      <c r="U20" s="5">
        <v>0.95</v>
      </c>
      <c r="V20" s="5"/>
      <c r="W20" s="5">
        <f t="shared" si="0"/>
        <v>61.95</v>
      </c>
    </row>
    <row r="21" spans="1:23">
      <c r="A21" s="3">
        <v>1791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v>12.85</v>
      </c>
      <c r="N21" s="5">
        <v>7.55</v>
      </c>
      <c r="O21" s="5">
        <v>7.65</v>
      </c>
      <c r="P21" s="5">
        <f>22.5+6.65</f>
        <v>29.15</v>
      </c>
      <c r="Q21" s="5">
        <v>7.35</v>
      </c>
      <c r="R21" s="5"/>
      <c r="S21" s="5">
        <v>3.35</v>
      </c>
      <c r="T21" s="5"/>
      <c r="U21" s="5">
        <v>3.95</v>
      </c>
      <c r="V21" s="5"/>
      <c r="W21" s="5">
        <f t="shared" si="0"/>
        <v>71.85</v>
      </c>
    </row>
    <row r="22" spans="1:23">
      <c r="A22" s="3">
        <v>477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f>24.255+19.95+28.4</f>
        <v>72.605</v>
      </c>
      <c r="N22" s="5">
        <f>18.2+22.75+22+19.35+22.35+18.95+3.7</f>
        <v>127.3</v>
      </c>
      <c r="O22" s="5">
        <f>19.75+19.1+17.4+20.8+22.4+17.35+15.1</f>
        <v>131.9</v>
      </c>
      <c r="P22" s="5">
        <f>19.9+15.55+20.6+24.05+18.55+21.95+3.5</f>
        <v>124.1</v>
      </c>
      <c r="Q22" s="5">
        <f>22.9+19.3+21.7</f>
        <v>63.9</v>
      </c>
      <c r="R22" s="5"/>
      <c r="S22" s="5">
        <f>16.65+25.4</f>
        <v>42.05</v>
      </c>
      <c r="T22" s="5">
        <v>16.35</v>
      </c>
      <c r="U22" s="5">
        <v>23.75</v>
      </c>
      <c r="V22" s="5"/>
      <c r="W22" s="5">
        <f t="shared" si="0"/>
        <v>601.955</v>
      </c>
    </row>
    <row r="23" spans="1:23">
      <c r="A23" s="3">
        <v>1010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f>15.35+27.5+26.85+25.9</f>
        <v>95.6</v>
      </c>
      <c r="N23" s="5">
        <f>16.6+25.95+21.05+22.65+21</f>
        <v>107.25</v>
      </c>
      <c r="O23" s="5">
        <f>27.2+19.8+12.2</f>
        <v>59.2</v>
      </c>
      <c r="P23" s="5">
        <f>18.4+24.75</f>
        <v>43.15</v>
      </c>
      <c r="Q23" s="5">
        <v>11.3</v>
      </c>
      <c r="R23" s="5"/>
      <c r="S23" s="5">
        <v>9.25</v>
      </c>
      <c r="T23" s="5">
        <v>2.8</v>
      </c>
      <c r="U23" s="5">
        <v>2.65</v>
      </c>
      <c r="V23" s="5"/>
      <c r="W23" s="5">
        <f t="shared" si="0"/>
        <v>331.2</v>
      </c>
    </row>
    <row r="24" spans="1:23">
      <c r="A24" s="3">
        <v>1012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>
        <f>14.65+5.15</f>
        <v>19.8</v>
      </c>
      <c r="N24" s="5"/>
      <c r="O24" s="5">
        <f>16.15+19.95+9.9</f>
        <v>46</v>
      </c>
      <c r="P24" s="5">
        <f>15+18.7+17.6+2.45</f>
        <v>53.75</v>
      </c>
      <c r="Q24" s="5">
        <f>18.35+21+15.4</f>
        <v>54.75</v>
      </c>
      <c r="R24" s="5"/>
      <c r="S24" s="5"/>
      <c r="T24" s="5">
        <v>13.6</v>
      </c>
      <c r="U24" s="5">
        <v>12.5</v>
      </c>
      <c r="V24" s="5"/>
      <c r="W24" s="5">
        <f t="shared" si="0"/>
        <v>200.4</v>
      </c>
    </row>
    <row r="25" spans="1:23">
      <c r="A25" s="3">
        <v>2425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>
        <f>16.1+25.05</f>
        <v>41.15</v>
      </c>
      <c r="N25" s="5">
        <f>23.55+15.9+11.15</f>
        <v>50.6</v>
      </c>
      <c r="O25" s="5">
        <f>24.65+8.4</f>
        <v>33.05</v>
      </c>
      <c r="P25" s="5">
        <f>21+8.15</f>
        <v>29.15</v>
      </c>
      <c r="Q25" s="5">
        <v>21.8</v>
      </c>
      <c r="R25" s="5"/>
      <c r="S25" s="5"/>
      <c r="T25" s="5">
        <v>1.3</v>
      </c>
      <c r="U25" s="5">
        <v>5.75</v>
      </c>
      <c r="V25" s="5"/>
      <c r="W25" s="5">
        <f t="shared" si="0"/>
        <v>182.8</v>
      </c>
    </row>
    <row r="26" spans="1:23">
      <c r="A26" s="3">
        <v>2415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>
        <v>14.7</v>
      </c>
      <c r="N26" s="5">
        <v>23.7</v>
      </c>
      <c r="O26" s="5">
        <v>13.05</v>
      </c>
      <c r="P26" s="5">
        <v>6</v>
      </c>
      <c r="Q26" s="5">
        <v>1.8</v>
      </c>
      <c r="R26" s="5"/>
      <c r="S26" s="5">
        <v>9.95</v>
      </c>
      <c r="T26" s="5">
        <v>1.8</v>
      </c>
      <c r="U26" s="5">
        <v>2.75</v>
      </c>
      <c r="V26" s="5"/>
      <c r="W26" s="5">
        <f t="shared" si="0"/>
        <v>73.75</v>
      </c>
    </row>
    <row r="27" spans="1:23">
      <c r="A27" s="3">
        <v>260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f>18.95+19.35+17.6+20.85+28.15+22.9+25.8</f>
        <v>153.6</v>
      </c>
      <c r="N27" s="5">
        <f>16.55+21.35+24.25+22.45+23.25+25.55+21.95+3.9</f>
        <v>159.25</v>
      </c>
      <c r="O27" s="5">
        <f>28.55+16.4+26.75+18.9+23.9+27+18.8+21.9+20.6+10.3</f>
        <v>213.1</v>
      </c>
      <c r="P27" s="5">
        <f>29+21+26.65+21.4+17.1+24.2+22.75</f>
        <v>162.1</v>
      </c>
      <c r="Q27" s="5">
        <f>23.75+15.55+21.55+18.75</f>
        <v>79.6</v>
      </c>
      <c r="R27" s="5"/>
      <c r="S27" s="5">
        <f>22.95+25.1+23.1+23.05+28.5</f>
        <v>122.7</v>
      </c>
      <c r="T27" s="5">
        <f>18.2+21.15</f>
        <v>39.35</v>
      </c>
      <c r="U27" s="5">
        <f>18.4+15.25</f>
        <v>33.65</v>
      </c>
      <c r="V27" s="5"/>
      <c r="W27" s="5">
        <f t="shared" si="0"/>
        <v>963.35</v>
      </c>
    </row>
    <row r="28" spans="1:23">
      <c r="A28" s="3">
        <v>672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f>7.9+25.3+12.75+23.75</f>
        <v>69.7</v>
      </c>
      <c r="N28" s="5">
        <f>7.1+27.65+15.9</f>
        <v>50.65</v>
      </c>
      <c r="O28" s="5">
        <f>21.75+19.1+19.85+13.05+24.15+1.4</f>
        <v>99.3</v>
      </c>
      <c r="P28" s="5">
        <f>18.9+19.25+24.35+18.75+17.9+22.9</f>
        <v>122.05</v>
      </c>
      <c r="Q28" s="5">
        <f>23.55+16.7+24.25+24.8</f>
        <v>89.3</v>
      </c>
      <c r="R28" s="5"/>
      <c r="S28" s="5">
        <v>25.15</v>
      </c>
      <c r="T28" s="5">
        <v>30.55</v>
      </c>
      <c r="U28" s="5">
        <f>19.2+18.8+14.7</f>
        <v>52.7</v>
      </c>
      <c r="V28" s="5"/>
      <c r="W28" s="5">
        <f t="shared" si="0"/>
        <v>539.4</v>
      </c>
    </row>
    <row r="29" spans="1:23">
      <c r="A29" s="3">
        <v>103.8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10.5</v>
      </c>
      <c r="N29" s="5">
        <v>6.1</v>
      </c>
      <c r="O29" s="5">
        <v>4.35</v>
      </c>
      <c r="P29" s="5">
        <v>0.9</v>
      </c>
      <c r="Q29" s="5"/>
      <c r="R29" s="5"/>
      <c r="S29" s="5">
        <v>3.35</v>
      </c>
      <c r="T29" s="5"/>
      <c r="U29" s="5"/>
      <c r="V29" s="5"/>
      <c r="W29" s="5">
        <f t="shared" si="0"/>
        <v>25.2</v>
      </c>
    </row>
    <row r="30" spans="1:23">
      <c r="A30" s="3">
        <v>1037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v>2.9</v>
      </c>
      <c r="N30" s="5"/>
      <c r="O30" s="5">
        <v>1.4</v>
      </c>
      <c r="P30" s="5">
        <v>5.9</v>
      </c>
      <c r="Q30" s="5">
        <v>6.1</v>
      </c>
      <c r="R30" s="5"/>
      <c r="S30" s="5"/>
      <c r="T30" s="5"/>
      <c r="U30" s="5"/>
      <c r="V30" s="5"/>
      <c r="W30" s="5">
        <f t="shared" si="0"/>
        <v>16.3</v>
      </c>
    </row>
    <row r="31" spans="1:23">
      <c r="A31" s="3">
        <v>333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v>17.9</v>
      </c>
      <c r="N31" s="5">
        <v>15.25</v>
      </c>
      <c r="O31" s="5">
        <v>2.95</v>
      </c>
      <c r="P31" s="5">
        <v>5.55</v>
      </c>
      <c r="Q31" s="5"/>
      <c r="R31" s="5"/>
      <c r="S31" s="5">
        <v>3.5</v>
      </c>
      <c r="T31" s="5">
        <v>3.65</v>
      </c>
      <c r="U31" s="5"/>
      <c r="V31" s="5"/>
      <c r="W31" s="5">
        <f t="shared" si="0"/>
        <v>48.8</v>
      </c>
    </row>
    <row r="32" spans="1:23">
      <c r="A32" s="3">
        <v>999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17.05</v>
      </c>
      <c r="N32" s="5">
        <v>14.55</v>
      </c>
      <c r="O32" s="5">
        <v>10.05</v>
      </c>
      <c r="P32" s="5">
        <v>17</v>
      </c>
      <c r="Q32" s="5">
        <v>9.8</v>
      </c>
      <c r="R32" s="5"/>
      <c r="S32" s="5">
        <v>8.5</v>
      </c>
      <c r="T32" s="5">
        <v>1.5</v>
      </c>
      <c r="U32" s="5">
        <v>5.1</v>
      </c>
      <c r="V32" s="5"/>
      <c r="W32" s="5">
        <f t="shared" si="0"/>
        <v>83.55</v>
      </c>
    </row>
    <row r="33" spans="1:23">
      <c r="A33" s="3">
        <v>478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f>27.7+25.5+28.2+32.7</f>
        <v>114.1</v>
      </c>
      <c r="N33" s="5">
        <v>25.5</v>
      </c>
      <c r="O33" s="5">
        <f>20.4+1.5</f>
        <v>21.9</v>
      </c>
      <c r="P33" s="5">
        <v>23.55</v>
      </c>
      <c r="Q33" s="5">
        <v>8.6</v>
      </c>
      <c r="R33" s="5"/>
      <c r="S33" s="5">
        <v>13.5</v>
      </c>
      <c r="T33" s="5">
        <v>10.45</v>
      </c>
      <c r="U33" s="5">
        <v>7.9</v>
      </c>
      <c r="V33" s="5"/>
      <c r="W33" s="5">
        <f t="shared" si="0"/>
        <v>225.5</v>
      </c>
    </row>
    <row r="34" spans="1:23">
      <c r="A34" s="3">
        <v>1039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v>22.15</v>
      </c>
      <c r="N34" s="5">
        <v>17.75</v>
      </c>
      <c r="O34" s="5">
        <v>6.5</v>
      </c>
      <c r="P34" s="5">
        <v>3.65</v>
      </c>
      <c r="Q34" s="5">
        <v>1.8</v>
      </c>
      <c r="R34" s="5"/>
      <c r="S34" s="5">
        <v>3.8</v>
      </c>
      <c r="T34" s="5"/>
      <c r="U34" s="5"/>
      <c r="V34" s="5"/>
      <c r="W34" s="5">
        <f t="shared" si="0"/>
        <v>55.65</v>
      </c>
    </row>
    <row r="35" spans="1:23">
      <c r="A35" s="3">
        <v>444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v>15.25</v>
      </c>
      <c r="N35" s="5">
        <v>6.8</v>
      </c>
      <c r="O35" s="5">
        <v>11.55</v>
      </c>
      <c r="P35" s="5">
        <v>10.7</v>
      </c>
      <c r="Q35" s="5">
        <v>5</v>
      </c>
      <c r="R35" s="5"/>
      <c r="S35" s="5">
        <v>9.3</v>
      </c>
      <c r="T35" s="5">
        <v>7.55</v>
      </c>
      <c r="U35" s="5">
        <v>7.25</v>
      </c>
      <c r="V35" s="5"/>
      <c r="W35" s="5">
        <f t="shared" si="0"/>
        <v>73.4</v>
      </c>
    </row>
    <row r="36" spans="1:23">
      <c r="A36" s="3">
        <v>180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4.55</v>
      </c>
      <c r="N36" s="5">
        <v>1.9</v>
      </c>
      <c r="O36" s="5">
        <v>1.3</v>
      </c>
      <c r="P36" s="5"/>
      <c r="Q36" s="5"/>
      <c r="R36" s="5"/>
      <c r="S36" s="5">
        <v>6.2</v>
      </c>
      <c r="T36" s="5">
        <v>1.75</v>
      </c>
      <c r="U36" s="5"/>
      <c r="V36" s="5"/>
      <c r="W36" s="5">
        <f t="shared" si="0"/>
        <v>15.7</v>
      </c>
    </row>
    <row r="37" spans="1:23">
      <c r="A37" s="3">
        <v>560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>
        <v>1.6</v>
      </c>
      <c r="O37" s="5">
        <v>8.35</v>
      </c>
      <c r="P37" s="5">
        <v>11.1</v>
      </c>
      <c r="Q37" s="5">
        <v>5.25</v>
      </c>
      <c r="R37" s="5"/>
      <c r="S37" s="5">
        <v>2.35</v>
      </c>
      <c r="T37" s="5">
        <v>5.25</v>
      </c>
      <c r="U37" s="5">
        <v>1.5</v>
      </c>
      <c r="V37" s="5"/>
      <c r="W37" s="5">
        <f t="shared" si="0"/>
        <v>35.4</v>
      </c>
    </row>
    <row r="38" spans="1:23">
      <c r="A38" s="3">
        <v>309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f>12.5+15.75+11.7+26.7+22.75+22.1+29.35</f>
        <v>140.85</v>
      </c>
      <c r="N38" s="5">
        <f>10.5+22.45+10.75+21.35+20.1+19.05+26.8+19.2</f>
        <v>150.2</v>
      </c>
      <c r="O38" s="5">
        <f>17.55+22.1+14.6+20.05+27.2+17.35+25.75+21.6</f>
        <v>166.2</v>
      </c>
      <c r="P38" s="5">
        <f>13.25+12.25+18.7+19.9+13.4+15.55+21.45+24.2+20.4+17.2</f>
        <v>176.3</v>
      </c>
      <c r="Q38" s="5">
        <f>16.4+15.9+18.95+20.1</f>
        <v>71.35</v>
      </c>
      <c r="R38" s="5"/>
      <c r="S38" s="5"/>
      <c r="T38" s="5"/>
      <c r="U38" s="5"/>
      <c r="V38" s="5"/>
      <c r="W38" s="5">
        <f t="shared" si="0"/>
        <v>704.9</v>
      </c>
    </row>
    <row r="39" spans="1:23">
      <c r="A39" s="3">
        <v>309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f>25.95+27</f>
        <v>52.95</v>
      </c>
      <c r="N39" s="5">
        <f>19.15+19</f>
        <v>38.15</v>
      </c>
      <c r="O39" s="5">
        <f>19.6+22.75+22.75+16.1</f>
        <v>81.2</v>
      </c>
      <c r="P39" s="5">
        <f>22.7+18.3+23.5+19.35</f>
        <v>83.85</v>
      </c>
      <c r="Q39" s="5">
        <f>18.1+21.15+8.5</f>
        <v>47.75</v>
      </c>
      <c r="R39" s="5"/>
      <c r="S39" s="5">
        <f>21.8+19.35</f>
        <v>41.15</v>
      </c>
      <c r="T39" s="5">
        <f>21.75+21.9</f>
        <v>43.65</v>
      </c>
      <c r="U39" s="5">
        <f>21.95+17.6+18.4</f>
        <v>57.95</v>
      </c>
      <c r="V39" s="5"/>
      <c r="W39" s="5">
        <f t="shared" si="0"/>
        <v>446.65</v>
      </c>
    </row>
    <row r="40" spans="1:23">
      <c r="A40" s="3">
        <v>2161</v>
      </c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f>24.1+8.7</f>
        <v>32.8</v>
      </c>
      <c r="N40" s="5">
        <f>14.3+20.5+9.85</f>
        <v>44.65</v>
      </c>
      <c r="O40" s="5">
        <f>22.05+16.8+2.95</f>
        <v>41.8</v>
      </c>
      <c r="P40" s="5">
        <f>25.45+21.95+25.95+14.9</f>
        <v>88.25</v>
      </c>
      <c r="Q40" s="5">
        <f>20.55+25.65+20.05+23.35</f>
        <v>89.6</v>
      </c>
      <c r="R40" s="5"/>
      <c r="S40" s="5">
        <v>4.65</v>
      </c>
      <c r="T40" s="5">
        <v>24.3</v>
      </c>
      <c r="U40" s="5">
        <f>20.15+18.85+18.8+19.75</f>
        <v>77.55</v>
      </c>
      <c r="V40" s="5"/>
      <c r="W40" s="5">
        <f t="shared" si="0"/>
        <v>403.6</v>
      </c>
    </row>
    <row r="41" spans="1:23">
      <c r="A41" s="3">
        <v>212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v>7.6</v>
      </c>
      <c r="N41" s="5"/>
      <c r="O41" s="5"/>
      <c r="P41" s="5"/>
      <c r="Q41" s="5"/>
      <c r="R41" s="5"/>
      <c r="S41" s="5">
        <v>3.8</v>
      </c>
      <c r="T41" s="5"/>
      <c r="U41" s="5"/>
      <c r="V41" s="5"/>
      <c r="W41" s="5">
        <f t="shared" si="0"/>
        <v>11.4</v>
      </c>
    </row>
    <row r="42" spans="1:23">
      <c r="A42" s="3">
        <v>1023</v>
      </c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f>21.35+26.5+21.45+14.7+27.15+24.95+30.15</f>
        <v>166.25</v>
      </c>
      <c r="N42" s="5">
        <f>23.6+23.4+15.85+29.9+15.45+22.6+19</f>
        <v>149.8</v>
      </c>
      <c r="O42" s="5">
        <f>25.45+23+25.8+23.15+11.55+17.7+15.7+17.35</f>
        <v>159.7</v>
      </c>
      <c r="P42" s="5">
        <f>25.8+20.65+28.45+22.6+25.55+15.65+22.55+20.8+20.55+18.45+18+17.3</f>
        <v>256.35</v>
      </c>
      <c r="Q42" s="5">
        <f>28.7+22.6+24.4+7.95+19.7+16.6</f>
        <v>119.95</v>
      </c>
      <c r="R42" s="5"/>
      <c r="S42" s="5"/>
      <c r="T42" s="5">
        <f>15.65+11.35</f>
        <v>27</v>
      </c>
      <c r="U42" s="5">
        <v>22.6</v>
      </c>
      <c r="V42" s="5"/>
      <c r="W42" s="5">
        <f t="shared" si="0"/>
        <v>901.65</v>
      </c>
    </row>
    <row r="43" spans="1:23">
      <c r="A43" s="3">
        <v>1023</v>
      </c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f>14.35+20.8+16.5+9.9</f>
        <v>61.55</v>
      </c>
      <c r="N43" s="5">
        <f>15+19.35+19.55</f>
        <v>53.9</v>
      </c>
      <c r="O43" s="5">
        <f>26.55+13.1+19.05+7</f>
        <v>65.7</v>
      </c>
      <c r="P43" s="5">
        <f>18.7+22.2+16.4</f>
        <v>57.3</v>
      </c>
      <c r="Q43" s="5">
        <f>20.65+18.3+16.25+3.05</f>
        <v>58.25</v>
      </c>
      <c r="R43" s="5"/>
      <c r="S43" s="5">
        <f>21.95+34.55</f>
        <v>56.5</v>
      </c>
      <c r="T43" s="5">
        <v>4.15</v>
      </c>
      <c r="U43" s="5">
        <f>14+14.3</f>
        <v>28.3</v>
      </c>
      <c r="V43" s="5"/>
      <c r="W43" s="5">
        <f t="shared" si="0"/>
        <v>385.65</v>
      </c>
    </row>
    <row r="44" spans="1:23">
      <c r="A44" s="3">
        <v>1027</v>
      </c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v>4.75</v>
      </c>
      <c r="N44" s="5"/>
      <c r="O44" s="5">
        <v>2.9</v>
      </c>
      <c r="P44" s="5"/>
      <c r="Q44" s="5"/>
      <c r="R44" s="5"/>
      <c r="S44" s="5">
        <v>2.8</v>
      </c>
      <c r="T44" s="5">
        <v>2.1</v>
      </c>
      <c r="U44" s="5"/>
      <c r="V44" s="5"/>
      <c r="W44" s="5">
        <f t="shared" si="0"/>
        <v>12.55</v>
      </c>
    </row>
    <row r="45" spans="1:23">
      <c r="A45" s="3">
        <v>1030</v>
      </c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f>5.15+11.8+15.7+13.75+7.55</f>
        <v>53.95</v>
      </c>
      <c r="N45" s="5">
        <f>12.75+17.95</f>
        <v>30.7</v>
      </c>
      <c r="O45" s="5">
        <f>10.85+10.2+17.7+26.05</f>
        <v>64.8</v>
      </c>
      <c r="P45" s="5">
        <f>10+7.3+16.1+13.15+18.2+15.8+17.1+20.55+16.75+14.9</f>
        <v>149.85</v>
      </c>
      <c r="Q45" s="5">
        <f>16.6+8.85+9.7+12.3+14.35+15.35+18.35+25.2+13.75+15.7+11.8+5.15</f>
        <v>167.1</v>
      </c>
      <c r="R45" s="5"/>
      <c r="S45" s="5">
        <v>2.2</v>
      </c>
      <c r="T45" s="5">
        <v>22.55</v>
      </c>
      <c r="U45" s="5">
        <f>20.9+21.3</f>
        <v>42.2</v>
      </c>
      <c r="V45" s="5"/>
      <c r="W45" s="5">
        <f t="shared" si="0"/>
        <v>533.35</v>
      </c>
    </row>
    <row r="46" spans="1:23">
      <c r="A46" s="3">
        <v>260</v>
      </c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>
        <f>14.6+14.7+20.15</f>
        <v>49.45</v>
      </c>
      <c r="N46" s="5">
        <f>19.7+17.3+12.4</f>
        <v>49.4</v>
      </c>
      <c r="O46" s="5">
        <f>16.5+23.5</f>
        <v>40</v>
      </c>
      <c r="P46" s="5">
        <f>24.7+17.6</f>
        <v>42.3</v>
      </c>
      <c r="Q46" s="5">
        <v>18.25</v>
      </c>
      <c r="R46" s="5"/>
      <c r="S46" s="5">
        <v>12.25</v>
      </c>
      <c r="T46" s="5">
        <v>11.35</v>
      </c>
      <c r="U46" s="5">
        <v>14.1</v>
      </c>
      <c r="V46" s="5"/>
      <c r="W46" s="5">
        <f t="shared" si="0"/>
        <v>237.1</v>
      </c>
    </row>
    <row r="47" spans="1:23">
      <c r="A47" s="3">
        <v>309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>
        <f>17.5+22.2+23.7+11.25</f>
        <v>74.65</v>
      </c>
      <c r="N47" s="5">
        <f>23.4+14.75+23.5</f>
        <v>61.65</v>
      </c>
      <c r="O47" s="5">
        <f>14.45+12.9+13.05</f>
        <v>40.4</v>
      </c>
      <c r="P47" s="5">
        <f>19.15+3</f>
        <v>22.15</v>
      </c>
      <c r="Q47" s="5"/>
      <c r="R47" s="5"/>
      <c r="S47" s="5">
        <f>16.55+20.8</f>
        <v>37.35</v>
      </c>
      <c r="T47" s="5">
        <v>25.75</v>
      </c>
      <c r="U47" s="5">
        <v>6.75</v>
      </c>
      <c r="V47" s="5"/>
      <c r="W47" s="5">
        <f t="shared" si="0"/>
        <v>268.7</v>
      </c>
    </row>
    <row r="48" spans="1:23">
      <c r="A48" s="3">
        <v>2161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>12.3+9.55</f>
        <v>21.85</v>
      </c>
      <c r="N48" s="5">
        <v>14.8</v>
      </c>
      <c r="O48" s="5">
        <f>15.05+18.25+8.9</f>
        <v>42.2</v>
      </c>
      <c r="P48" s="5">
        <f>20.8+24.5+10.9</f>
        <v>56.2</v>
      </c>
      <c r="Q48" s="5">
        <f>15.75+8.95</f>
        <v>24.7</v>
      </c>
      <c r="R48" s="5"/>
      <c r="S48" s="5"/>
      <c r="T48" s="5">
        <v>17.4</v>
      </c>
      <c r="U48" s="5">
        <v>20.75</v>
      </c>
      <c r="V48" s="5"/>
      <c r="W48" s="5">
        <f t="shared" si="0"/>
        <v>197.9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2002.405</v>
      </c>
      <c r="N349" s="6">
        <f t="shared" si="6"/>
        <v>1897.9</v>
      </c>
      <c r="O349" s="6">
        <f t="shared" si="6"/>
        <v>2200.9</v>
      </c>
      <c r="P349" s="6">
        <f t="shared" si="6"/>
        <v>2405.65</v>
      </c>
      <c r="Q349" s="6">
        <f t="shared" si="6"/>
        <v>1318.5</v>
      </c>
      <c r="R349" s="6">
        <f t="shared" si="6"/>
        <v>0</v>
      </c>
      <c r="S349" s="6">
        <f t="shared" si="6"/>
        <v>727.35</v>
      </c>
      <c r="T349" s="6">
        <f t="shared" si="6"/>
        <v>416.45</v>
      </c>
      <c r="U349" s="6">
        <f t="shared" si="6"/>
        <v>589.35</v>
      </c>
      <c r="V349" s="6">
        <f t="shared" si="6"/>
        <v>0</v>
      </c>
      <c r="W349" s="6">
        <f>SUM(W2:W348)</f>
        <v>11558.505</v>
      </c>
    </row>
  </sheetData>
  <pageMargins left="0.7" right="0.7" top="0.75" bottom="0.75" header="0.3" footer="0.3"/>
  <pageSetup paperSize="9" orientation="portrait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43" activePane="bottomLeft" state="frozen"/>
      <selection/>
      <selection pane="bottomLeft" activeCell="A73" sqref="A73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1014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1.75</v>
      </c>
      <c r="O2" s="5"/>
      <c r="P2" s="5"/>
      <c r="Q2" s="5"/>
      <c r="R2" s="5"/>
      <c r="S2" s="5">
        <v>4.4</v>
      </c>
      <c r="T2" s="5"/>
      <c r="U2" s="5"/>
      <c r="V2" s="5"/>
      <c r="W2" s="5">
        <f t="shared" ref="W2:W67" si="0">SUM(C2:V2)</f>
        <v>6.15</v>
      </c>
    </row>
    <row r="3" spans="1:23">
      <c r="A3" s="3">
        <v>996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20.85</v>
      </c>
      <c r="N3" s="5">
        <v>4.65</v>
      </c>
      <c r="O3" s="5"/>
      <c r="P3" s="5"/>
      <c r="Q3" s="5"/>
      <c r="R3" s="5"/>
      <c r="S3" s="5"/>
      <c r="T3" s="5"/>
      <c r="U3" s="5"/>
      <c r="V3" s="5"/>
      <c r="W3" s="5">
        <f t="shared" si="0"/>
        <v>25.5</v>
      </c>
    </row>
    <row r="4" spans="1:23">
      <c r="A4" s="3">
        <v>1026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7.75</v>
      </c>
      <c r="N4" s="5">
        <f>1.6+1.65</f>
        <v>3.25</v>
      </c>
      <c r="O4" s="5">
        <v>1.25</v>
      </c>
      <c r="P4" s="5"/>
      <c r="Q4" s="5"/>
      <c r="R4" s="5"/>
      <c r="S4" s="5"/>
      <c r="T4" s="5"/>
      <c r="U4" s="5"/>
      <c r="V4" s="5"/>
      <c r="W4" s="5">
        <f t="shared" si="0"/>
        <v>12.25</v>
      </c>
    </row>
    <row r="5" spans="1:23">
      <c r="A5" s="3">
        <v>309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f>15.45+24.7+14.65+22.55+20.1+26.15</f>
        <v>123.6</v>
      </c>
      <c r="N5" s="5">
        <f>18.4+13.55+17.75+14.7+14.6</f>
        <v>79</v>
      </c>
      <c r="O5" s="5">
        <f>17.6+11.9+11.15+17.65+15.9+13.4+1.45</f>
        <v>89.05</v>
      </c>
      <c r="P5" s="5">
        <f>18.05+22.75+24.3+18.15</f>
        <v>83.25</v>
      </c>
      <c r="Q5" s="5">
        <f>13.35+2.2</f>
        <v>15.55</v>
      </c>
      <c r="R5" s="5"/>
      <c r="S5" s="5">
        <f>21.5+21.3+22.35</f>
        <v>65.15</v>
      </c>
      <c r="T5" s="5">
        <v>14.05</v>
      </c>
      <c r="U5" s="5">
        <v>7</v>
      </c>
      <c r="V5" s="5"/>
      <c r="W5" s="5">
        <f t="shared" si="0"/>
        <v>476.65</v>
      </c>
    </row>
    <row r="6" spans="1:23">
      <c r="A6" s="3">
        <v>2167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f>21.5+15.3+18+20.5+21.35+17.9+23.7+16.2+11.35</f>
        <v>165.8</v>
      </c>
      <c r="N6" s="5">
        <f>18.45+18.35+16.9+23.45+22+18.85+20.85+24.05</f>
        <v>162.9</v>
      </c>
      <c r="O6" s="5">
        <f>23.6+20.45+17.2+18.3+19.5+23.05+21.7+8.5</f>
        <v>152.3</v>
      </c>
      <c r="P6" s="5">
        <f>17.15+17.4+19.55+20.4+21.15+19.95+22.2+9.1</f>
        <v>146.9</v>
      </c>
      <c r="Q6" s="5">
        <f>10.1+16.6+20.95+15.8+15.7</f>
        <v>79.15</v>
      </c>
      <c r="R6" s="5"/>
      <c r="S6" s="5">
        <f>20.8+23.4+24.4</f>
        <v>68.6</v>
      </c>
      <c r="T6" s="5">
        <v>15.35</v>
      </c>
      <c r="U6" s="5">
        <f>16.15+13.65</f>
        <v>29.8</v>
      </c>
      <c r="V6" s="5"/>
      <c r="W6" s="5">
        <f t="shared" si="0"/>
        <v>820.8</v>
      </c>
    </row>
    <row r="7" spans="1:23">
      <c r="A7" s="3">
        <v>209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>
        <v>6.2</v>
      </c>
      <c r="T7" s="5"/>
      <c r="U7" s="5"/>
      <c r="V7" s="5"/>
      <c r="W7" s="5">
        <f t="shared" si="0"/>
        <v>6.2</v>
      </c>
    </row>
    <row r="8" spans="1:23">
      <c r="A8" s="3">
        <v>208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2.45</v>
      </c>
      <c r="N8" s="5">
        <v>1.55</v>
      </c>
      <c r="O8" s="5">
        <f>1.55+6.35</f>
        <v>7.9</v>
      </c>
      <c r="P8" s="5">
        <v>4.55</v>
      </c>
      <c r="Q8" s="5">
        <v>0.7</v>
      </c>
      <c r="R8" s="5"/>
      <c r="S8" s="5"/>
      <c r="T8" s="5"/>
      <c r="U8" s="5"/>
      <c r="V8" s="5"/>
      <c r="W8" s="5">
        <f t="shared" si="0"/>
        <v>17.15</v>
      </c>
    </row>
    <row r="9" spans="1:23">
      <c r="A9" s="3">
        <v>828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4.65</v>
      </c>
      <c r="N9" s="5">
        <v>3.75</v>
      </c>
      <c r="O9" s="5">
        <v>10.15</v>
      </c>
      <c r="P9" s="5">
        <f>21.7+7.4</f>
        <v>29.1</v>
      </c>
      <c r="Q9" s="5">
        <v>9.6</v>
      </c>
      <c r="R9" s="5"/>
      <c r="S9" s="5"/>
      <c r="T9" s="5">
        <v>6.55</v>
      </c>
      <c r="U9" s="5">
        <v>7.25</v>
      </c>
      <c r="V9" s="5"/>
      <c r="W9" s="5">
        <f t="shared" si="0"/>
        <v>71.05</v>
      </c>
    </row>
    <row r="10" spans="1:23">
      <c r="A10" s="3">
        <v>404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f>17.1+12</f>
        <v>29.1</v>
      </c>
      <c r="N10" s="5">
        <v>1.95</v>
      </c>
      <c r="O10" s="5"/>
      <c r="P10" s="5"/>
      <c r="Q10" s="5"/>
      <c r="R10" s="5"/>
      <c r="S10" s="5">
        <v>11.6</v>
      </c>
      <c r="T10" s="5"/>
      <c r="U10" s="5"/>
      <c r="V10" s="5"/>
      <c r="W10" s="5">
        <f t="shared" si="0"/>
        <v>42.65</v>
      </c>
    </row>
    <row r="11" spans="1:23">
      <c r="A11" s="3">
        <v>1017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23.75</v>
      </c>
      <c r="N11" s="5">
        <v>6.9</v>
      </c>
      <c r="O11" s="5">
        <v>11.05</v>
      </c>
      <c r="P11" s="5">
        <v>15.6</v>
      </c>
      <c r="Q11" s="5">
        <v>8.15</v>
      </c>
      <c r="R11" s="5"/>
      <c r="S11" s="5">
        <v>10.85</v>
      </c>
      <c r="T11" s="5"/>
      <c r="U11" s="5">
        <v>2.95</v>
      </c>
      <c r="V11" s="5"/>
      <c r="W11" s="5">
        <f t="shared" si="0"/>
        <v>79.25</v>
      </c>
    </row>
    <row r="12" spans="1:23">
      <c r="A12" s="3">
        <v>1745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7.15</v>
      </c>
      <c r="N12" s="5">
        <v>1.75</v>
      </c>
      <c r="O12" s="5">
        <v>5.6</v>
      </c>
      <c r="P12" s="5">
        <v>5.45</v>
      </c>
      <c r="Q12" s="5">
        <v>7.6</v>
      </c>
      <c r="R12" s="5"/>
      <c r="S12" s="5">
        <v>3.2</v>
      </c>
      <c r="T12" s="5">
        <v>3.4</v>
      </c>
      <c r="U12" s="5"/>
      <c r="V12" s="5"/>
      <c r="W12" s="5">
        <f t="shared" si="0"/>
        <v>34.15</v>
      </c>
    </row>
    <row r="13" spans="1:23">
      <c r="A13" s="3">
        <v>1795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7.1</v>
      </c>
      <c r="N13" s="5">
        <f>17.95+1.7</f>
        <v>19.65</v>
      </c>
      <c r="O13" s="5">
        <v>12.5</v>
      </c>
      <c r="P13" s="5">
        <v>5.45</v>
      </c>
      <c r="Q13" s="5">
        <v>5.4</v>
      </c>
      <c r="R13" s="5"/>
      <c r="S13" s="5">
        <v>11.2</v>
      </c>
      <c r="T13" s="5">
        <v>3.1</v>
      </c>
      <c r="U13" s="5">
        <v>6.5</v>
      </c>
      <c r="V13" s="5"/>
      <c r="W13" s="5">
        <f t="shared" si="0"/>
        <v>70.9</v>
      </c>
    </row>
    <row r="14" spans="1:23">
      <c r="A14" s="3">
        <v>1010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f>15.2+18+17.7+14.6</f>
        <v>65.5</v>
      </c>
      <c r="N14" s="5">
        <f>19.9+21.25+3.6</f>
        <v>44.75</v>
      </c>
      <c r="O14" s="5">
        <f>21.65+7.95</f>
        <v>29.6</v>
      </c>
      <c r="P14" s="5">
        <v>23.45</v>
      </c>
      <c r="Q14" s="5">
        <v>9.15</v>
      </c>
      <c r="R14" s="5"/>
      <c r="S14" s="5">
        <v>7.65</v>
      </c>
      <c r="T14" s="5"/>
      <c r="U14" s="5">
        <v>1.25</v>
      </c>
      <c r="V14" s="5"/>
      <c r="W14" s="5">
        <f t="shared" si="0"/>
        <v>181.35</v>
      </c>
    </row>
    <row r="15" spans="1:23">
      <c r="A15" s="3">
        <v>672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f>17.35+18.65+22.6</f>
        <v>58.6</v>
      </c>
      <c r="N15" s="5">
        <f>19.8+19.45+16.5+21.5+16.6</f>
        <v>93.85</v>
      </c>
      <c r="O15" s="5">
        <f>13.35+16.5+13.25+20.85+15.35+19.3+19.1+1.45</f>
        <v>119.15</v>
      </c>
      <c r="P15" s="5">
        <f>24.35+14.8+21.2+17.7+20.4+16.7+20.85+16.55</f>
        <v>152.55</v>
      </c>
      <c r="Q15" s="5">
        <f>11.35+13.15+27.05+6.3</f>
        <v>57.85</v>
      </c>
      <c r="R15" s="5"/>
      <c r="S15" s="5">
        <v>26.85</v>
      </c>
      <c r="T15" s="5">
        <v>14.4</v>
      </c>
      <c r="U15" s="5">
        <v>27.7</v>
      </c>
      <c r="V15" s="5"/>
      <c r="W15" s="5">
        <f t="shared" si="0"/>
        <v>550.95</v>
      </c>
    </row>
    <row r="16" spans="1:23">
      <c r="A16" s="3">
        <v>476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12.85</v>
      </c>
      <c r="N16" s="5">
        <v>23.25</v>
      </c>
      <c r="O16" s="5">
        <f>18.8+11.75</f>
        <v>30.55</v>
      </c>
      <c r="P16" s="5">
        <f>21.65+22.25+11.15</f>
        <v>55.05</v>
      </c>
      <c r="Q16" s="5">
        <f>22.4+14.95</f>
        <v>37.35</v>
      </c>
      <c r="R16" s="5"/>
      <c r="S16" s="5">
        <v>10.45</v>
      </c>
      <c r="T16" s="5">
        <v>1.15</v>
      </c>
      <c r="U16" s="5">
        <v>12.5</v>
      </c>
      <c r="V16" s="5"/>
      <c r="W16" s="5">
        <f t="shared" si="0"/>
        <v>183.15</v>
      </c>
    </row>
    <row r="17" spans="1:23">
      <c r="A17" s="3">
        <v>2415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f>5.8+2.4</f>
        <v>8.2</v>
      </c>
      <c r="N17" s="5">
        <v>17.7</v>
      </c>
      <c r="O17" s="5">
        <v>22.9</v>
      </c>
      <c r="P17" s="5">
        <v>23.4</v>
      </c>
      <c r="Q17" s="5">
        <v>3.65</v>
      </c>
      <c r="R17" s="5"/>
      <c r="S17" s="5">
        <v>6.85</v>
      </c>
      <c r="T17" s="5"/>
      <c r="U17" s="5">
        <v>0.8</v>
      </c>
      <c r="V17" s="5"/>
      <c r="W17" s="5">
        <f t="shared" si="0"/>
        <v>83.5</v>
      </c>
    </row>
    <row r="18" spans="1:23">
      <c r="A18" s="3">
        <v>1651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22.65</v>
      </c>
      <c r="N18" s="5">
        <f>21.75+5.15</f>
        <v>26.9</v>
      </c>
      <c r="O18" s="5">
        <v>21.65</v>
      </c>
      <c r="P18" s="5">
        <v>8.6</v>
      </c>
      <c r="Q18" s="5"/>
      <c r="R18" s="5"/>
      <c r="S18" s="5"/>
      <c r="T18" s="5"/>
      <c r="U18" s="5"/>
      <c r="V18" s="5"/>
      <c r="W18" s="5">
        <f t="shared" si="0"/>
        <v>79.8</v>
      </c>
    </row>
    <row r="19" spans="1:23">
      <c r="A19" s="3">
        <v>207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v>16.7</v>
      </c>
      <c r="N19" s="5">
        <v>10.25</v>
      </c>
      <c r="O19" s="5">
        <f>20.25+7.25</f>
        <v>27.5</v>
      </c>
      <c r="P19" s="5">
        <f>18.95+16.65</f>
        <v>35.6</v>
      </c>
      <c r="Q19" s="5">
        <v>22.4</v>
      </c>
      <c r="R19" s="5"/>
      <c r="S19" s="5">
        <v>4.05</v>
      </c>
      <c r="T19" s="5"/>
      <c r="U19" s="5">
        <v>9.15</v>
      </c>
      <c r="V19" s="5"/>
      <c r="W19" s="5">
        <f t="shared" si="0"/>
        <v>125.65</v>
      </c>
    </row>
    <row r="20" spans="1:23">
      <c r="A20" s="3">
        <v>477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f>19.8+20.15+15.8+11.5</f>
        <v>67.25</v>
      </c>
      <c r="N20" s="5">
        <f>22.1+16.05+10.5</f>
        <v>48.65</v>
      </c>
      <c r="O20" s="5">
        <f>15.65+18.6+13.2</f>
        <v>47.45</v>
      </c>
      <c r="P20" s="5">
        <f>24.7+19.75+18.6+4.95</f>
        <v>68</v>
      </c>
      <c r="Q20" s="5">
        <f>18.4+16.95</f>
        <v>35.35</v>
      </c>
      <c r="R20" s="5"/>
      <c r="S20" s="5">
        <v>21.75</v>
      </c>
      <c r="T20" s="5">
        <v>5.35</v>
      </c>
      <c r="U20" s="5">
        <v>19.05</v>
      </c>
      <c r="V20" s="5"/>
      <c r="W20" s="5">
        <f t="shared" si="0"/>
        <v>312.85</v>
      </c>
    </row>
    <row r="21" spans="1:23">
      <c r="A21" s="3">
        <v>1010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v>17.95</v>
      </c>
      <c r="N21" s="5">
        <v>19.05</v>
      </c>
      <c r="O21" s="5">
        <v>11.3</v>
      </c>
      <c r="P21" s="5">
        <v>7.05</v>
      </c>
      <c r="Q21" s="5">
        <v>2</v>
      </c>
      <c r="R21" s="5"/>
      <c r="S21" s="5">
        <v>3.4</v>
      </c>
      <c r="T21" s="5">
        <v>1.65</v>
      </c>
      <c r="U21" s="5">
        <v>0.65</v>
      </c>
      <c r="V21" s="5"/>
      <c r="W21" s="5">
        <f t="shared" si="0"/>
        <v>63.05</v>
      </c>
    </row>
    <row r="22" spans="1:23">
      <c r="A22" s="3">
        <v>2425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f>16.45+2.1</f>
        <v>18.55</v>
      </c>
      <c r="N22" s="5">
        <f>18.1+1.8</f>
        <v>19.9</v>
      </c>
      <c r="O22" s="5">
        <f>19.3+10.4</f>
        <v>29.7</v>
      </c>
      <c r="P22" s="5">
        <f>20.05+13.05</f>
        <v>33.1</v>
      </c>
      <c r="Q22" s="5">
        <v>21.65</v>
      </c>
      <c r="R22" s="5"/>
      <c r="S22" s="5"/>
      <c r="T22" s="5">
        <v>5.7</v>
      </c>
      <c r="U22" s="5">
        <v>10.1</v>
      </c>
      <c r="V22" s="5"/>
      <c r="W22" s="5">
        <f t="shared" si="0"/>
        <v>138.7</v>
      </c>
    </row>
    <row r="23" spans="1:23">
      <c r="A23" s="3">
        <v>478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f>22.45+22.25+18.65+19.55+25.9+22+21.15+22.65+2.2</f>
        <v>176.8</v>
      </c>
      <c r="N23" s="5">
        <f>19.1+17.6+24.3+21.85+17.25+10.35</f>
        <v>110.45</v>
      </c>
      <c r="O23" s="5">
        <f>16.2+22+17.15</f>
        <v>55.35</v>
      </c>
      <c r="P23" s="5">
        <f>22.9+11.25</f>
        <v>34.15</v>
      </c>
      <c r="Q23" s="5">
        <v>10.5</v>
      </c>
      <c r="R23" s="5"/>
      <c r="S23" s="5">
        <f>18.2+25.65</f>
        <v>43.85</v>
      </c>
      <c r="T23" s="5">
        <v>11.65</v>
      </c>
      <c r="U23" s="5">
        <v>13.25</v>
      </c>
      <c r="V23" s="5"/>
      <c r="W23" s="5">
        <f t="shared" si="0"/>
        <v>456</v>
      </c>
    </row>
    <row r="24" spans="1:23">
      <c r="A24" s="3">
        <v>672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>
        <f>21.3+15.8</f>
        <v>37.1</v>
      </c>
      <c r="N24" s="5">
        <f>16.8+14.7</f>
        <v>31.5</v>
      </c>
      <c r="O24" s="5">
        <f>17.95+20.1+20.8+18.1+22.2+5.9</f>
        <v>105.05</v>
      </c>
      <c r="P24" s="5">
        <f>21.6+22.95+18.8+23.1+25.6+6.85</f>
        <v>118.9</v>
      </c>
      <c r="Q24" s="5">
        <f>21.5+19.25+26.7</f>
        <v>67.45</v>
      </c>
      <c r="R24" s="5"/>
      <c r="S24" s="5">
        <v>25.45</v>
      </c>
      <c r="T24" s="5">
        <v>17.1</v>
      </c>
      <c r="U24" s="5">
        <f>18.75+20.6</f>
        <v>39.35</v>
      </c>
      <c r="V24" s="5"/>
      <c r="W24" s="5">
        <f t="shared" si="0"/>
        <v>441.9</v>
      </c>
    </row>
    <row r="25" spans="1:23">
      <c r="A25" s="3">
        <v>1038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>
        <v>15.9</v>
      </c>
      <c r="N25" s="5">
        <v>8.35</v>
      </c>
      <c r="O25" s="5">
        <v>1.45</v>
      </c>
      <c r="P25" s="5"/>
      <c r="Q25" s="5"/>
      <c r="R25" s="5"/>
      <c r="S25" s="5"/>
      <c r="T25" s="5"/>
      <c r="U25" s="5"/>
      <c r="V25" s="5"/>
      <c r="W25" s="5">
        <f t="shared" si="0"/>
        <v>25.7</v>
      </c>
    </row>
    <row r="26" spans="1:23">
      <c r="A26" s="3">
        <v>260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>
        <f>17.8+20.55+22.2+16.6+20.65+20.8</f>
        <v>118.6</v>
      </c>
      <c r="N26" s="5">
        <f>14+18.5+11.95+19+0.9+18.8+22.25+1.9</f>
        <v>107.3</v>
      </c>
      <c r="O26" s="5">
        <f>18.6+23.3+20.05+17.85+17.4+18.65+21.75+22.6</f>
        <v>160.2</v>
      </c>
      <c r="P26" s="5">
        <f>13.4+15.95+18+22.3+21.75+24.2+24.7+1.25</f>
        <v>141.55</v>
      </c>
      <c r="Q26" s="5">
        <f>18.75+18.2+26.5</f>
        <v>63.45</v>
      </c>
      <c r="R26" s="5"/>
      <c r="S26" s="5">
        <f>21.7+17.85</f>
        <v>39.55</v>
      </c>
      <c r="T26" s="5">
        <v>8.1</v>
      </c>
      <c r="U26" s="5">
        <v>22.45</v>
      </c>
      <c r="V26" s="5"/>
      <c r="W26" s="5">
        <f t="shared" si="0"/>
        <v>661.2</v>
      </c>
    </row>
    <row r="27" spans="1:23">
      <c r="A27" s="3">
        <v>333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f>21.95+22.3</f>
        <v>44.25</v>
      </c>
      <c r="N27" s="5">
        <v>25.7</v>
      </c>
      <c r="O27" s="5">
        <v>8.65</v>
      </c>
      <c r="P27" s="5"/>
      <c r="Q27" s="5"/>
      <c r="R27" s="5"/>
      <c r="S27" s="5">
        <v>13</v>
      </c>
      <c r="T27" s="5"/>
      <c r="U27" s="5"/>
      <c r="V27" s="5"/>
      <c r="W27" s="5">
        <f t="shared" si="0"/>
        <v>91.6</v>
      </c>
    </row>
    <row r="28" spans="1:23">
      <c r="A28" s="3">
        <v>354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f>20.35+19</f>
        <v>39.35</v>
      </c>
      <c r="N28" s="5">
        <f>21.55+21.3+3.85</f>
        <v>46.7</v>
      </c>
      <c r="O28" s="5">
        <f>27.4+10.55</f>
        <v>37.95</v>
      </c>
      <c r="P28" s="5">
        <f>23.55+20.9+21.75+22.75</f>
        <v>88.95</v>
      </c>
      <c r="Q28" s="5">
        <f>19.4+9.75</f>
        <v>29.15</v>
      </c>
      <c r="R28" s="5"/>
      <c r="S28" s="5">
        <v>23.6</v>
      </c>
      <c r="T28" s="5">
        <v>10.65</v>
      </c>
      <c r="U28" s="5">
        <v>16.45</v>
      </c>
      <c r="V28" s="5"/>
      <c r="W28" s="5">
        <f t="shared" si="0"/>
        <v>292.8</v>
      </c>
    </row>
    <row r="29" spans="1:23">
      <c r="A29" s="3">
        <v>213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16.15</v>
      </c>
      <c r="N29" s="5">
        <v>15.55</v>
      </c>
      <c r="O29" s="5">
        <v>16.25</v>
      </c>
      <c r="P29" s="5">
        <v>18.45</v>
      </c>
      <c r="Q29" s="5">
        <v>6.15</v>
      </c>
      <c r="R29" s="5"/>
      <c r="S29" s="5"/>
      <c r="T29" s="5">
        <v>8.3</v>
      </c>
      <c r="U29" s="5">
        <v>5.7</v>
      </c>
      <c r="V29" s="5"/>
      <c r="W29" s="5">
        <f t="shared" si="0"/>
        <v>86.55</v>
      </c>
    </row>
    <row r="30" spans="1:23">
      <c r="A30" s="3">
        <v>1792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v>16.1</v>
      </c>
      <c r="N30" s="5">
        <f>19.45+3.55</f>
        <v>23</v>
      </c>
      <c r="O30" s="5">
        <f>17.2+11.45</f>
        <v>28.65</v>
      </c>
      <c r="P30" s="5">
        <v>16.8</v>
      </c>
      <c r="Q30" s="5">
        <v>10.25</v>
      </c>
      <c r="R30" s="5"/>
      <c r="S30" s="5">
        <v>11.95</v>
      </c>
      <c r="T30" s="5">
        <v>3.8</v>
      </c>
      <c r="U30" s="5">
        <v>7.75</v>
      </c>
      <c r="V30" s="5"/>
      <c r="W30" s="5">
        <f t="shared" si="0"/>
        <v>118.3</v>
      </c>
    </row>
    <row r="31" spans="1:23">
      <c r="A31" s="3">
        <v>999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v>13.65</v>
      </c>
      <c r="N31" s="5">
        <f>18.25+10.35</f>
        <v>28.6</v>
      </c>
      <c r="O31" s="5">
        <v>17.85</v>
      </c>
      <c r="P31" s="5">
        <v>11.75</v>
      </c>
      <c r="Q31" s="5">
        <v>8.75</v>
      </c>
      <c r="R31" s="5"/>
      <c r="S31" s="5"/>
      <c r="T31" s="5">
        <v>3.15</v>
      </c>
      <c r="U31" s="5">
        <v>6.25</v>
      </c>
      <c r="V31" s="5"/>
      <c r="W31" s="5">
        <f t="shared" si="0"/>
        <v>90</v>
      </c>
    </row>
    <row r="32" spans="1:23">
      <c r="A32" s="3">
        <v>1795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4.55</v>
      </c>
      <c r="N32" s="5">
        <v>3.45</v>
      </c>
      <c r="O32" s="5">
        <v>5.4</v>
      </c>
      <c r="P32" s="5">
        <v>1.05</v>
      </c>
      <c r="Q32" s="5">
        <v>0.75</v>
      </c>
      <c r="R32" s="5"/>
      <c r="S32" s="5"/>
      <c r="T32" s="5"/>
      <c r="U32" s="5"/>
      <c r="V32" s="5"/>
      <c r="W32" s="5">
        <f t="shared" si="0"/>
        <v>15.2</v>
      </c>
    </row>
    <row r="33" spans="1:23">
      <c r="A33" s="3">
        <v>1791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2.15</v>
      </c>
      <c r="N33" s="5">
        <v>7.05</v>
      </c>
      <c r="O33" s="5"/>
      <c r="P33" s="5">
        <v>7.15</v>
      </c>
      <c r="Q33" s="5">
        <v>1.55</v>
      </c>
      <c r="R33" s="5"/>
      <c r="S33" s="5">
        <v>10.15</v>
      </c>
      <c r="T33" s="5">
        <v>2.5</v>
      </c>
      <c r="U33" s="5">
        <v>3.2</v>
      </c>
      <c r="V33" s="5"/>
      <c r="W33" s="5">
        <f t="shared" si="0"/>
        <v>33.75</v>
      </c>
    </row>
    <row r="34" spans="1:23">
      <c r="A34" s="3">
        <v>1006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>
        <v>3.45</v>
      </c>
      <c r="O34" s="5">
        <v>13.85</v>
      </c>
      <c r="P34" s="5">
        <f>19+7.85</f>
        <v>26.85</v>
      </c>
      <c r="Q34" s="5">
        <v>8.55</v>
      </c>
      <c r="R34" s="5"/>
      <c r="S34" s="5"/>
      <c r="T34" s="5">
        <v>1.85</v>
      </c>
      <c r="U34" s="5">
        <v>4.45</v>
      </c>
      <c r="V34" s="5"/>
      <c r="W34" s="5">
        <f t="shared" si="0"/>
        <v>59</v>
      </c>
    </row>
    <row r="35" spans="1:23">
      <c r="A35" s="3">
        <v>1012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f>16.8+9.35</f>
        <v>26.15</v>
      </c>
      <c r="N35" s="5">
        <f>14.65+5.3</f>
        <v>19.95</v>
      </c>
      <c r="O35" s="5">
        <f>18.05+7.7</f>
        <v>25.75</v>
      </c>
      <c r="P35" s="5">
        <f>22.7+20.85+3.95</f>
        <v>47.5</v>
      </c>
      <c r="Q35" s="5">
        <f>23.4+9.5</f>
        <v>32.9</v>
      </c>
      <c r="R35" s="5"/>
      <c r="S35" s="5">
        <v>3.5</v>
      </c>
      <c r="T35" s="5">
        <v>16.85</v>
      </c>
      <c r="U35" s="5">
        <f>18.35+16</f>
        <v>34.35</v>
      </c>
      <c r="V35" s="5"/>
      <c r="W35" s="5">
        <f t="shared" si="0"/>
        <v>206.95</v>
      </c>
    </row>
    <row r="36" spans="1:23">
      <c r="A36" s="3">
        <v>309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f>20.85+20.4+15.55+18.1+17.2+20.6+17.45+20.65+17.95</f>
        <v>168.75</v>
      </c>
      <c r="N36" s="5">
        <f>16.7+22.55+7.65+19+10.5+16.75+17.65+18.7</f>
        <v>129.5</v>
      </c>
      <c r="O36" s="5">
        <f>24.6+18.95+19.85+17.5+14.45+15.8+15.45+14.95</f>
        <v>141.55</v>
      </c>
      <c r="P36" s="5">
        <f>23.85+17.85+22.15+18.7+29.55+15.4+10.65+21.1+18.75</f>
        <v>178</v>
      </c>
      <c r="Q36" s="5">
        <f>24.5+34+25.45+20.75</f>
        <v>104.7</v>
      </c>
      <c r="R36" s="5"/>
      <c r="S36" s="5"/>
      <c r="T36" s="5"/>
      <c r="U36" s="5">
        <f>19.35+19.9</f>
        <v>39.25</v>
      </c>
      <c r="V36" s="5"/>
      <c r="W36" s="5">
        <f t="shared" si="0"/>
        <v>761.75</v>
      </c>
    </row>
    <row r="37" spans="1:23">
      <c r="A37" s="3">
        <v>309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f>19.85+18.05+14.3+16.55+23.55+16.25+19+20.9</f>
        <v>148.45</v>
      </c>
      <c r="N37" s="5">
        <f>19.6+18.9+14.5+20.4+18.95</f>
        <v>92.35</v>
      </c>
      <c r="O37" s="5">
        <f>14.65+12.6+14.4+16.3+15.8+22.6+23.25+3.1</f>
        <v>122.7</v>
      </c>
      <c r="P37" s="5">
        <f>16.4+21.5+12.5+17.3+17.7+24.95+20.4+7.35</f>
        <v>138.1</v>
      </c>
      <c r="Q37" s="5">
        <f>13.85+18.85+13.35+17.25+28.45</f>
        <v>91.75</v>
      </c>
      <c r="R37" s="5"/>
      <c r="S37" s="5">
        <f>22+19.95+15.25</f>
        <v>57.2</v>
      </c>
      <c r="T37" s="5">
        <f>24+16.85+22.7</f>
        <v>63.55</v>
      </c>
      <c r="U37" s="5">
        <f>21.65+11.65+26.9</f>
        <v>60.2</v>
      </c>
      <c r="V37" s="5"/>
      <c r="W37" s="5">
        <f t="shared" si="0"/>
        <v>774.3</v>
      </c>
    </row>
    <row r="38" spans="1:23">
      <c r="A38" s="3">
        <v>2161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19.6</v>
      </c>
      <c r="N38" s="5">
        <f>17.85+16.5+1.55</f>
        <v>35.9</v>
      </c>
      <c r="O38" s="5">
        <f>24.25+22.5+4.8</f>
        <v>51.55</v>
      </c>
      <c r="P38" s="5">
        <f>28.25+27.15+20.05+11.7</f>
        <v>87.15</v>
      </c>
      <c r="Q38" s="5">
        <f>22.6+21.4+0.65</f>
        <v>44.65</v>
      </c>
      <c r="R38" s="5"/>
      <c r="S38" s="5">
        <v>3.2</v>
      </c>
      <c r="T38" s="5">
        <v>8.95</v>
      </c>
      <c r="U38" s="5">
        <f>22.35+28.5</f>
        <v>50.85</v>
      </c>
      <c r="V38" s="5"/>
      <c r="W38" s="5">
        <f t="shared" si="0"/>
        <v>301.85</v>
      </c>
    </row>
    <row r="39" spans="1:23">
      <c r="A39" s="3">
        <v>212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2.45</v>
      </c>
      <c r="N39" s="5">
        <v>9.3</v>
      </c>
      <c r="O39" s="5">
        <v>8.65</v>
      </c>
      <c r="P39" s="5">
        <v>1.2</v>
      </c>
      <c r="Q39" s="5"/>
      <c r="R39" s="5"/>
      <c r="S39" s="5"/>
      <c r="T39" s="5"/>
      <c r="U39" s="5"/>
      <c r="V39" s="5"/>
      <c r="W39" s="5">
        <f t="shared" si="0"/>
        <v>21.6</v>
      </c>
    </row>
    <row r="40" spans="1:23">
      <c r="A40" s="3">
        <v>672</v>
      </c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>
        <v>4.55</v>
      </c>
      <c r="Q40" s="5">
        <v>8.85</v>
      </c>
      <c r="R40" s="5"/>
      <c r="S40" s="5"/>
      <c r="T40" s="5">
        <v>4.15</v>
      </c>
      <c r="U40" s="5">
        <v>6.25</v>
      </c>
      <c r="V40" s="5"/>
      <c r="W40" s="5">
        <f t="shared" si="0"/>
        <v>23.8</v>
      </c>
    </row>
    <row r="41" spans="1:23">
      <c r="A41" s="3">
        <v>2443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v>2.15</v>
      </c>
      <c r="N41" s="5">
        <f>1.9+6.35</f>
        <v>8.25</v>
      </c>
      <c r="O41" s="5">
        <v>4.55</v>
      </c>
      <c r="P41" s="5">
        <v>8.8</v>
      </c>
      <c r="Q41" s="5">
        <v>3.85</v>
      </c>
      <c r="R41" s="5"/>
      <c r="S41" s="5"/>
      <c r="T41" s="5">
        <v>6</v>
      </c>
      <c r="U41" s="5">
        <v>0.65</v>
      </c>
      <c r="V41" s="5"/>
      <c r="W41" s="5">
        <f t="shared" si="0"/>
        <v>34.25</v>
      </c>
    </row>
    <row r="42" spans="1:23">
      <c r="A42" s="3">
        <v>444</v>
      </c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f>17.65+23.7</f>
        <v>41.35</v>
      </c>
      <c r="N42" s="5">
        <f>23.7+3.9</f>
        <v>27.6</v>
      </c>
      <c r="O42" s="5">
        <v>8.6</v>
      </c>
      <c r="P42" s="5">
        <v>9.45</v>
      </c>
      <c r="Q42" s="5">
        <v>1.6</v>
      </c>
      <c r="R42" s="5"/>
      <c r="S42" s="5"/>
      <c r="T42" s="5">
        <v>1.95</v>
      </c>
      <c r="U42" s="5">
        <v>2.6</v>
      </c>
      <c r="V42" s="5"/>
      <c r="W42" s="5">
        <f t="shared" si="0"/>
        <v>93.15</v>
      </c>
    </row>
    <row r="43" spans="1:23">
      <c r="A43" s="3">
        <v>1009</v>
      </c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f>19.5+4.85</f>
        <v>24.35</v>
      </c>
      <c r="N43" s="5">
        <v>13.35</v>
      </c>
      <c r="O43" s="5">
        <v>8.3</v>
      </c>
      <c r="P43" s="5">
        <v>7.25</v>
      </c>
      <c r="Q43" s="5">
        <v>4.15</v>
      </c>
      <c r="R43" s="5"/>
      <c r="S43" s="5"/>
      <c r="T43" s="5">
        <v>1.2</v>
      </c>
      <c r="U43" s="5">
        <v>0.8</v>
      </c>
      <c r="V43" s="5"/>
      <c r="W43" s="5">
        <f t="shared" si="0"/>
        <v>59.4</v>
      </c>
    </row>
    <row r="44" spans="1:23">
      <c r="A44" s="3">
        <v>1027</v>
      </c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>
        <v>3.15</v>
      </c>
      <c r="O44" s="5">
        <v>1.25</v>
      </c>
      <c r="P44" s="5"/>
      <c r="Q44" s="5"/>
      <c r="R44" s="5"/>
      <c r="S44" s="5"/>
      <c r="T44" s="5"/>
      <c r="U44" s="5"/>
      <c r="V44" s="5"/>
      <c r="W44" s="5">
        <f t="shared" si="0"/>
        <v>4.4</v>
      </c>
    </row>
    <row r="45" spans="1:23">
      <c r="A45" s="3">
        <v>1030</v>
      </c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f>17.1+18.9+14.75</f>
        <v>50.75</v>
      </c>
      <c r="N45" s="5">
        <f>12.35+13.85+3.15</f>
        <v>29.35</v>
      </c>
      <c r="O45" s="5">
        <f>24+16.2+9.95</f>
        <v>50.15</v>
      </c>
      <c r="P45" s="5">
        <f>17.2+17.9+15.55+18.2</f>
        <v>68.85</v>
      </c>
      <c r="Q45" s="5">
        <f>15.65+16+19.7</f>
        <v>51.35</v>
      </c>
      <c r="R45" s="5"/>
      <c r="S45" s="5">
        <f>17.8+12.35</f>
        <v>30.15</v>
      </c>
      <c r="T45" s="5">
        <v>18.75</v>
      </c>
      <c r="U45" s="5">
        <f>20.05+12.35+0.65</f>
        <v>33.05</v>
      </c>
      <c r="V45" s="5"/>
      <c r="W45" s="5">
        <f t="shared" si="0"/>
        <v>332.4</v>
      </c>
    </row>
    <row r="46" spans="1:23">
      <c r="A46" s="3">
        <v>1023</v>
      </c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>
        <f>22.75+21.65+18.8+19.6+21.35+21+19.1+15.85</f>
        <v>160.1</v>
      </c>
      <c r="N46" s="5">
        <f>16.2+14.3+21.05+15.55+26.4+21.95+17.6+15.7</f>
        <v>148.75</v>
      </c>
      <c r="O46" s="5">
        <f>19.95+15.7+25.75+28+24.8+24.85+17.5+21.75</f>
        <v>178.3</v>
      </c>
      <c r="P46" s="5">
        <f>24.8+31.35+23.7+19.9+22.85+25.9</f>
        <v>148.5</v>
      </c>
      <c r="Q46" s="5">
        <f>9.7+22.3+25.95</f>
        <v>57.95</v>
      </c>
      <c r="R46" s="5"/>
      <c r="S46" s="5"/>
      <c r="T46" s="5"/>
      <c r="U46" s="5"/>
      <c r="V46" s="5"/>
      <c r="W46" s="5">
        <f t="shared" si="0"/>
        <v>693.6</v>
      </c>
    </row>
    <row r="47" spans="1:23">
      <c r="A47" s="3">
        <v>1023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>
        <f>20+19.5+19.25+19.75+19.9+19.9</f>
        <v>118.3</v>
      </c>
      <c r="N47" s="5">
        <f>26.95+17.55+26.3+15.85</f>
        <v>86.65</v>
      </c>
      <c r="O47" s="5">
        <f>18.1+23.35+20.45+8.1</f>
        <v>70</v>
      </c>
      <c r="P47" s="5">
        <f>20.1+19.2+20.5+21.05+22.6+18.35+18.4</f>
        <v>140.2</v>
      </c>
      <c r="Q47" s="5">
        <f>24.5+23+21.1+16.85</f>
        <v>85.45</v>
      </c>
      <c r="R47" s="5"/>
      <c r="S47" s="5">
        <f>23.85+28</f>
        <v>51.85</v>
      </c>
      <c r="T47" s="5">
        <f>22.25+19.75+25.15</f>
        <v>67.15</v>
      </c>
      <c r="U47" s="5">
        <f>17.2+18.75+16.85+13.25</f>
        <v>66.05</v>
      </c>
      <c r="V47" s="5"/>
      <c r="W47" s="5">
        <f t="shared" si="0"/>
        <v>685.65</v>
      </c>
    </row>
    <row r="48" spans="1:23">
      <c r="A48" s="3">
        <v>828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>
        <v>7.9</v>
      </c>
      <c r="O48" s="5">
        <f>15.15+20.55+20+24.75</f>
        <v>80.45</v>
      </c>
      <c r="P48" s="5">
        <f>21.95+23.75+25.7+27.7+17.55+25.1+23.45+20.05</f>
        <v>185.25</v>
      </c>
      <c r="Q48" s="5">
        <f>20.4+19.45+5.15</f>
        <v>45</v>
      </c>
      <c r="R48" s="5"/>
      <c r="S48" s="5"/>
      <c r="T48" s="5">
        <f>22.05+10.9+4.1</f>
        <v>37.05</v>
      </c>
      <c r="U48" s="5">
        <f>22.4+18.45</f>
        <v>40.85</v>
      </c>
      <c r="V48" s="5"/>
      <c r="W48" s="5">
        <f t="shared" si="0"/>
        <v>396.5</v>
      </c>
    </row>
    <row r="49" spans="1:23">
      <c r="A49" s="3">
        <v>1027</v>
      </c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1.85</v>
      </c>
      <c r="O49" s="5">
        <v>1.25</v>
      </c>
      <c r="P49" s="5"/>
      <c r="Q49" s="5"/>
      <c r="R49" s="5"/>
      <c r="S49" s="5"/>
      <c r="T49" s="5"/>
      <c r="U49" s="5"/>
      <c r="V49" s="5"/>
      <c r="W49" s="5">
        <f t="shared" si="0"/>
        <v>3.1</v>
      </c>
    </row>
    <row r="50" spans="1:23">
      <c r="A50" s="3">
        <v>260</v>
      </c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>
        <f>25.25+11.85</f>
        <v>37.1</v>
      </c>
      <c r="N50" s="5">
        <f>19.9+11.75</f>
        <v>31.65</v>
      </c>
      <c r="O50" s="5">
        <f>14.15+17.1</f>
        <v>31.25</v>
      </c>
      <c r="P50" s="5">
        <f>21+21.7+25.9+2.35</f>
        <v>70.95</v>
      </c>
      <c r="Q50" s="5">
        <v>16.3</v>
      </c>
      <c r="R50" s="5"/>
      <c r="S50" s="5">
        <f>19.85+20.3+12.4</f>
        <v>52.55</v>
      </c>
      <c r="T50" s="5">
        <f>22.4+17.6+3.7</f>
        <v>43.7</v>
      </c>
      <c r="U50" s="5">
        <v>27.8</v>
      </c>
      <c r="V50" s="5"/>
      <c r="W50" s="5">
        <f t="shared" si="0"/>
        <v>311.3</v>
      </c>
    </row>
    <row r="51" spans="1:23">
      <c r="A51" s="3">
        <v>368</v>
      </c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1.9</v>
      </c>
      <c r="O51" s="5"/>
      <c r="P51" s="5">
        <v>3.95</v>
      </c>
      <c r="Q51" s="5">
        <v>0.6</v>
      </c>
      <c r="R51" s="5"/>
      <c r="S51" s="5">
        <v>2.85</v>
      </c>
      <c r="T51" s="5"/>
      <c r="U51" s="5"/>
      <c r="V51" s="5"/>
      <c r="W51" s="5">
        <f t="shared" si="0"/>
        <v>9.3</v>
      </c>
    </row>
    <row r="52" spans="1:23">
      <c r="A52" s="3">
        <v>1005</v>
      </c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>
        <v>15.7</v>
      </c>
      <c r="N52" s="5">
        <v>1.65</v>
      </c>
      <c r="O52" s="5">
        <v>2.6</v>
      </c>
      <c r="P52" s="5">
        <v>2.9</v>
      </c>
      <c r="Q52" s="5">
        <v>0.55</v>
      </c>
      <c r="R52" s="5"/>
      <c r="S52" s="5"/>
      <c r="T52" s="5"/>
      <c r="U52" s="5"/>
      <c r="V52" s="5"/>
      <c r="W52" s="5">
        <f t="shared" si="0"/>
        <v>23.4</v>
      </c>
    </row>
    <row r="53" spans="1:23">
      <c r="A53" s="3">
        <v>309</v>
      </c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>
        <f>8.75+23+17.6+9.35</f>
        <v>58.7</v>
      </c>
      <c r="N53" s="5">
        <f>10.65+9.1+20.45+23.3+14.6</f>
        <v>78.1</v>
      </c>
      <c r="O53" s="5">
        <f>14.85+23.3+24.6</f>
        <v>62.75</v>
      </c>
      <c r="P53" s="5">
        <f>21.7+17.85+23.75+10.55</f>
        <v>73.85</v>
      </c>
      <c r="Q53" s="5">
        <f>15.4+14.3</f>
        <v>29.7</v>
      </c>
      <c r="R53" s="5"/>
      <c r="S53" s="5">
        <f>21.15+22.75</f>
        <v>43.9</v>
      </c>
      <c r="T53" s="5">
        <f>18.45+26.35</f>
        <v>44.8</v>
      </c>
      <c r="U53" s="5">
        <f>18.75+13.4</f>
        <v>32.15</v>
      </c>
      <c r="V53" s="5"/>
      <c r="W53" s="5">
        <f t="shared" si="0"/>
        <v>423.95</v>
      </c>
    </row>
    <row r="54" spans="1:23">
      <c r="A54" s="3">
        <v>2161</v>
      </c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>
        <v>5.15</v>
      </c>
      <c r="N54" s="5">
        <v>10.95</v>
      </c>
      <c r="O54" s="5">
        <f>15.85+1.45</f>
        <v>17.3</v>
      </c>
      <c r="P54" s="5">
        <f>25.15+15.6+19.1+17.4</f>
        <v>77.25</v>
      </c>
      <c r="Q54" s="5">
        <f>18.8+24.75+20.65+15.95+11.6</f>
        <v>91.75</v>
      </c>
      <c r="R54" s="5"/>
      <c r="S54" s="5">
        <v>2.2</v>
      </c>
      <c r="T54" s="5">
        <v>18.05</v>
      </c>
      <c r="U54" s="5">
        <f>25.15+22.15</f>
        <v>47.3</v>
      </c>
      <c r="V54" s="5"/>
      <c r="W54" s="5">
        <f t="shared" si="0"/>
        <v>269.95</v>
      </c>
    </row>
    <row r="55" spans="1:23">
      <c r="A55" s="3">
        <v>2198</v>
      </c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>
        <v>1.8</v>
      </c>
      <c r="O55" s="5">
        <v>7.5</v>
      </c>
      <c r="P55" s="5">
        <v>3.65</v>
      </c>
      <c r="Q55" s="5"/>
      <c r="R55" s="5"/>
      <c r="S55" s="5">
        <v>4.4</v>
      </c>
      <c r="T55" s="5">
        <v>6.95</v>
      </c>
      <c r="U55" s="5">
        <v>1.9</v>
      </c>
      <c r="V55" s="5"/>
      <c r="W55" s="5">
        <f t="shared" si="0"/>
        <v>26.2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29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ref="W130:W193" si="2">SUM(C130:V130)</f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2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si="2"/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ref="W194:W257" si="3">SUM(C194:V194)</f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3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si="3"/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ref="W258:W321" si="4">SUM(C258:V258)</f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4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si="4"/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ref="W322:W348" si="5">SUM(C322:V322)</f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5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si="5"/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2044.1</v>
      </c>
      <c r="N349" s="6">
        <f t="shared" si="6"/>
        <v>1742.4</v>
      </c>
      <c r="O349" s="6">
        <f t="shared" si="6"/>
        <v>1954.7</v>
      </c>
      <c r="P349" s="6">
        <f t="shared" si="6"/>
        <v>2420.05</v>
      </c>
      <c r="Q349" s="6">
        <f t="shared" si="6"/>
        <v>1193.2</v>
      </c>
      <c r="R349" s="6">
        <f t="shared" si="6"/>
        <v>0</v>
      </c>
      <c r="S349" s="6">
        <f t="shared" si="6"/>
        <v>681.55</v>
      </c>
      <c r="T349" s="6">
        <f t="shared" si="6"/>
        <v>476.9</v>
      </c>
      <c r="U349" s="6">
        <f t="shared" si="6"/>
        <v>697.6</v>
      </c>
      <c r="V349" s="6">
        <f t="shared" si="6"/>
        <v>0</v>
      </c>
      <c r="W349" s="6">
        <f>SUM(W2:W348)</f>
        <v>11210.5</v>
      </c>
    </row>
  </sheetData>
  <pageMargins left="0.7" right="0.7" top="0.75" bottom="0.75" header="0.3" footer="0.3"/>
  <pageSetup paperSize="9" orientation="portrait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6" activePane="bottomLeft" state="frozen"/>
      <selection/>
      <selection pane="bottomLeft" activeCell="A56" sqref="A56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1037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>
        <v>2.6</v>
      </c>
      <c r="P2" s="5">
        <v>7.85</v>
      </c>
      <c r="Q2" s="5">
        <v>2.3</v>
      </c>
      <c r="R2" s="5"/>
      <c r="S2" s="5"/>
      <c r="T2" s="5"/>
      <c r="U2" s="5"/>
      <c r="V2" s="5"/>
      <c r="W2" s="5">
        <f t="shared" ref="W2:W67" si="0">SUM(C2:V2)</f>
        <v>12.75</v>
      </c>
    </row>
    <row r="3" spans="1:23">
      <c r="A3" s="3">
        <v>354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f>15.25+16</f>
        <v>31.25</v>
      </c>
      <c r="N3" s="5">
        <f>12.9+20.85</f>
        <v>33.75</v>
      </c>
      <c r="O3" s="5">
        <f>18.4+14.75+18.95</f>
        <v>52.1</v>
      </c>
      <c r="P3" s="5">
        <f>20.75+17.85+4.9</f>
        <v>43.5</v>
      </c>
      <c r="Q3" s="5">
        <v>19.15</v>
      </c>
      <c r="R3" s="5"/>
      <c r="S3" s="5">
        <v>13.85</v>
      </c>
      <c r="T3" s="5">
        <v>9.25</v>
      </c>
      <c r="U3" s="5">
        <v>4.2</v>
      </c>
      <c r="V3" s="5"/>
      <c r="W3" s="5">
        <f t="shared" si="0"/>
        <v>207.05</v>
      </c>
    </row>
    <row r="4" spans="1:23">
      <c r="A4" s="3">
        <v>1792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19.05</v>
      </c>
      <c r="N4" s="5">
        <f>17.15+8.85</f>
        <v>26</v>
      </c>
      <c r="O4" s="5">
        <f>19.65+3.65</f>
        <v>23.3</v>
      </c>
      <c r="P4" s="5">
        <f>20.4+11.9</f>
        <v>32.3</v>
      </c>
      <c r="Q4" s="5">
        <v>15.2</v>
      </c>
      <c r="R4" s="5"/>
      <c r="S4" s="5">
        <v>10.65</v>
      </c>
      <c r="T4" s="5">
        <v>8.6</v>
      </c>
      <c r="U4" s="5">
        <v>8.25</v>
      </c>
      <c r="V4" s="5"/>
      <c r="W4" s="5">
        <f t="shared" si="0"/>
        <v>143.35</v>
      </c>
    </row>
    <row r="5" spans="1:23">
      <c r="A5" s="3">
        <v>1791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7.15</v>
      </c>
      <c r="N5" s="5">
        <v>5.75</v>
      </c>
      <c r="O5" s="5">
        <v>2.85</v>
      </c>
      <c r="P5" s="5">
        <v>5.3</v>
      </c>
      <c r="Q5" s="5">
        <v>4</v>
      </c>
      <c r="R5" s="5"/>
      <c r="S5" s="5">
        <v>6.4</v>
      </c>
      <c r="T5" s="5">
        <v>1.35</v>
      </c>
      <c r="U5" s="5"/>
      <c r="V5" s="5"/>
      <c r="W5" s="5">
        <f t="shared" si="0"/>
        <v>32.8</v>
      </c>
    </row>
    <row r="6" spans="1:23">
      <c r="A6" s="3">
        <v>260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f>17.55+20.65</f>
        <v>38.2</v>
      </c>
      <c r="N6" s="5">
        <f>20.15+21.85</f>
        <v>42</v>
      </c>
      <c r="O6" s="5">
        <f>20.75+20.7</f>
        <v>41.45</v>
      </c>
      <c r="P6" s="5">
        <f>14.9+17.25</f>
        <v>32.15</v>
      </c>
      <c r="Q6" s="5">
        <v>20</v>
      </c>
      <c r="R6" s="5"/>
      <c r="S6" s="5">
        <v>15.8</v>
      </c>
      <c r="T6" s="5">
        <v>18.3</v>
      </c>
      <c r="U6" s="5">
        <v>11.5</v>
      </c>
      <c r="V6" s="5"/>
      <c r="W6" s="5">
        <f t="shared" si="0"/>
        <v>219.4</v>
      </c>
    </row>
    <row r="7" spans="1:23">
      <c r="A7" s="3">
        <v>1014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6.95</v>
      </c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6.95</v>
      </c>
    </row>
    <row r="8" spans="1:23">
      <c r="A8" s="3">
        <v>828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f>19.5+15.5+16.05</f>
        <v>51.05</v>
      </c>
      <c r="N8" s="5">
        <f>19.65+8.25</f>
        <v>27.9</v>
      </c>
      <c r="O8" s="5">
        <f>18.45+21.35+20.2+21.5+16.5</f>
        <v>98</v>
      </c>
      <c r="P8" s="5">
        <f>19.75+19.95+17.2+15.8+19.95+26.25+22+10.65+25.85</f>
        <v>177.4</v>
      </c>
      <c r="Q8" s="5">
        <f>26.95+15.25+22.8+16.75</f>
        <v>81.75</v>
      </c>
      <c r="R8" s="5"/>
      <c r="S8" s="5">
        <v>6</v>
      </c>
      <c r="T8" s="5">
        <v>20.3</v>
      </c>
      <c r="U8" s="5">
        <f>21.25+24.35</f>
        <v>45.6</v>
      </c>
      <c r="V8" s="5"/>
      <c r="W8" s="5">
        <f t="shared" si="0"/>
        <v>508</v>
      </c>
    </row>
    <row r="9" spans="1:23">
      <c r="A9" s="3">
        <v>309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f>21.4+19.1+25.1+25.25+16.9+26+18.8+21.9</f>
        <v>174.45</v>
      </c>
      <c r="N9" s="5">
        <f>18.6+23.55+21.45+21.4+17.7+15.9+15.65+22.95+17.9</f>
        <v>175.1</v>
      </c>
      <c r="O9" s="5">
        <f>18.35+17.75+17.45+18.85+8.55+17.1+23.65+11.7+16.5</f>
        <v>149.9</v>
      </c>
      <c r="P9" s="5">
        <f>23.5+17.75+20.1+15.3+19.85+11.3</f>
        <v>107.8</v>
      </c>
      <c r="Q9" s="5">
        <f>23.3+19.75+10.8+10.9</f>
        <v>64.75</v>
      </c>
      <c r="R9" s="5"/>
      <c r="S9" s="5">
        <v>17.65</v>
      </c>
      <c r="T9" s="5">
        <f>22.4+15.5+25.75</f>
        <v>63.65</v>
      </c>
      <c r="U9" s="5">
        <f>18.7+16.75+18.9</f>
        <v>54.35</v>
      </c>
      <c r="V9" s="5" t="s">
        <v>24</v>
      </c>
      <c r="W9" s="5">
        <f t="shared" si="0"/>
        <v>807.65</v>
      </c>
    </row>
    <row r="10" spans="1:23">
      <c r="A10" s="3">
        <v>309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f>19.95+23+19.45+18.1</f>
        <v>80.5</v>
      </c>
      <c r="N10" s="5">
        <f>20.1+25.45</f>
        <v>45.55</v>
      </c>
      <c r="O10" s="5">
        <f>19.4+20.7+20.1</f>
        <v>60.2</v>
      </c>
      <c r="P10" s="5">
        <f>22.9+19.45+5.7</f>
        <v>48.05</v>
      </c>
      <c r="Q10" s="5">
        <f>11.4+26.3+2.65</f>
        <v>40.35</v>
      </c>
      <c r="R10" s="5"/>
      <c r="S10" s="5">
        <f>26.65+8.7</f>
        <v>35.35</v>
      </c>
      <c r="T10" s="5">
        <f>11.4+7.4</f>
        <v>18.8</v>
      </c>
      <c r="U10" s="5">
        <v>30.45</v>
      </c>
      <c r="V10" s="5"/>
      <c r="W10" s="5">
        <f t="shared" si="0"/>
        <v>359.25</v>
      </c>
    </row>
    <row r="11" spans="1:23">
      <c r="A11" s="3">
        <v>2161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f>16.6+4.45</f>
        <v>21.05</v>
      </c>
      <c r="N11" s="5">
        <f>20.95+18.3</f>
        <v>39.25</v>
      </c>
      <c r="O11" s="5">
        <f>26.6+15.5</f>
        <v>42.1</v>
      </c>
      <c r="P11" s="5">
        <f>24.5+17.35+21.5+6</f>
        <v>69.35</v>
      </c>
      <c r="Q11" s="5">
        <f>20.7+14.8+26.2</f>
        <v>61.7</v>
      </c>
      <c r="R11" s="5"/>
      <c r="S11" s="5">
        <v>5.15</v>
      </c>
      <c r="T11" s="5">
        <f>24.65+8.8+12.6+17.05+30.9+14.7</f>
        <v>108.7</v>
      </c>
      <c r="U11" s="5">
        <f>17.65+30.4+19+21.4</f>
        <v>88.45</v>
      </c>
      <c r="V11" s="5"/>
      <c r="W11" s="5">
        <f t="shared" si="0"/>
        <v>435.75</v>
      </c>
    </row>
    <row r="12" spans="1:23">
      <c r="A12" s="3">
        <v>1027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6.25</v>
      </c>
      <c r="N12" s="5">
        <v>4.65</v>
      </c>
      <c r="O12" s="5">
        <v>4.2</v>
      </c>
      <c r="P12" s="5"/>
      <c r="Q12" s="5"/>
      <c r="R12" s="5"/>
      <c r="S12" s="5"/>
      <c r="T12" s="5">
        <v>2.65</v>
      </c>
      <c r="U12" s="5">
        <v>1.55</v>
      </c>
      <c r="V12" s="5"/>
      <c r="W12" s="5">
        <f t="shared" si="0"/>
        <v>19.3</v>
      </c>
    </row>
    <row r="13" spans="1:23">
      <c r="A13" s="3">
        <v>996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12.15</v>
      </c>
      <c r="N13" s="5"/>
      <c r="O13" s="5"/>
      <c r="P13" s="5"/>
      <c r="Q13" s="5"/>
      <c r="R13" s="5"/>
      <c r="S13" s="5">
        <v>6.6</v>
      </c>
      <c r="T13" s="5"/>
      <c r="U13" s="5"/>
      <c r="V13" s="5"/>
      <c r="W13" s="5">
        <f t="shared" si="0"/>
        <v>18.75</v>
      </c>
    </row>
    <row r="14" spans="1:23">
      <c r="A14" s="3">
        <v>1026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v>11</v>
      </c>
      <c r="N14" s="5">
        <v>4</v>
      </c>
      <c r="O14" s="5"/>
      <c r="P14" s="5"/>
      <c r="Q14" s="5"/>
      <c r="R14" s="5"/>
      <c r="S14" s="5"/>
      <c r="T14" s="5"/>
      <c r="U14" s="5"/>
      <c r="V14" s="5"/>
      <c r="W14" s="5">
        <f t="shared" si="0"/>
        <v>15</v>
      </c>
    </row>
    <row r="15" spans="1:23">
      <c r="A15" s="3">
        <v>1014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>
        <v>6.8</v>
      </c>
      <c r="T15" s="5"/>
      <c r="U15" s="5"/>
      <c r="V15" s="5"/>
      <c r="W15" s="5">
        <f t="shared" si="0"/>
        <v>6.8</v>
      </c>
    </row>
    <row r="16" spans="1:23">
      <c r="A16" s="3">
        <v>1009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f>2.45+6.35</f>
        <v>8.8</v>
      </c>
      <c r="N16" s="5">
        <v>16.15</v>
      </c>
      <c r="O16" s="5">
        <v>5.7</v>
      </c>
      <c r="P16" s="5">
        <v>11.25</v>
      </c>
      <c r="Q16" s="5">
        <v>5.05</v>
      </c>
      <c r="R16" s="5"/>
      <c r="S16" s="5">
        <f>15+4.05</f>
        <v>19.05</v>
      </c>
      <c r="T16" s="5"/>
      <c r="U16" s="5"/>
      <c r="V16" s="5"/>
      <c r="W16" s="5">
        <f t="shared" si="0"/>
        <v>66</v>
      </c>
    </row>
    <row r="17" spans="1:23">
      <c r="A17" s="3">
        <v>2167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f>18.55+18.95+17.3+10.9+17.1+24.9</f>
        <v>107.7</v>
      </c>
      <c r="N17" s="5">
        <f>17.3+19+20.15+21.7</f>
        <v>78.15</v>
      </c>
      <c r="O17" s="5">
        <f>18.8+16.1+15.5+14.6+18.3+18.2+20.25+17.45+22.05+16.35</f>
        <v>177.6</v>
      </c>
      <c r="P17" s="5">
        <f>23.7+22.85+20.3+18.6+13.9+22.4+18.4+18.3</f>
        <v>158.45</v>
      </c>
      <c r="Q17" s="5">
        <f>18.9+18.3</f>
        <v>37.2</v>
      </c>
      <c r="R17" s="5"/>
      <c r="S17" s="5"/>
      <c r="T17" s="5"/>
      <c r="U17" s="5"/>
      <c r="V17" s="5"/>
      <c r="W17" s="5">
        <f t="shared" si="0"/>
        <v>559.1</v>
      </c>
    </row>
    <row r="18" spans="1:23">
      <c r="A18" s="3">
        <v>2167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f>18.25+22.05+4.45</f>
        <v>44.75</v>
      </c>
      <c r="N18" s="5">
        <f>18.05+20.8+6.64</f>
        <v>45.49</v>
      </c>
      <c r="O18" s="5">
        <f>21.35+16.1</f>
        <v>37.45</v>
      </c>
      <c r="P18" s="5">
        <v>23.45</v>
      </c>
      <c r="Q18" s="5">
        <f>19.8+16.1</f>
        <v>35.9</v>
      </c>
      <c r="R18" s="5"/>
      <c r="S18" s="5">
        <f>19.6+21.6</f>
        <v>41.2</v>
      </c>
      <c r="T18" s="5">
        <v>14.5</v>
      </c>
      <c r="U18" s="5">
        <v>14.75</v>
      </c>
      <c r="V18" s="5"/>
      <c r="W18" s="5">
        <f t="shared" si="0"/>
        <v>257.49</v>
      </c>
    </row>
    <row r="19" spans="1:23">
      <c r="A19" s="3">
        <v>309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f>16.3+21.35+18.5+15.35+18.6+17+20.65+18.7</f>
        <v>146.45</v>
      </c>
      <c r="N19" s="5">
        <f>19.75+17.7+21.4+16.8+19.7+22.7</f>
        <v>118.05</v>
      </c>
      <c r="O19" s="5">
        <f>18.5+20.45+20.2+14.8+14.85+20.65+18.8+18.65+22.05+11.95</f>
        <v>180.9</v>
      </c>
      <c r="P19" s="5">
        <f>20.4+15.5+22.45+17+19.75+16.55+20.25+19.9</f>
        <v>151.8</v>
      </c>
      <c r="Q19" s="5">
        <f>19.75+25.9+20.75+9.35</f>
        <v>75.75</v>
      </c>
      <c r="R19" s="5"/>
      <c r="S19" s="5"/>
      <c r="T19" s="5"/>
      <c r="U19" s="5"/>
      <c r="V19" s="5"/>
      <c r="W19" s="5">
        <f t="shared" si="0"/>
        <v>672.95</v>
      </c>
    </row>
    <row r="20" spans="1:23">
      <c r="A20" s="3">
        <v>309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v>16.55</v>
      </c>
      <c r="N20" s="5">
        <f>16.35+8.5</f>
        <v>24.85</v>
      </c>
      <c r="O20" s="5">
        <v>13</v>
      </c>
      <c r="P20" s="5">
        <f>24.4+24.15+15.35</f>
        <v>63.9</v>
      </c>
      <c r="Q20" s="5">
        <f>15.2+11.1</f>
        <v>26.3</v>
      </c>
      <c r="R20" s="5"/>
      <c r="S20" s="5">
        <f>18.65+27.45</f>
        <v>46.1</v>
      </c>
      <c r="T20" s="5">
        <v>25.5</v>
      </c>
      <c r="U20" s="5">
        <f>23.35+21.8</f>
        <v>45.15</v>
      </c>
      <c r="V20" s="5"/>
      <c r="W20" s="5">
        <f t="shared" si="0"/>
        <v>261.35</v>
      </c>
    </row>
    <row r="21" spans="1:23">
      <c r="A21" s="3">
        <v>2198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v>12.4</v>
      </c>
      <c r="N21" s="5">
        <v>1.8</v>
      </c>
      <c r="O21" s="5">
        <v>5.5</v>
      </c>
      <c r="P21" s="5" t="s">
        <v>25</v>
      </c>
      <c r="Q21" s="5">
        <v>0.9</v>
      </c>
      <c r="R21" s="5"/>
      <c r="S21" s="5"/>
      <c r="T21" s="5"/>
      <c r="U21" s="5"/>
      <c r="V21" s="5"/>
      <c r="W21" s="5">
        <f t="shared" si="0"/>
        <v>20.6</v>
      </c>
    </row>
    <row r="22" spans="1:23">
      <c r="A22" s="3">
        <v>2415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v>2.2</v>
      </c>
      <c r="N22" s="5">
        <v>6.5</v>
      </c>
      <c r="O22" s="5">
        <v>4.45</v>
      </c>
      <c r="P22" s="5">
        <f>23.3+14.45</f>
        <v>37.75</v>
      </c>
      <c r="Q22" s="5">
        <v>15.85</v>
      </c>
      <c r="R22" s="5"/>
      <c r="S22" s="5">
        <v>7.1</v>
      </c>
      <c r="T22" s="5">
        <v>1.3</v>
      </c>
      <c r="U22" s="5">
        <v>4.85</v>
      </c>
      <c r="V22" s="5"/>
      <c r="W22" s="5">
        <f t="shared" si="0"/>
        <v>80</v>
      </c>
    </row>
    <row r="23" spans="1:23">
      <c r="A23" s="3">
        <v>672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f>18.25+21.45+16.3+24.65</f>
        <v>80.65</v>
      </c>
      <c r="N23" s="5">
        <f>16.4+18.35+14.9+22.6</f>
        <v>72.25</v>
      </c>
      <c r="O23" s="5">
        <f>12.15+16.3+20.05+20.35+22.15+15.55</f>
        <v>106.55</v>
      </c>
      <c r="P23" s="5">
        <f>8.75+23.2+21.9+25.15+16.35</f>
        <v>95.35</v>
      </c>
      <c r="Q23" s="5">
        <f>27.7+4.5</f>
        <v>32.2</v>
      </c>
      <c r="R23" s="5"/>
      <c r="S23" s="5">
        <v>34.8</v>
      </c>
      <c r="T23" s="5">
        <v>15.5</v>
      </c>
      <c r="U23" s="5">
        <v>15.5</v>
      </c>
      <c r="V23" s="5"/>
      <c r="W23" s="5">
        <f t="shared" si="0"/>
        <v>452.8</v>
      </c>
    </row>
    <row r="24" spans="1:23">
      <c r="A24" s="3">
        <v>444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>
        <v>14.85</v>
      </c>
      <c r="N24" s="5">
        <v>9.7</v>
      </c>
      <c r="O24" s="5">
        <v>17.15</v>
      </c>
      <c r="P24" s="5">
        <v>14.7</v>
      </c>
      <c r="Q24" s="5">
        <v>9.8</v>
      </c>
      <c r="R24" s="5"/>
      <c r="S24" s="5"/>
      <c r="T24" s="5">
        <v>2.9</v>
      </c>
      <c r="U24" s="5">
        <v>1.75</v>
      </c>
      <c r="V24" s="5"/>
      <c r="W24" s="5">
        <f t="shared" si="0"/>
        <v>70.85</v>
      </c>
    </row>
    <row r="25" spans="1:23">
      <c r="A25" s="3">
        <v>1651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>
        <f>16.3+12.6</f>
        <v>28.9</v>
      </c>
      <c r="N25" s="5">
        <f>8.45+12.65</f>
        <v>21.1</v>
      </c>
      <c r="O25" s="5">
        <f>10.65+2.85</f>
        <v>13.5</v>
      </c>
      <c r="P25" s="5">
        <f>14.4+1.2</f>
        <v>15.6</v>
      </c>
      <c r="Q25" s="5"/>
      <c r="R25" s="5"/>
      <c r="S25" s="5"/>
      <c r="T25" s="5"/>
      <c r="U25" s="5"/>
      <c r="V25" s="5"/>
      <c r="W25" s="5">
        <f t="shared" si="0"/>
        <v>79.1</v>
      </c>
    </row>
    <row r="26" spans="1:23">
      <c r="A26" s="3">
        <v>478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>
        <f>19.35+16.15+24.1+16.25+21.1+19+20.9+22.6+22.65</f>
        <v>182.1</v>
      </c>
      <c r="N26" s="5">
        <f>20.95+23.25+19.55+15.3</f>
        <v>79.05</v>
      </c>
      <c r="O26" s="5">
        <f>17.9+16.7</f>
        <v>34.6</v>
      </c>
      <c r="P26" s="5">
        <v>16.4</v>
      </c>
      <c r="Q26" s="5">
        <v>5.25</v>
      </c>
      <c r="R26" s="5"/>
      <c r="S26" s="5">
        <v>30.25</v>
      </c>
      <c r="T26" s="5">
        <v>7.2</v>
      </c>
      <c r="U26" s="5">
        <v>4.1</v>
      </c>
      <c r="V26" s="5"/>
      <c r="W26" s="5">
        <f t="shared" si="0"/>
        <v>358.95</v>
      </c>
    </row>
    <row r="27" spans="1:23">
      <c r="A27" s="3">
        <v>404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f>16.2+19.8</f>
        <v>36</v>
      </c>
      <c r="N27" s="5"/>
      <c r="O27" s="5"/>
      <c r="P27" s="5"/>
      <c r="Q27" s="5"/>
      <c r="R27" s="5"/>
      <c r="S27" s="5">
        <v>4.65</v>
      </c>
      <c r="T27" s="5"/>
      <c r="U27" s="5"/>
      <c r="V27" s="5"/>
      <c r="W27" s="5">
        <f t="shared" si="0"/>
        <v>40.65</v>
      </c>
    </row>
    <row r="28" spans="1:23">
      <c r="A28" s="3">
        <v>1745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v>4.95</v>
      </c>
      <c r="N28" s="5">
        <v>8.3</v>
      </c>
      <c r="O28" s="5">
        <v>3.9</v>
      </c>
      <c r="P28" s="5">
        <v>5.35</v>
      </c>
      <c r="Q28" s="5">
        <v>3.9</v>
      </c>
      <c r="R28" s="5"/>
      <c r="S28" s="5"/>
      <c r="T28" s="5"/>
      <c r="U28" s="5">
        <v>3.65</v>
      </c>
      <c r="V28" s="5"/>
      <c r="W28" s="5">
        <f t="shared" si="0"/>
        <v>30.05</v>
      </c>
    </row>
    <row r="29" spans="1:23">
      <c r="A29" s="3">
        <v>1795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>
        <f>4.55+1.95</f>
        <v>6.5</v>
      </c>
      <c r="O29" s="5">
        <v>7.65</v>
      </c>
      <c r="P29" s="5">
        <v>9.45</v>
      </c>
      <c r="Q29" s="5">
        <v>0.65</v>
      </c>
      <c r="R29" s="5"/>
      <c r="S29" s="5"/>
      <c r="T29" s="5"/>
      <c r="U29" s="5">
        <v>2.05</v>
      </c>
      <c r="V29" s="5"/>
      <c r="W29" s="5">
        <f t="shared" si="0"/>
        <v>26.3</v>
      </c>
    </row>
    <row r="30" spans="1:23">
      <c r="A30" s="3">
        <v>1012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v>16.9</v>
      </c>
      <c r="N30" s="5">
        <v>7.6</v>
      </c>
      <c r="O30" s="5">
        <v>9.55</v>
      </c>
      <c r="P30" s="5">
        <f>19.4+25.25+7.7</f>
        <v>52.35</v>
      </c>
      <c r="Q30" s="5">
        <v>23.55</v>
      </c>
      <c r="R30" s="5"/>
      <c r="S30" s="5">
        <v>3.05</v>
      </c>
      <c r="T30" s="5">
        <v>2.45</v>
      </c>
      <c r="U30" s="5">
        <v>22.05</v>
      </c>
      <c r="V30" s="5"/>
      <c r="W30" s="5">
        <f t="shared" si="0"/>
        <v>137.5</v>
      </c>
    </row>
    <row r="31" spans="1:23">
      <c r="A31" s="3">
        <v>207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f>15.3+4.25</f>
        <v>19.55</v>
      </c>
      <c r="N31" s="5">
        <v>19.05</v>
      </c>
      <c r="O31" s="5">
        <f>18.15+19.65+1.35</f>
        <v>39.15</v>
      </c>
      <c r="P31" s="5">
        <f>17.65+21.1</f>
        <v>38.75</v>
      </c>
      <c r="Q31" s="5">
        <v>17.2</v>
      </c>
      <c r="R31" s="5"/>
      <c r="S31" s="5"/>
      <c r="T31" s="5">
        <v>1.8</v>
      </c>
      <c r="U31" s="5">
        <v>12</v>
      </c>
      <c r="V31" s="5"/>
      <c r="W31" s="5">
        <f t="shared" si="0"/>
        <v>147.5</v>
      </c>
    </row>
    <row r="32" spans="1:23">
      <c r="A32" s="3">
        <v>476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22.3</v>
      </c>
      <c r="N32" s="5">
        <f>14.75+11.2</f>
        <v>25.95</v>
      </c>
      <c r="O32" s="5">
        <f>25.7+11.55</f>
        <v>37.25</v>
      </c>
      <c r="P32" s="5">
        <f>20.6+29.2</f>
        <v>49.8</v>
      </c>
      <c r="Q32" s="5">
        <f>6.95+17.9+6.05</f>
        <v>30.9</v>
      </c>
      <c r="R32" s="5"/>
      <c r="S32" s="5">
        <v>9.45</v>
      </c>
      <c r="T32" s="5">
        <v>7.2</v>
      </c>
      <c r="U32" s="5">
        <v>9.85</v>
      </c>
      <c r="V32" s="5"/>
      <c r="W32" s="5">
        <f t="shared" si="0"/>
        <v>192.7</v>
      </c>
    </row>
    <row r="33" spans="1:23">
      <c r="A33" s="3">
        <v>477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f>18.85+23.45+17.8+19.95+19.55+12.4</f>
        <v>112</v>
      </c>
      <c r="N33" s="5">
        <f>20.95+20.55+23.4+16.3+14.35+13.35</f>
        <v>108.9</v>
      </c>
      <c r="O33" s="5">
        <f>19.4+19.2+22.75+18.45+22.15+25</f>
        <v>126.95</v>
      </c>
      <c r="P33" s="5">
        <f>15.5+20.6+25.2+21.75+20.1+17.35</f>
        <v>120.5</v>
      </c>
      <c r="Q33" s="5">
        <f>21.5+17+20.85+7.75</f>
        <v>67.1</v>
      </c>
      <c r="R33" s="5"/>
      <c r="S33" s="5">
        <v>11.7</v>
      </c>
      <c r="T33" s="5">
        <v>18.8</v>
      </c>
      <c r="U33" s="5">
        <v>24.3</v>
      </c>
      <c r="V33" s="5"/>
      <c r="W33" s="5">
        <f t="shared" si="0"/>
        <v>590.25</v>
      </c>
    </row>
    <row r="34" spans="1:23">
      <c r="A34" s="3">
        <v>260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f>23.95+22.1+16.85+24.3+23.95</f>
        <v>111.15</v>
      </c>
      <c r="N34" s="5">
        <f>21.2+17.6+19.05+21.65+17.55</f>
        <v>97.05</v>
      </c>
      <c r="O34" s="5">
        <f>27.45+22.25+26.2+16.7+18.6+21.45</f>
        <v>132.65</v>
      </c>
      <c r="P34" s="5">
        <f>24.1+17.35+19.9+20.4+22.8+22.45</f>
        <v>127</v>
      </c>
      <c r="Q34" s="5">
        <f>21.45+20+24.3</f>
        <v>65.75</v>
      </c>
      <c r="R34" s="5"/>
      <c r="S34" s="5">
        <v>31.6</v>
      </c>
      <c r="T34" s="5">
        <v>11.5</v>
      </c>
      <c r="U34" s="5">
        <v>24.2</v>
      </c>
      <c r="V34" s="5"/>
      <c r="W34" s="5">
        <f t="shared" si="0"/>
        <v>600.9</v>
      </c>
    </row>
    <row r="35" spans="1:23">
      <c r="A35" s="3">
        <v>1017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v>12.1</v>
      </c>
      <c r="N35" s="5">
        <v>18.35</v>
      </c>
      <c r="O35" s="5">
        <v>9.9</v>
      </c>
      <c r="P35" s="5">
        <v>5.6</v>
      </c>
      <c r="Q35" s="5"/>
      <c r="R35" s="5"/>
      <c r="S35" s="5"/>
      <c r="T35" s="5">
        <v>8.25</v>
      </c>
      <c r="U35" s="5">
        <v>4.05</v>
      </c>
      <c r="V35" s="5"/>
      <c r="W35" s="5">
        <f t="shared" si="0"/>
        <v>58.25</v>
      </c>
    </row>
    <row r="36" spans="1:23">
      <c r="A36" s="3">
        <v>211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4.75</v>
      </c>
      <c r="N36" s="5">
        <v>7.2</v>
      </c>
      <c r="O36" s="5">
        <v>12.95</v>
      </c>
      <c r="P36" s="5">
        <v>6.7</v>
      </c>
      <c r="Q36" s="5">
        <v>4</v>
      </c>
      <c r="R36" s="5"/>
      <c r="S36" s="5"/>
      <c r="T36" s="5"/>
      <c r="U36" s="5"/>
      <c r="V36" s="5"/>
      <c r="W36" s="5">
        <f t="shared" si="0"/>
        <v>35.6</v>
      </c>
    </row>
    <row r="37" spans="1:23">
      <c r="A37" s="3">
        <v>333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f>17.7+17.45</f>
        <v>35.15</v>
      </c>
      <c r="N37" s="5">
        <v>5.6</v>
      </c>
      <c r="O37" s="5">
        <v>2.8</v>
      </c>
      <c r="P37" s="5">
        <v>3.3</v>
      </c>
      <c r="Q37" s="5">
        <v>2.1</v>
      </c>
      <c r="R37" s="5"/>
      <c r="S37" s="5"/>
      <c r="T37" s="5">
        <v>1.75</v>
      </c>
      <c r="U37" s="5">
        <v>1.25</v>
      </c>
      <c r="V37" s="5"/>
      <c r="W37" s="5">
        <f t="shared" si="0"/>
        <v>51.95</v>
      </c>
    </row>
    <row r="38" spans="1:23">
      <c r="A38" s="3">
        <v>999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f>14.35+4.75</f>
        <v>19.1</v>
      </c>
      <c r="N38" s="5">
        <f>15.65+3.75</f>
        <v>19.4</v>
      </c>
      <c r="O38" s="5">
        <v>16.8</v>
      </c>
      <c r="P38" s="5">
        <v>15.8</v>
      </c>
      <c r="Q38" s="5">
        <v>5.1</v>
      </c>
      <c r="R38" s="5"/>
      <c r="S38" s="5"/>
      <c r="T38" s="5">
        <v>7.25</v>
      </c>
      <c r="U38" s="5">
        <v>5.7</v>
      </c>
      <c r="V38" s="5"/>
      <c r="W38" s="5">
        <f t="shared" si="0"/>
        <v>89.15</v>
      </c>
    </row>
    <row r="39" spans="1:23">
      <c r="A39" s="3">
        <v>2425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17.65</v>
      </c>
      <c r="N39" s="5">
        <v>22.6</v>
      </c>
      <c r="O39" s="5">
        <v>27.25</v>
      </c>
      <c r="P39" s="5">
        <v>22.5</v>
      </c>
      <c r="Q39" s="5">
        <v>13.55</v>
      </c>
      <c r="R39" s="5"/>
      <c r="S39" s="5">
        <v>4.15</v>
      </c>
      <c r="T39" s="5">
        <v>3.4</v>
      </c>
      <c r="U39" s="5">
        <v>2.6</v>
      </c>
      <c r="V39" s="5"/>
      <c r="W39" s="5">
        <f t="shared" si="0"/>
        <v>113.7</v>
      </c>
    </row>
    <row r="40" spans="1:23">
      <c r="A40" s="3">
        <v>1795</v>
      </c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v>7.05</v>
      </c>
      <c r="N40" s="5"/>
      <c r="O40" s="5"/>
      <c r="P40" s="5">
        <v>1.85</v>
      </c>
      <c r="Q40" s="5">
        <v>0.75</v>
      </c>
      <c r="R40" s="5"/>
      <c r="S40" s="5">
        <v>8.2</v>
      </c>
      <c r="T40" s="5"/>
      <c r="U40" s="5"/>
      <c r="V40" s="5"/>
      <c r="W40" s="5">
        <f t="shared" si="0"/>
        <v>17.85</v>
      </c>
    </row>
    <row r="41" spans="1:23">
      <c r="A41" s="3">
        <v>1745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>
        <v>1.35</v>
      </c>
      <c r="P41" s="5">
        <v>6.45</v>
      </c>
      <c r="Q41" s="5">
        <v>4.25</v>
      </c>
      <c r="R41" s="5"/>
      <c r="S41" s="5"/>
      <c r="T41" s="5"/>
      <c r="U41" s="5"/>
      <c r="V41" s="5"/>
      <c r="W41" s="5">
        <f t="shared" si="0"/>
        <v>12.05</v>
      </c>
    </row>
    <row r="42" spans="1:23">
      <c r="A42" s="3">
        <v>1010</v>
      </c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f>19.45+17.7+19.15+17.25+21.45</f>
        <v>95</v>
      </c>
      <c r="N42" s="5">
        <f>14.35+17.5+18.45+18.25+22.15</f>
        <v>90.7</v>
      </c>
      <c r="O42" s="5">
        <f>18.3+16.45+20.2+19.4+19.65+17.2</f>
        <v>111.2</v>
      </c>
      <c r="P42" s="5">
        <f>17.45+11.15+16.7+17.2+25.9+15.75+14.5</f>
        <v>118.65</v>
      </c>
      <c r="Q42" s="5">
        <f>17.9+20.95</f>
        <v>38.85</v>
      </c>
      <c r="R42" s="5"/>
      <c r="S42" s="5">
        <v>20.05</v>
      </c>
      <c r="T42" s="5">
        <v>10.55</v>
      </c>
      <c r="U42" s="5">
        <v>23.95</v>
      </c>
      <c r="V42" s="5"/>
      <c r="W42" s="5">
        <f t="shared" si="0"/>
        <v>508.95</v>
      </c>
    </row>
    <row r="43" spans="1:23">
      <c r="A43" s="3">
        <v>1038</v>
      </c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v>6.65</v>
      </c>
      <c r="N43" s="5">
        <v>9.55</v>
      </c>
      <c r="O43" s="5"/>
      <c r="P43" s="5"/>
      <c r="Q43" s="5"/>
      <c r="R43" s="5"/>
      <c r="S43" s="5"/>
      <c r="T43" s="5"/>
      <c r="U43" s="5"/>
      <c r="V43" s="5"/>
      <c r="W43" s="5">
        <f t="shared" si="0"/>
        <v>16.2</v>
      </c>
    </row>
    <row r="44" spans="1:23">
      <c r="A44" s="3">
        <v>672</v>
      </c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f>13.35+13.2+11</f>
        <v>37.55</v>
      </c>
      <c r="N44" s="5">
        <f>13.3+15.75+22.3</f>
        <v>51.35</v>
      </c>
      <c r="O44" s="5">
        <f>15.55+12.8+17.05+21.7+9.5</f>
        <v>76.6</v>
      </c>
      <c r="P44" s="5">
        <f>15.85+14.45+17.95+16.6+18.1+18.35+20.15+24.35+12.1</f>
        <v>157.9</v>
      </c>
      <c r="Q44" s="5">
        <f>16.35+18.7+24.2+0.7</f>
        <v>59.95</v>
      </c>
      <c r="R44" s="5"/>
      <c r="S44" s="5">
        <v>15.85</v>
      </c>
      <c r="T44" s="5">
        <v>17.35</v>
      </c>
      <c r="U44" s="5">
        <v>26.7</v>
      </c>
      <c r="V44" s="5"/>
      <c r="W44" s="5">
        <f t="shared" si="0"/>
        <v>443.25</v>
      </c>
    </row>
    <row r="45" spans="1:23">
      <c r="A45" s="3">
        <v>2267</v>
      </c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f>18.3+20.6</f>
        <v>38.9</v>
      </c>
      <c r="N45" s="5">
        <f>17.45+7</f>
        <v>24.45</v>
      </c>
      <c r="O45" s="5">
        <f>19.1+1.5</f>
        <v>20.6</v>
      </c>
      <c r="P45" s="5">
        <v>15.7</v>
      </c>
      <c r="Q45" s="5">
        <v>4.6</v>
      </c>
      <c r="R45" s="5"/>
      <c r="S45" s="5">
        <v>23.8</v>
      </c>
      <c r="T45" s="5">
        <v>3.9</v>
      </c>
      <c r="U45" s="5">
        <v>0.9</v>
      </c>
      <c r="V45" s="5"/>
      <c r="W45" s="5">
        <f t="shared" si="0"/>
        <v>132.85</v>
      </c>
    </row>
    <row r="46" spans="1:23">
      <c r="A46" s="3">
        <v>560</v>
      </c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>
        <v>7.65</v>
      </c>
      <c r="N46" s="5">
        <v>8.65</v>
      </c>
      <c r="O46" s="5">
        <v>12.15</v>
      </c>
      <c r="P46" s="5">
        <v>3.6</v>
      </c>
      <c r="Q46" s="5"/>
      <c r="R46" s="5"/>
      <c r="S46" s="5">
        <v>2.95</v>
      </c>
      <c r="T46" s="5"/>
      <c r="U46" s="5"/>
      <c r="V46" s="5"/>
      <c r="W46" s="5">
        <f t="shared" si="0"/>
        <v>35</v>
      </c>
    </row>
    <row r="47" spans="1:23">
      <c r="A47" s="3">
        <v>180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>
        <v>14.15</v>
      </c>
      <c r="N47" s="5">
        <v>1.8</v>
      </c>
      <c r="O47" s="5"/>
      <c r="P47" s="5">
        <v>1.15</v>
      </c>
      <c r="Q47" s="5">
        <v>0.9</v>
      </c>
      <c r="R47" s="5"/>
      <c r="S47" s="5"/>
      <c r="T47" s="5"/>
      <c r="U47" s="5">
        <v>0.8</v>
      </c>
      <c r="V47" s="5"/>
      <c r="W47" s="5">
        <f t="shared" si="0"/>
        <v>18.8</v>
      </c>
    </row>
    <row r="48" spans="1:23">
      <c r="A48" s="3">
        <v>1006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v>2.4</v>
      </c>
      <c r="N48" s="5">
        <v>8.1</v>
      </c>
      <c r="O48" s="5">
        <v>12.85</v>
      </c>
      <c r="P48" s="5">
        <f>15+9.2</f>
        <v>24.2</v>
      </c>
      <c r="Q48" s="5">
        <v>10.95</v>
      </c>
      <c r="R48" s="5"/>
      <c r="S48" s="5"/>
      <c r="T48" s="5"/>
      <c r="U48" s="5">
        <v>3.35</v>
      </c>
      <c r="V48" s="5"/>
      <c r="W48" s="5">
        <f t="shared" si="0"/>
        <v>61.85</v>
      </c>
    </row>
    <row r="49" spans="1:23">
      <c r="A49" s="3">
        <v>444</v>
      </c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>
        <v>10.6</v>
      </c>
      <c r="N49" s="5">
        <v>11.9</v>
      </c>
      <c r="O49" s="5">
        <v>3.9</v>
      </c>
      <c r="P49" s="5">
        <v>3.3</v>
      </c>
      <c r="Q49" s="5">
        <v>0.95</v>
      </c>
      <c r="R49" s="5"/>
      <c r="S49" s="5">
        <v>7.85</v>
      </c>
      <c r="T49" s="5">
        <v>8.35</v>
      </c>
      <c r="U49" s="5">
        <v>1.65</v>
      </c>
      <c r="V49" s="5"/>
      <c r="W49" s="5">
        <f t="shared" si="0"/>
        <v>48.5</v>
      </c>
    </row>
    <row r="50" spans="1:23">
      <c r="A50" s="3">
        <v>213</v>
      </c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>
        <f>14.25+15.95</f>
        <v>30.2</v>
      </c>
      <c r="N50" s="5">
        <v>12.05</v>
      </c>
      <c r="O50" s="5">
        <v>8.5</v>
      </c>
      <c r="P50" s="5">
        <v>16.4</v>
      </c>
      <c r="Q50" s="5">
        <v>4.45</v>
      </c>
      <c r="R50" s="5"/>
      <c r="S50" s="5">
        <v>10.4</v>
      </c>
      <c r="T50" s="5"/>
      <c r="U50" s="5">
        <v>0.5</v>
      </c>
      <c r="V50" s="5"/>
      <c r="W50" s="5">
        <f t="shared" si="0"/>
        <v>82.5</v>
      </c>
    </row>
    <row r="51" spans="1:23">
      <c r="A51" s="3">
        <v>1030</v>
      </c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>
        <f>16.45+20.6+7.6</f>
        <v>44.65</v>
      </c>
      <c r="N51" s="5">
        <f>17.35+13.05</f>
        <v>30.4</v>
      </c>
      <c r="O51" s="5">
        <f>15.55+14.5+15.65+15.5+4.15</f>
        <v>65.35</v>
      </c>
      <c r="P51" s="5">
        <f>17.05+13.85+10.2+20+17.6+3.2</f>
        <v>81.9</v>
      </c>
      <c r="Q51" s="5">
        <f>17.1+19.75</f>
        <v>36.85</v>
      </c>
      <c r="R51" s="5"/>
      <c r="S51" s="5">
        <v>6.4</v>
      </c>
      <c r="T51" s="5">
        <v>14.6</v>
      </c>
      <c r="U51" s="5">
        <v>16.1</v>
      </c>
      <c r="V51" s="5"/>
      <c r="W51" s="5">
        <f t="shared" si="0"/>
        <v>296.25</v>
      </c>
    </row>
    <row r="52" spans="1:23">
      <c r="A52" s="3">
        <v>477</v>
      </c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>
        <f>1.85+13.65</f>
        <v>15.5</v>
      </c>
      <c r="O52" s="5">
        <v>4.4</v>
      </c>
      <c r="P52" s="5">
        <v>3.05</v>
      </c>
      <c r="Q52" s="5">
        <v>0.8</v>
      </c>
      <c r="R52" s="5"/>
      <c r="S52" s="5"/>
      <c r="T52" s="5">
        <v>5.8</v>
      </c>
      <c r="U52" s="5">
        <v>2.05</v>
      </c>
      <c r="V52" s="5"/>
      <c r="W52" s="5">
        <f t="shared" si="0"/>
        <v>31.6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1810.8</v>
      </c>
      <c r="N349" s="6">
        <f t="shared" si="6"/>
        <v>1487.99</v>
      </c>
      <c r="O349" s="6">
        <f t="shared" si="6"/>
        <v>1816.8</v>
      </c>
      <c r="P349" s="6">
        <f t="shared" si="6"/>
        <v>2003.6</v>
      </c>
      <c r="Q349" s="6">
        <f t="shared" si="6"/>
        <v>950.5</v>
      </c>
      <c r="R349" s="6">
        <f t="shared" si="6"/>
        <v>0</v>
      </c>
      <c r="S349" s="6">
        <f t="shared" si="6"/>
        <v>462.85</v>
      </c>
      <c r="T349" s="6">
        <f t="shared" si="6"/>
        <v>441.45</v>
      </c>
      <c r="U349" s="6">
        <f t="shared" si="6"/>
        <v>518.15</v>
      </c>
      <c r="V349" s="6">
        <f t="shared" si="6"/>
        <v>0</v>
      </c>
      <c r="W349" s="6">
        <f>SUM(W2:W348)</f>
        <v>9492.14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tabSelected="1" workbookViewId="0">
      <pane ySplit="1" topLeftCell="A2" activePane="bottomLeft" state="frozen"/>
      <selection/>
      <selection pane="bottomLeft" activeCell="N6" sqref="N6"/>
    </sheetView>
  </sheetViews>
  <sheetFormatPr defaultColWidth="11" defaultRowHeight="14.25"/>
  <cols>
    <col min="1" max="1" width="7.56923076923077" customWidth="1"/>
    <col min="2" max="12" width="11" hidden="1" customWidth="1"/>
    <col min="13" max="13" width="7.71282051282051" customWidth="1"/>
    <col min="14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6.85641025641026" customWidth="1"/>
    <col min="20" max="20" width="6.71282051282051" customWidth="1"/>
    <col min="21" max="21" width="8.42564102564103" customWidth="1"/>
    <col min="22" max="22" width="7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1026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5.15</v>
      </c>
      <c r="N2" s="5">
        <v>37</v>
      </c>
      <c r="O2" s="5">
        <v>1.45</v>
      </c>
      <c r="P2" s="5">
        <v>3.45</v>
      </c>
      <c r="Q2" s="5"/>
      <c r="R2" s="5"/>
      <c r="S2" s="5"/>
      <c r="T2" s="5"/>
      <c r="U2" s="5"/>
      <c r="V2" s="5"/>
      <c r="W2" s="5">
        <f>SUM(M2:V2)</f>
        <v>47.05</v>
      </c>
    </row>
    <row r="3" spans="1:23">
      <c r="A3" s="3">
        <v>1014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5.9</v>
      </c>
      <c r="N3" s="5">
        <v>3.8</v>
      </c>
      <c r="O3" s="5">
        <v>2.95</v>
      </c>
      <c r="P3" s="5">
        <v>7.9</v>
      </c>
      <c r="Q3" s="5"/>
      <c r="R3" s="5"/>
      <c r="S3" s="5">
        <v>5.9</v>
      </c>
      <c r="T3" s="5"/>
      <c r="U3" s="5"/>
      <c r="V3" s="5"/>
      <c r="W3" s="5">
        <f t="shared" ref="W3:W66" si="0">SUM(M3:V3)</f>
        <v>26.45</v>
      </c>
    </row>
    <row r="4" spans="1:23">
      <c r="A4" s="3">
        <v>996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f>24+2</f>
        <v>26</v>
      </c>
      <c r="N4" s="5"/>
      <c r="O4" s="5">
        <v>1.4</v>
      </c>
      <c r="P4" s="5"/>
      <c r="Q4" s="5"/>
      <c r="R4" s="5"/>
      <c r="S4" s="5"/>
      <c r="T4" s="5"/>
      <c r="U4" s="5"/>
      <c r="V4" s="5"/>
      <c r="W4" s="5">
        <f t="shared" si="0"/>
        <v>27.4</v>
      </c>
    </row>
    <row r="5" spans="1:23">
      <c r="A5" s="3">
        <v>2167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f>20.5+21.3+5.4+13.9+16.65+19.9+18.95</f>
        <v>116.6</v>
      </c>
      <c r="N5" s="5">
        <f>21.4+16.7+7.25+19.6+16.65+18.4+19.65</f>
        <v>119.65</v>
      </c>
      <c r="O5" s="5">
        <f>18.85+21.9+26.1+19.65+21.25+20.1+19.25+23.3</f>
        <v>170.4</v>
      </c>
      <c r="P5" s="5">
        <f>20.8+24.75+21.35+18.25+19.45+18.8+18.2+21</f>
        <v>162.6</v>
      </c>
      <c r="Q5" s="5">
        <f>0.9+19.4+28.05+16.45+17.85</f>
        <v>82.65</v>
      </c>
      <c r="R5" s="5"/>
      <c r="S5" s="5">
        <f>18.55+15.1+20.15+14.1</f>
        <v>67.9</v>
      </c>
      <c r="T5" s="5">
        <f>21+1.7</f>
        <v>22.7</v>
      </c>
      <c r="U5" s="5">
        <f>27.7+2.7</f>
        <v>30.4</v>
      </c>
      <c r="V5" s="5"/>
      <c r="W5" s="5">
        <f t="shared" si="0"/>
        <v>772.9</v>
      </c>
    </row>
    <row r="6" spans="1:23">
      <c r="A6" s="3">
        <v>477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f>23.55+14.85</f>
        <v>38.4</v>
      </c>
      <c r="N6" s="5">
        <f>19.3+7.5</f>
        <v>26.8</v>
      </c>
      <c r="O6" s="5">
        <f>17.05+8.65</f>
        <v>25.7</v>
      </c>
      <c r="P6" s="5">
        <f>24.2+18.65+13.25</f>
        <v>56.1</v>
      </c>
      <c r="Q6" s="5">
        <f>17.25+16.4</f>
        <v>33.65</v>
      </c>
      <c r="R6" s="5"/>
      <c r="S6" s="5">
        <f>13.1</f>
        <v>13.1</v>
      </c>
      <c r="T6" s="5">
        <f>4</f>
        <v>4</v>
      </c>
      <c r="U6" s="5">
        <v>15.4</v>
      </c>
      <c r="V6" s="5"/>
      <c r="W6" s="5">
        <f t="shared" si="0"/>
        <v>213.15</v>
      </c>
    </row>
    <row r="7" spans="1:23">
      <c r="A7" s="3">
        <v>2425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f>20.05+12.55</f>
        <v>32.6</v>
      </c>
      <c r="N7" s="5">
        <f>14.55+12.9</f>
        <v>27.45</v>
      </c>
      <c r="O7" s="5">
        <f>15.3+7.45</f>
        <v>22.75</v>
      </c>
      <c r="P7" s="5">
        <f>16.15</f>
        <v>16.15</v>
      </c>
      <c r="Q7" s="5">
        <v>6.7</v>
      </c>
      <c r="R7" s="5"/>
      <c r="S7" s="5">
        <v>5.85</v>
      </c>
      <c r="T7" s="5">
        <v>9.05</v>
      </c>
      <c r="U7" s="5">
        <v>6.95</v>
      </c>
      <c r="V7" s="5"/>
      <c r="W7" s="5">
        <f t="shared" si="0"/>
        <v>127.5</v>
      </c>
    </row>
    <row r="8" spans="1:23">
      <c r="A8" s="3">
        <v>213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f>19.65+23.4</f>
        <v>43.05</v>
      </c>
      <c r="N8" s="5">
        <v>15.5</v>
      </c>
      <c r="O8" s="5">
        <v>25.5</v>
      </c>
      <c r="P8" s="5">
        <v>17.25</v>
      </c>
      <c r="Q8" s="5">
        <v>6.05</v>
      </c>
      <c r="R8" s="5"/>
      <c r="S8" s="5">
        <v>20.95</v>
      </c>
      <c r="T8" s="5">
        <v>5</v>
      </c>
      <c r="U8" s="5">
        <v>3.35</v>
      </c>
      <c r="V8" s="5"/>
      <c r="W8" s="5">
        <f t="shared" si="0"/>
        <v>136.65</v>
      </c>
    </row>
    <row r="9" spans="1:23">
      <c r="A9" s="3">
        <v>309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f>23.5+21.6+16.4+23.25+17.95+20.55+18</f>
        <v>141.25</v>
      </c>
      <c r="N9" s="5">
        <f>20.35+11.25+22.1+21.25+21+21.9</f>
        <v>117.85</v>
      </c>
      <c r="O9" s="5">
        <f>20.8+21.8+19.85+23.45+21.2+23.8</f>
        <v>130.9</v>
      </c>
      <c r="P9" s="5">
        <f>25.1+22.25+8.7+19.45+22.75+20.55+25.85</f>
        <v>144.65</v>
      </c>
      <c r="Q9" s="5">
        <f>21.35+28.35+16.75</f>
        <v>66.45</v>
      </c>
      <c r="R9" s="5"/>
      <c r="S9" s="5">
        <f>21.3+25.9</f>
        <v>47.2</v>
      </c>
      <c r="T9" s="5">
        <v>15.85</v>
      </c>
      <c r="U9" s="5">
        <v>24.2</v>
      </c>
      <c r="V9" s="5"/>
      <c r="W9" s="5">
        <f t="shared" si="0"/>
        <v>688.35</v>
      </c>
    </row>
    <row r="10" spans="1:23">
      <c r="A10" s="3">
        <v>207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14.05</v>
      </c>
      <c r="N10" s="5">
        <v>13.35</v>
      </c>
      <c r="O10" s="5">
        <f>22.8+14.2</f>
        <v>37</v>
      </c>
      <c r="P10" s="5">
        <f>24.5+4.5</f>
        <v>29</v>
      </c>
      <c r="Q10" s="5">
        <v>19.35</v>
      </c>
      <c r="R10" s="5"/>
      <c r="S10" s="5">
        <v>6.65</v>
      </c>
      <c r="T10" s="5">
        <v>4.15</v>
      </c>
      <c r="U10" s="5">
        <v>8.8</v>
      </c>
      <c r="V10" s="5"/>
      <c r="W10" s="5">
        <f t="shared" si="0"/>
        <v>132.35</v>
      </c>
    </row>
    <row r="11" spans="1:23">
      <c r="A11" s="3">
        <v>476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24.8</v>
      </c>
      <c r="N11" s="5">
        <f>20.6+14</f>
        <v>34.6</v>
      </c>
      <c r="O11" s="5">
        <f>19.2+8.4</f>
        <v>27.6</v>
      </c>
      <c r="P11" s="9">
        <f>18.95+21.1</f>
        <v>40.05</v>
      </c>
      <c r="Q11" s="5">
        <v>21.05</v>
      </c>
      <c r="R11" s="5"/>
      <c r="S11" s="5">
        <v>3.15</v>
      </c>
      <c r="T11" s="5">
        <v>9.3</v>
      </c>
      <c r="U11" s="5">
        <v>17.85</v>
      </c>
      <c r="V11" s="5"/>
      <c r="W11" s="5">
        <f t="shared" si="0"/>
        <v>178.4</v>
      </c>
    </row>
    <row r="12" spans="1:23">
      <c r="A12" s="3">
        <v>478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f>21.25+18.9+22.1+24.65+20.95</f>
        <v>107.85</v>
      </c>
      <c r="N12" s="5">
        <f>28.9+24.3+25.95+22.95+29.05</f>
        <v>131.15</v>
      </c>
      <c r="O12" s="5">
        <f>26.5+11.55</f>
        <v>38.05</v>
      </c>
      <c r="P12" s="5">
        <v>26.85</v>
      </c>
      <c r="Q12" s="5">
        <v>1.85</v>
      </c>
      <c r="R12" s="5"/>
      <c r="S12" s="5">
        <f>19.3+20.25+12.65</f>
        <v>52.2</v>
      </c>
      <c r="T12" s="5">
        <v>25.15</v>
      </c>
      <c r="U12" s="5">
        <v>5.3</v>
      </c>
      <c r="V12" s="5"/>
      <c r="W12" s="5">
        <f t="shared" si="0"/>
        <v>388.4</v>
      </c>
    </row>
    <row r="13" spans="1:23">
      <c r="A13" s="3">
        <v>672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f>14.35+4.5</f>
        <v>18.85</v>
      </c>
      <c r="N13" s="9">
        <f>23.4+12.8+3.3</f>
        <v>39.5</v>
      </c>
      <c r="O13" s="5">
        <f>20.1+19.65</f>
        <v>39.75</v>
      </c>
      <c r="P13" s="5">
        <f>22.4+22.4+13.2</f>
        <v>58</v>
      </c>
      <c r="Q13" s="5">
        <f>27.05+21.3+24.05+13.1</f>
        <v>85.5</v>
      </c>
      <c r="R13" s="5"/>
      <c r="S13" s="5">
        <f>7.05</f>
        <v>7.05</v>
      </c>
      <c r="T13" s="5">
        <f>28.3</f>
        <v>28.3</v>
      </c>
      <c r="U13" s="5">
        <f>24.95+25.8</f>
        <v>50.75</v>
      </c>
      <c r="V13" s="5"/>
      <c r="W13" s="5">
        <f t="shared" si="0"/>
        <v>327.7</v>
      </c>
    </row>
    <row r="14" spans="1:23">
      <c r="A14" s="3">
        <v>1038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v>9.4</v>
      </c>
      <c r="N14" s="5">
        <v>5.6</v>
      </c>
      <c r="O14" s="5"/>
      <c r="P14" s="5"/>
      <c r="Q14" s="5"/>
      <c r="R14" s="5"/>
      <c r="S14" s="5"/>
      <c r="T14" s="5"/>
      <c r="U14" s="5"/>
      <c r="V14" s="5"/>
      <c r="W14" s="5">
        <f t="shared" si="0"/>
        <v>15</v>
      </c>
    </row>
    <row r="15" spans="1:23">
      <c r="A15" s="3">
        <v>333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v>4.9</v>
      </c>
      <c r="N15" s="5">
        <v>12.1</v>
      </c>
      <c r="O15" s="5">
        <v>12.45</v>
      </c>
      <c r="P15" s="5">
        <v>4.6</v>
      </c>
      <c r="Q15" s="5">
        <v>2.65</v>
      </c>
      <c r="R15" s="5"/>
      <c r="S15" s="5"/>
      <c r="T15" s="5"/>
      <c r="U15" s="5">
        <v>1.45</v>
      </c>
      <c r="V15" s="5"/>
      <c r="W15" s="5">
        <f t="shared" si="0"/>
        <v>38.15</v>
      </c>
    </row>
    <row r="16" spans="1:23">
      <c r="A16" s="3">
        <v>672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18.35</v>
      </c>
      <c r="N16" s="5">
        <f>19.65+5.5</f>
        <v>25.15</v>
      </c>
      <c r="O16" s="5">
        <f>17.8+2.85</f>
        <v>20.65</v>
      </c>
      <c r="P16" s="5">
        <f>21.85+10.85</f>
        <v>32.7</v>
      </c>
      <c r="Q16" s="5">
        <f>17.05+15</f>
        <v>32.05</v>
      </c>
      <c r="R16" s="5"/>
      <c r="S16" s="5">
        <v>5.5</v>
      </c>
      <c r="T16" s="5">
        <v>15.65</v>
      </c>
      <c r="U16" s="5">
        <v>25.1</v>
      </c>
      <c r="V16" s="5"/>
      <c r="W16" s="5">
        <f t="shared" si="0"/>
        <v>175.15</v>
      </c>
    </row>
    <row r="17" spans="1:23">
      <c r="A17" s="3">
        <v>1009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f>17.4+14.05</f>
        <v>31.45</v>
      </c>
      <c r="N17" s="5">
        <v>21.75</v>
      </c>
      <c r="O17" s="5">
        <v>1.55</v>
      </c>
      <c r="P17" s="5">
        <v>1.15</v>
      </c>
      <c r="Q17" s="5"/>
      <c r="R17" s="5"/>
      <c r="S17" s="5">
        <v>6.6</v>
      </c>
      <c r="T17" s="5"/>
      <c r="U17" s="5"/>
      <c r="V17" s="5"/>
      <c r="W17" s="5">
        <f t="shared" si="0"/>
        <v>62.5</v>
      </c>
    </row>
    <row r="18" spans="1:23">
      <c r="A18" s="3">
        <v>404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22.5</v>
      </c>
      <c r="N18" s="5">
        <v>3.55</v>
      </c>
      <c r="O18" s="5"/>
      <c r="P18" s="5"/>
      <c r="Q18" s="5"/>
      <c r="R18" s="5"/>
      <c r="S18" s="5">
        <v>16.1</v>
      </c>
      <c r="T18" s="5"/>
      <c r="U18" s="5"/>
      <c r="V18" s="5"/>
      <c r="W18" s="5">
        <f t="shared" si="0"/>
        <v>42.15</v>
      </c>
    </row>
    <row r="19" spans="1:23">
      <c r="A19" s="3">
        <v>1651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v>11.35</v>
      </c>
      <c r="N19" s="5">
        <v>10.4</v>
      </c>
      <c r="O19" s="5">
        <f>26.9+2.85</f>
        <v>29.75</v>
      </c>
      <c r="P19" s="5">
        <f>18.6+2.85</f>
        <v>21.45</v>
      </c>
      <c r="Q19" s="5"/>
      <c r="R19" s="5"/>
      <c r="S19" s="5"/>
      <c r="T19" s="5"/>
      <c r="U19" s="5"/>
      <c r="V19" s="5"/>
      <c r="W19" s="5">
        <f t="shared" si="0"/>
        <v>72.95</v>
      </c>
    </row>
    <row r="20" spans="1:23">
      <c r="A20" s="3">
        <v>2443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v>2.6</v>
      </c>
      <c r="N20" s="5">
        <v>5.4</v>
      </c>
      <c r="O20" s="5">
        <v>6.95</v>
      </c>
      <c r="P20" s="5">
        <v>8.9</v>
      </c>
      <c r="Q20" s="5">
        <v>8.45</v>
      </c>
      <c r="R20" s="5"/>
      <c r="S20" s="5">
        <v>2.5</v>
      </c>
      <c r="T20" s="5">
        <v>6</v>
      </c>
      <c r="U20" s="5">
        <v>5.3</v>
      </c>
      <c r="V20" s="5"/>
      <c r="W20" s="5">
        <f t="shared" si="0"/>
        <v>46.1</v>
      </c>
    </row>
    <row r="21" spans="1:23">
      <c r="A21" s="3">
        <v>1010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v>25.6</v>
      </c>
      <c r="N21" s="5">
        <f>23.15+11.3</f>
        <v>34.45</v>
      </c>
      <c r="O21" s="5">
        <v>16</v>
      </c>
      <c r="P21" s="5">
        <v>21.65</v>
      </c>
      <c r="Q21" s="9">
        <v>6.2</v>
      </c>
      <c r="R21" s="5"/>
      <c r="S21" s="5">
        <v>6.35</v>
      </c>
      <c r="T21" s="5">
        <v>5.35</v>
      </c>
      <c r="U21" s="5">
        <v>1.55</v>
      </c>
      <c r="V21" s="5"/>
      <c r="W21" s="5">
        <f t="shared" si="0"/>
        <v>117.15</v>
      </c>
    </row>
    <row r="22" spans="1:23">
      <c r="A22" s="3">
        <v>260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f>25.9+25.85+23.2+21.35+21.35+17.1</f>
        <v>134.75</v>
      </c>
      <c r="N22" s="5">
        <f>17.05+13+24+19.1+24.8+26.05</f>
        <v>124</v>
      </c>
      <c r="O22" s="5">
        <f>23.15+11.15+26.05+25.95+23.8+24.15</f>
        <v>134.25</v>
      </c>
      <c r="P22" s="5">
        <f>24.55+16.9+18.85+20.8+23+22.7</f>
        <v>126.8</v>
      </c>
      <c r="Q22" s="5">
        <f>22.2+23.2</f>
        <v>45.4</v>
      </c>
      <c r="R22" s="5"/>
      <c r="S22" s="5">
        <f>22.1+24.3+16.65</f>
        <v>63.05</v>
      </c>
      <c r="T22" s="5">
        <v>17.25</v>
      </c>
      <c r="U22" s="5">
        <v>14.65</v>
      </c>
      <c r="V22" s="5"/>
      <c r="W22" s="5">
        <f t="shared" si="0"/>
        <v>660.15</v>
      </c>
    </row>
    <row r="23" spans="1:23">
      <c r="A23" s="3">
        <v>1017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v>18.1</v>
      </c>
      <c r="N23" s="5">
        <v>19.2</v>
      </c>
      <c r="O23" s="5">
        <v>10.7</v>
      </c>
      <c r="P23" s="5">
        <v>10.8</v>
      </c>
      <c r="Q23" s="5">
        <v>7.35</v>
      </c>
      <c r="R23" s="5"/>
      <c r="S23" s="5"/>
      <c r="T23" s="5"/>
      <c r="U23" s="5">
        <v>2.65</v>
      </c>
      <c r="V23" s="5"/>
      <c r="W23" s="5">
        <f t="shared" si="0"/>
        <v>68.8</v>
      </c>
    </row>
    <row r="24" spans="1:23">
      <c r="A24" s="3">
        <v>444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>
        <v>6.66</v>
      </c>
      <c r="N24" s="5">
        <v>15.85</v>
      </c>
      <c r="O24" s="5">
        <v>20.1</v>
      </c>
      <c r="P24" s="5">
        <v>9.8</v>
      </c>
      <c r="Q24" s="5">
        <v>3.25</v>
      </c>
      <c r="R24" s="5"/>
      <c r="S24" s="5">
        <v>20.5</v>
      </c>
      <c r="T24" s="5">
        <f>1.55+1.05</f>
        <v>2.6</v>
      </c>
      <c r="U24" s="5"/>
      <c r="V24" s="5"/>
      <c r="W24" s="5">
        <f t="shared" si="0"/>
        <v>78.76</v>
      </c>
    </row>
    <row r="25" spans="1:23">
      <c r="A25" s="3">
        <v>1006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>
        <v>4.35</v>
      </c>
      <c r="N25" s="5">
        <v>5.2</v>
      </c>
      <c r="O25" s="5">
        <v>18.35</v>
      </c>
      <c r="P25" s="9">
        <v>22.15</v>
      </c>
      <c r="Q25" s="5">
        <v>10.35</v>
      </c>
      <c r="R25" s="5"/>
      <c r="S25" s="5"/>
      <c r="T25" s="5"/>
      <c r="U25" s="5">
        <v>1.9</v>
      </c>
      <c r="V25" s="5"/>
      <c r="W25" s="5">
        <f t="shared" si="0"/>
        <v>62.3</v>
      </c>
    </row>
    <row r="26" spans="1:23">
      <c r="A26" s="3">
        <v>999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>
        <v>20.15</v>
      </c>
      <c r="N26" s="5">
        <v>13.55</v>
      </c>
      <c r="O26" s="5">
        <v>2.75</v>
      </c>
      <c r="P26" s="5">
        <v>8.55</v>
      </c>
      <c r="Q26" s="5"/>
      <c r="R26" s="5"/>
      <c r="S26" s="5">
        <v>9.25</v>
      </c>
      <c r="T26" s="5">
        <v>2.5</v>
      </c>
      <c r="U26" s="9">
        <v>5.35</v>
      </c>
      <c r="V26" s="5"/>
      <c r="W26" s="5">
        <f t="shared" si="0"/>
        <v>62.1</v>
      </c>
    </row>
    <row r="27" spans="1:23">
      <c r="A27" s="3">
        <v>354</v>
      </c>
      <c r="B27" s="3"/>
      <c r="C27" s="3"/>
      <c r="D27" s="3"/>
      <c r="E27" s="3"/>
      <c r="F27" s="3"/>
      <c r="G27" s="3"/>
      <c r="H27" s="3"/>
      <c r="I27" s="3"/>
      <c r="J27" s="3"/>
      <c r="K27" s="5"/>
      <c r="L27" s="5"/>
      <c r="M27" s="5">
        <f>16.5+12.9</f>
        <v>29.4</v>
      </c>
      <c r="N27" s="5">
        <f>16.05+14.1</f>
        <v>30.15</v>
      </c>
      <c r="O27" s="5">
        <f>19.95+20.25</f>
        <v>40.2</v>
      </c>
      <c r="P27" s="5">
        <f>21.15+22.8+11.85</f>
        <v>55.8</v>
      </c>
      <c r="Q27" s="5">
        <v>16.05</v>
      </c>
      <c r="R27" s="5"/>
      <c r="S27" s="5">
        <v>17.8</v>
      </c>
      <c r="T27" s="5">
        <v>7.2</v>
      </c>
      <c r="U27" s="5">
        <v>17.4</v>
      </c>
      <c r="V27" s="5"/>
      <c r="W27" s="5">
        <f t="shared" si="0"/>
        <v>214</v>
      </c>
    </row>
    <row r="28" spans="1:23">
      <c r="A28" s="3">
        <v>1791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v>4.2</v>
      </c>
      <c r="N28" s="5"/>
      <c r="O28" s="5">
        <f>2.9+1.3</f>
        <v>4.2</v>
      </c>
      <c r="P28" s="5">
        <v>3.1</v>
      </c>
      <c r="Q28" s="5">
        <v>1.65</v>
      </c>
      <c r="R28" s="5"/>
      <c r="S28" s="5">
        <v>20.45</v>
      </c>
      <c r="T28" s="5"/>
      <c r="U28" s="5">
        <v>2.85</v>
      </c>
      <c r="V28" s="5"/>
      <c r="W28" s="5">
        <f t="shared" si="0"/>
        <v>36.45</v>
      </c>
    </row>
    <row r="29" spans="1:23">
      <c r="A29" s="3">
        <v>1745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2.1</v>
      </c>
      <c r="N29" s="9">
        <v>5.3</v>
      </c>
      <c r="O29" s="5">
        <v>7.6</v>
      </c>
      <c r="P29" s="5">
        <v>8.6</v>
      </c>
      <c r="Q29" s="5">
        <v>4.45</v>
      </c>
      <c r="R29" s="5"/>
      <c r="S29" s="5">
        <v>3.45</v>
      </c>
      <c r="T29" s="5"/>
      <c r="U29" s="5">
        <v>1.8</v>
      </c>
      <c r="V29" s="5"/>
      <c r="W29" s="5">
        <f t="shared" si="0"/>
        <v>33.3</v>
      </c>
    </row>
    <row r="30" spans="1:23">
      <c r="A30" s="3">
        <v>1027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v>7.55</v>
      </c>
      <c r="N30" s="5"/>
      <c r="O30" s="5">
        <v>1.4</v>
      </c>
      <c r="P30" s="5"/>
      <c r="Q30" s="5"/>
      <c r="R30" s="5"/>
      <c r="S30" s="5"/>
      <c r="T30" s="5"/>
      <c r="U30" s="5"/>
      <c r="V30" s="5"/>
      <c r="W30" s="5">
        <f t="shared" si="0"/>
        <v>8.95</v>
      </c>
    </row>
    <row r="31" spans="1:23">
      <c r="A31" s="3">
        <v>1795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v>16.7</v>
      </c>
      <c r="N31" s="5">
        <v>4.6</v>
      </c>
      <c r="O31" s="5">
        <v>6.9</v>
      </c>
      <c r="P31" s="5">
        <v>9.75</v>
      </c>
      <c r="Q31" s="5">
        <v>1.85</v>
      </c>
      <c r="R31" s="5"/>
      <c r="S31" s="5">
        <v>11.65</v>
      </c>
      <c r="T31" s="5">
        <v>1.15</v>
      </c>
      <c r="U31" s="5">
        <v>5.15</v>
      </c>
      <c r="V31" s="5"/>
      <c r="W31" s="5">
        <f t="shared" si="0"/>
        <v>57.75</v>
      </c>
    </row>
    <row r="32" spans="1:23">
      <c r="A32" s="3">
        <v>1792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13.3</v>
      </c>
      <c r="N32" s="5">
        <v>13.95</v>
      </c>
      <c r="O32" s="5">
        <f>15.9+3.15</f>
        <v>19.05</v>
      </c>
      <c r="P32" s="5">
        <f>23.75+24.6</f>
        <v>48.35</v>
      </c>
      <c r="Q32" s="5">
        <v>18.05</v>
      </c>
      <c r="R32" s="5"/>
      <c r="S32" s="5">
        <v>10.05</v>
      </c>
      <c r="T32" s="5">
        <v>2.85</v>
      </c>
      <c r="U32" s="9">
        <v>4.75</v>
      </c>
      <c r="V32" s="5"/>
      <c r="W32" s="5">
        <f t="shared" si="0"/>
        <v>130.35</v>
      </c>
    </row>
    <row r="33" spans="1:23">
      <c r="A33" s="3">
        <v>368</v>
      </c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17.2</v>
      </c>
      <c r="N33" s="5">
        <v>10.8</v>
      </c>
      <c r="O33" s="5">
        <v>8.1</v>
      </c>
      <c r="P33" s="5">
        <v>9.15</v>
      </c>
      <c r="Q33" s="5">
        <v>0.75</v>
      </c>
      <c r="R33" s="5"/>
      <c r="S33" s="5">
        <v>9.95</v>
      </c>
      <c r="T33" s="5"/>
      <c r="U33" s="5">
        <v>2.65</v>
      </c>
      <c r="V33" s="5"/>
      <c r="W33" s="5">
        <f t="shared" si="0"/>
        <v>58.6</v>
      </c>
    </row>
    <row r="34" spans="1:23">
      <c r="A34" s="3">
        <v>1037</v>
      </c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v>2.8</v>
      </c>
      <c r="N34" s="5"/>
      <c r="O34" s="5">
        <v>2.8</v>
      </c>
      <c r="P34" s="5">
        <v>8.25</v>
      </c>
      <c r="Q34" s="5">
        <v>4.25</v>
      </c>
      <c r="R34" s="5"/>
      <c r="S34" s="5"/>
      <c r="T34" s="5">
        <v>7.45</v>
      </c>
      <c r="U34" s="5">
        <v>1.25</v>
      </c>
      <c r="V34" s="5"/>
      <c r="W34" s="5">
        <f t="shared" si="0"/>
        <v>26.8</v>
      </c>
    </row>
    <row r="35" spans="1:23">
      <c r="A35" s="3">
        <v>477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v>18</v>
      </c>
      <c r="N35" s="5">
        <f>21.25+3.55</f>
        <v>24.8</v>
      </c>
      <c r="O35" s="5">
        <f>24.05+4.8</f>
        <v>28.85</v>
      </c>
      <c r="P35" s="5">
        <f>19.35+21.55+4.55</f>
        <v>45.45</v>
      </c>
      <c r="Q35" s="5">
        <v>21.8</v>
      </c>
      <c r="R35" s="5"/>
      <c r="S35" s="5"/>
      <c r="T35" s="5">
        <f>7.6+1.35</f>
        <v>8.95</v>
      </c>
      <c r="U35" s="5">
        <v>9.5</v>
      </c>
      <c r="V35" s="5"/>
      <c r="W35" s="5">
        <f t="shared" si="0"/>
        <v>157.35</v>
      </c>
    </row>
    <row r="36" spans="1:23">
      <c r="A36" s="3">
        <v>2198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12.75</v>
      </c>
      <c r="N36" s="5">
        <v>10.6</v>
      </c>
      <c r="O36" s="5">
        <v>2.5</v>
      </c>
      <c r="P36" s="5">
        <v>4.45</v>
      </c>
      <c r="Q36" s="5"/>
      <c r="R36" s="5"/>
      <c r="S36" s="5"/>
      <c r="T36" s="5"/>
      <c r="U36" s="5">
        <v>1.4</v>
      </c>
      <c r="V36" s="5"/>
      <c r="W36" s="5">
        <f t="shared" si="0"/>
        <v>31.7</v>
      </c>
    </row>
    <row r="37" spans="1:23">
      <c r="A37" s="3">
        <v>2415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25.05</v>
      </c>
      <c r="N37" s="5">
        <v>10.65</v>
      </c>
      <c r="O37" s="5">
        <v>7.25</v>
      </c>
      <c r="P37" s="5">
        <v>11.1</v>
      </c>
      <c r="Q37" s="5">
        <v>7.5</v>
      </c>
      <c r="R37" s="5"/>
      <c r="S37" s="5">
        <v>5.5</v>
      </c>
      <c r="T37" s="5">
        <v>3.9</v>
      </c>
      <c r="U37" s="5">
        <v>7.45</v>
      </c>
      <c r="V37" s="5"/>
      <c r="W37" s="5">
        <f t="shared" si="0"/>
        <v>78.4</v>
      </c>
    </row>
    <row r="38" spans="1:23">
      <c r="A38" s="3">
        <v>477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13.85</v>
      </c>
      <c r="N38" s="5">
        <v>17.75</v>
      </c>
      <c r="O38" s="5">
        <f>18.95+14.7</f>
        <v>33.65</v>
      </c>
      <c r="P38" s="5">
        <f>19.85+20+10.15</f>
        <v>50</v>
      </c>
      <c r="Q38" s="5">
        <f>22.4+5.75</f>
        <v>28.15</v>
      </c>
      <c r="R38" s="5"/>
      <c r="S38" s="5">
        <v>7.85</v>
      </c>
      <c r="T38" s="5">
        <v>25.95</v>
      </c>
      <c r="U38" s="5">
        <v>26.85</v>
      </c>
      <c r="V38" s="5"/>
      <c r="W38" s="5">
        <f t="shared" si="0"/>
        <v>204.05</v>
      </c>
    </row>
    <row r="39" spans="1:23">
      <c r="A39" s="3">
        <v>309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f>25+17.3+27.2+20.65+2.75+22.85+28.15+24.1+23.95</f>
        <v>191.95</v>
      </c>
      <c r="N39" s="5">
        <f>21.7+22.15+19.75+21.8+24.1</f>
        <v>109.5</v>
      </c>
      <c r="O39" s="5">
        <f>21.9+22.15+11.5+10.85+21.65+18.65+19.8</f>
        <v>126.5</v>
      </c>
      <c r="P39" s="5">
        <f>24.4+20.2+22+21+22.85</f>
        <v>110.45</v>
      </c>
      <c r="Q39" s="5">
        <f>22.15+24.35+16.6</f>
        <v>63.1</v>
      </c>
      <c r="R39" s="5"/>
      <c r="S39" s="5">
        <f>20.8+22.8+15.5</f>
        <v>59.1</v>
      </c>
      <c r="T39" s="5">
        <f>21.15+21.3</f>
        <v>42.45</v>
      </c>
      <c r="U39" s="5">
        <f>17.6+18.1</f>
        <v>35.7</v>
      </c>
      <c r="V39" s="5"/>
      <c r="W39" s="5">
        <f t="shared" si="0"/>
        <v>738.75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ref="W67:W130" si="1">SUM(M67:V67)</f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si="1"/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ref="W131:W194" si="2">SUM(M131:V131)</f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si="2"/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ref="W195:W258" si="3">SUM(M195:V195)</f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si="3"/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ref="W259:W322" si="4">SUM(M259:V259)</f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si="4"/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ref="W323:W349" si="5">SUM(M323:V323)</f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si="5"/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1239.51</v>
      </c>
      <c r="N349" s="6">
        <f t="shared" si="6"/>
        <v>1100.95</v>
      </c>
      <c r="O349" s="6">
        <f t="shared" si="6"/>
        <v>1085.95</v>
      </c>
      <c r="P349" s="6">
        <f t="shared" si="6"/>
        <v>1195</v>
      </c>
      <c r="Q349" s="6">
        <f t="shared" si="6"/>
        <v>606.55</v>
      </c>
      <c r="R349" s="6">
        <f t="shared" si="6"/>
        <v>0</v>
      </c>
      <c r="S349" s="6">
        <f t="shared" si="6"/>
        <v>505.6</v>
      </c>
      <c r="T349" s="6">
        <f t="shared" si="6"/>
        <v>272.75</v>
      </c>
      <c r="U349" s="6">
        <f t="shared" si="6"/>
        <v>337.7</v>
      </c>
      <c r="V349" s="6">
        <f t="shared" si="6"/>
        <v>0</v>
      </c>
      <c r="W349" s="5">
        <f t="shared" si="5"/>
        <v>6344.01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M2" sqref="M2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8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8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3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3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selection activeCell="M5" sqref="M5"/>
    </sheetView>
  </sheetViews>
  <sheetFormatPr defaultColWidth="11" defaultRowHeight="14.25"/>
  <cols>
    <col min="1" max="1" width="9.56923076923077" customWidth="1"/>
    <col min="2" max="12" width="11" hidden="1" customWidth="1"/>
    <col min="13" max="13" width="8.85641025641026" customWidth="1"/>
    <col min="14" max="14" width="9.13846153846154" customWidth="1"/>
    <col min="15" max="16" width="8.42564102564103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2" max="22" width="6.71282051282051" customWidth="1"/>
    <col min="23" max="23" width="10.1538461538462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26</v>
      </c>
    </row>
    <row r="2" spans="1:23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7">
        <f>'1'!M349</f>
        <v>0</v>
      </c>
      <c r="N2" s="7">
        <f>'1'!N349</f>
        <v>0</v>
      </c>
      <c r="O2" s="7">
        <f>'1'!O349</f>
        <v>0</v>
      </c>
      <c r="P2" s="7">
        <f>'1'!P349</f>
        <v>0</v>
      </c>
      <c r="Q2" s="7">
        <f>'1'!Q349</f>
        <v>0</v>
      </c>
      <c r="R2" s="7">
        <f>'1'!R349</f>
        <v>0</v>
      </c>
      <c r="S2" s="7">
        <f>'1'!S349</f>
        <v>0</v>
      </c>
      <c r="T2" s="7">
        <f>'1'!T349</f>
        <v>0</v>
      </c>
      <c r="U2" s="7">
        <f>'1'!U349</f>
        <v>0</v>
      </c>
      <c r="V2" s="7">
        <f>'1'!V349</f>
        <v>0</v>
      </c>
      <c r="W2" s="5">
        <f>SUM(C2:V2)</f>
        <v>0</v>
      </c>
    </row>
    <row r="3" spans="1:23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7">
        <f>'2'!M349</f>
        <v>0</v>
      </c>
      <c r="N3" s="7">
        <f>'2'!N349</f>
        <v>0</v>
      </c>
      <c r="O3" s="7">
        <f>'2'!O349</f>
        <v>0</v>
      </c>
      <c r="P3" s="7">
        <f>'2'!P349</f>
        <v>0</v>
      </c>
      <c r="Q3" s="7">
        <f>'2'!Q349</f>
        <v>0</v>
      </c>
      <c r="R3" s="7">
        <f>'2'!R349</f>
        <v>0</v>
      </c>
      <c r="S3" s="7">
        <f>'2'!S349</f>
        <v>0</v>
      </c>
      <c r="T3" s="7">
        <f>'2'!T349</f>
        <v>0</v>
      </c>
      <c r="U3" s="7">
        <f>'2'!U349</f>
        <v>0</v>
      </c>
      <c r="V3" s="7">
        <f>'2'!V349</f>
        <v>0</v>
      </c>
      <c r="W3" s="5">
        <f>SUM(C3:V3)</f>
        <v>0</v>
      </c>
    </row>
    <row r="4" spans="1:23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7">
        <f>'3'!M349</f>
        <v>0</v>
      </c>
      <c r="N4" s="7">
        <f>'3'!N349</f>
        <v>0</v>
      </c>
      <c r="O4" s="7">
        <f>'3'!O349</f>
        <v>0</v>
      </c>
      <c r="P4" s="7">
        <f>'3'!P349</f>
        <v>0</v>
      </c>
      <c r="Q4" s="7">
        <f>'3'!Q349</f>
        <v>0</v>
      </c>
      <c r="R4" s="7">
        <f>'3'!R349</f>
        <v>0</v>
      </c>
      <c r="S4" s="7">
        <f>'3'!S349</f>
        <v>0</v>
      </c>
      <c r="T4" s="7">
        <f>'3'!T349</f>
        <v>0</v>
      </c>
      <c r="U4" s="7">
        <f>'3'!U349</f>
        <v>0</v>
      </c>
      <c r="V4" s="7">
        <f>'3'!V349</f>
        <v>0</v>
      </c>
      <c r="W4" s="5">
        <f t="shared" ref="W4:W32" si="0">SUM(C4:V4)</f>
        <v>0</v>
      </c>
    </row>
    <row r="5" spans="1:23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7">
        <f>'4'!M349</f>
        <v>0</v>
      </c>
      <c r="N5" s="7">
        <f>'4'!N349</f>
        <v>0</v>
      </c>
      <c r="O5" s="7">
        <f>'4'!O349</f>
        <v>0</v>
      </c>
      <c r="P5" s="7">
        <f>'4'!P349</f>
        <v>0</v>
      </c>
      <c r="Q5" s="7">
        <f>'4'!Q349</f>
        <v>0</v>
      </c>
      <c r="R5" s="7">
        <f>'4'!R349</f>
        <v>0</v>
      </c>
      <c r="S5" s="7">
        <f>'4'!S349</f>
        <v>0</v>
      </c>
      <c r="T5" s="7">
        <f>'4'!T349</f>
        <v>0</v>
      </c>
      <c r="U5" s="7">
        <f>'4'!U349</f>
        <v>0</v>
      </c>
      <c r="V5" s="7">
        <f>'4'!V349</f>
        <v>0</v>
      </c>
      <c r="W5" s="5">
        <f t="shared" si="0"/>
        <v>0</v>
      </c>
    </row>
    <row r="6" spans="1:23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7">
        <f>'5'!M349</f>
        <v>0</v>
      </c>
      <c r="N6" s="7">
        <f>'5'!N349</f>
        <v>0</v>
      </c>
      <c r="O6" s="7">
        <f>'5'!O349</f>
        <v>0</v>
      </c>
      <c r="P6" s="7">
        <f>'5'!P349</f>
        <v>0</v>
      </c>
      <c r="Q6" s="7">
        <f>'5'!Q349</f>
        <v>0</v>
      </c>
      <c r="R6" s="7">
        <f>'5'!R349</f>
        <v>0</v>
      </c>
      <c r="S6" s="7">
        <f>'5'!S349</f>
        <v>0</v>
      </c>
      <c r="T6" s="7">
        <f>'5'!T349</f>
        <v>0</v>
      </c>
      <c r="U6" s="7">
        <f>'5'!U349</f>
        <v>0</v>
      </c>
      <c r="V6" s="7">
        <f>'5'!V349</f>
        <v>0</v>
      </c>
      <c r="W6" s="5">
        <f t="shared" si="0"/>
        <v>0</v>
      </c>
    </row>
    <row r="7" spans="1:23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7">
        <f>'6'!M349</f>
        <v>0</v>
      </c>
      <c r="N7" s="7">
        <f>'6'!N349</f>
        <v>0</v>
      </c>
      <c r="O7" s="7">
        <f>'6'!O349</f>
        <v>0</v>
      </c>
      <c r="P7" s="7">
        <f>'6'!P349</f>
        <v>0</v>
      </c>
      <c r="Q7" s="7">
        <f>'6'!Q349</f>
        <v>0</v>
      </c>
      <c r="R7" s="7">
        <f>'6'!R349</f>
        <v>0</v>
      </c>
      <c r="S7" s="7">
        <f>'6'!S349</f>
        <v>0</v>
      </c>
      <c r="T7" s="7">
        <f>'6'!T349</f>
        <v>0</v>
      </c>
      <c r="U7" s="7">
        <f>'6'!U349</f>
        <v>0</v>
      </c>
      <c r="V7" s="7">
        <f>'6'!V349</f>
        <v>0</v>
      </c>
      <c r="W7" s="5">
        <f t="shared" si="0"/>
        <v>0</v>
      </c>
    </row>
    <row r="8" spans="1:23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7">
        <f>'7'!M349</f>
        <v>0</v>
      </c>
      <c r="N8" s="7">
        <f>'7'!N349</f>
        <v>0</v>
      </c>
      <c r="O8" s="7">
        <f>'7'!O349</f>
        <v>0</v>
      </c>
      <c r="P8" s="7">
        <f>'7'!P349</f>
        <v>0</v>
      </c>
      <c r="Q8" s="7">
        <f>'7'!Q349</f>
        <v>0</v>
      </c>
      <c r="R8" s="7">
        <f>'7'!R349</f>
        <v>0</v>
      </c>
      <c r="S8" s="7">
        <f>'7'!S349</f>
        <v>0</v>
      </c>
      <c r="T8" s="7">
        <f>'7'!T349</f>
        <v>0</v>
      </c>
      <c r="U8" s="7">
        <f>'7'!U349</f>
        <v>0</v>
      </c>
      <c r="V8" s="7">
        <f>'7'!V349</f>
        <v>0</v>
      </c>
      <c r="W8" s="5">
        <f t="shared" si="0"/>
        <v>0</v>
      </c>
    </row>
    <row r="9" spans="1:23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7">
        <f>'8'!M349</f>
        <v>1583.25</v>
      </c>
      <c r="N9" s="7">
        <f>'8'!N349</f>
        <v>1580.8</v>
      </c>
      <c r="O9" s="7">
        <f>'8'!O349</f>
        <v>1746.9</v>
      </c>
      <c r="P9" s="7">
        <f>'8'!P349</f>
        <v>1670.4</v>
      </c>
      <c r="Q9" s="7">
        <f>'8'!Q349</f>
        <v>597.25</v>
      </c>
      <c r="R9" s="7">
        <f>'8'!R349</f>
        <v>0</v>
      </c>
      <c r="S9" s="7">
        <f>'8'!S349</f>
        <v>680.15</v>
      </c>
      <c r="T9" s="7">
        <f>'8'!T349</f>
        <v>604.8</v>
      </c>
      <c r="U9" s="7">
        <f>'8'!U349</f>
        <v>409.55</v>
      </c>
      <c r="V9" s="7">
        <f>'8'!V349</f>
        <v>0</v>
      </c>
      <c r="W9" s="5">
        <f t="shared" si="0"/>
        <v>8873.1</v>
      </c>
    </row>
    <row r="10" spans="1:23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7">
        <f>'9'!M349</f>
        <v>4470.81</v>
      </c>
      <c r="N10" s="7">
        <f>'9'!N349</f>
        <v>4293.49</v>
      </c>
      <c r="O10" s="7">
        <f>'9'!O349</f>
        <v>3961.3</v>
      </c>
      <c r="P10" s="7">
        <f>'9'!P349</f>
        <v>3655.4</v>
      </c>
      <c r="Q10" s="7">
        <f>'9'!Q349</f>
        <v>1377.75</v>
      </c>
      <c r="R10" s="7">
        <f>'9'!R349</f>
        <v>0</v>
      </c>
      <c r="S10" s="7">
        <f>'9'!S349</f>
        <v>2535</v>
      </c>
      <c r="T10" s="7">
        <f>'9'!T349</f>
        <v>1496.7</v>
      </c>
      <c r="U10" s="7">
        <f>'9'!U349</f>
        <v>1122.9</v>
      </c>
      <c r="V10" s="7">
        <f>'9'!V349</f>
        <v>0</v>
      </c>
      <c r="W10" s="5">
        <f t="shared" si="0"/>
        <v>22913.35</v>
      </c>
    </row>
    <row r="11" spans="1:23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7">
        <f>'10'!M349</f>
        <v>4345.8</v>
      </c>
      <c r="N11" s="7">
        <f>'10'!N349</f>
        <v>4794.65</v>
      </c>
      <c r="O11" s="7">
        <f>'10'!O349</f>
        <v>4443.65</v>
      </c>
      <c r="P11" s="7">
        <f>'10'!P349</f>
        <v>4194.6</v>
      </c>
      <c r="Q11" s="7">
        <f>'10'!Q349</f>
        <v>1604.35</v>
      </c>
      <c r="R11" s="7">
        <f>'10'!R349</f>
        <v>0</v>
      </c>
      <c r="S11" s="7">
        <f>'10'!S349</f>
        <v>3227.2</v>
      </c>
      <c r="T11" s="7">
        <f>'10'!T349</f>
        <v>1966.8</v>
      </c>
      <c r="U11" s="7">
        <f>'10'!U349</f>
        <v>1559.7</v>
      </c>
      <c r="V11" s="7">
        <f>'10'!V349</f>
        <v>0</v>
      </c>
      <c r="W11" s="5">
        <f t="shared" si="0"/>
        <v>26136.75</v>
      </c>
    </row>
    <row r="12" spans="1:23">
      <c r="A12" s="3">
        <v>11</v>
      </c>
      <c r="B12" s="4"/>
      <c r="C12" s="3"/>
      <c r="D12" s="3"/>
      <c r="E12" s="3"/>
      <c r="F12" s="3"/>
      <c r="G12" s="3"/>
      <c r="H12" s="3"/>
      <c r="I12" s="3"/>
      <c r="J12" s="3"/>
      <c r="K12" s="5"/>
      <c r="L12" s="5"/>
      <c r="M12" s="7">
        <f>'11'!M349</f>
        <v>3979.9</v>
      </c>
      <c r="N12" s="7">
        <f>'11'!N349</f>
        <v>4212.808</v>
      </c>
      <c r="O12" s="7">
        <f>'11'!O349</f>
        <v>3836.55</v>
      </c>
      <c r="P12" s="7">
        <f>'11'!P349</f>
        <v>3372.6</v>
      </c>
      <c r="Q12" s="7">
        <f>'11'!Q349</f>
        <v>1270.45</v>
      </c>
      <c r="R12" s="7">
        <f>'11'!R349</f>
        <v>0</v>
      </c>
      <c r="S12" s="7">
        <f>'11'!S349</f>
        <v>2507.37</v>
      </c>
      <c r="T12" s="7">
        <f>'11'!T349</f>
        <v>1224.65</v>
      </c>
      <c r="U12" s="7">
        <f>'11'!U349</f>
        <v>1062.35</v>
      </c>
      <c r="V12" s="7">
        <f>'11'!V349</f>
        <v>0</v>
      </c>
      <c r="W12" s="5">
        <f t="shared" si="0"/>
        <v>21466.678</v>
      </c>
    </row>
    <row r="13" spans="1:23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5"/>
      <c r="L13" s="5"/>
      <c r="M13" s="7">
        <f>'12'!M349</f>
        <v>3399.35</v>
      </c>
      <c r="N13" s="7">
        <f>'12'!N349</f>
        <v>3895.7</v>
      </c>
      <c r="O13" s="7">
        <f>'12'!O349</f>
        <v>4265</v>
      </c>
      <c r="P13" s="7">
        <f>'12'!P349</f>
        <v>4958.55</v>
      </c>
      <c r="Q13" s="7">
        <f>'12'!Q349</f>
        <v>2578.4</v>
      </c>
      <c r="R13" s="7">
        <f>'12'!R349</f>
        <v>0</v>
      </c>
      <c r="S13" s="7">
        <f>'12'!S349</f>
        <v>1779.55</v>
      </c>
      <c r="T13" s="7">
        <f>'12'!T349</f>
        <v>1262.5</v>
      </c>
      <c r="U13" s="7">
        <f>'12'!U349</f>
        <v>1391.3</v>
      </c>
      <c r="V13" s="7">
        <f>'12'!V349</f>
        <v>0</v>
      </c>
      <c r="W13" s="5">
        <f t="shared" si="0"/>
        <v>23530.35</v>
      </c>
    </row>
    <row r="14" spans="1:23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7">
        <f>'13'!M349</f>
        <v>2262.355</v>
      </c>
      <c r="N14" s="7">
        <f>'13'!N349</f>
        <v>2803.97</v>
      </c>
      <c r="O14" s="7">
        <f>'13'!O349</f>
        <v>3436.03</v>
      </c>
      <c r="P14" s="7">
        <f>'13'!P349</f>
        <v>4091.57</v>
      </c>
      <c r="Q14" s="7">
        <f>'13'!Q349</f>
        <v>2109.46</v>
      </c>
      <c r="R14" s="7">
        <f>'13'!R349</f>
        <v>0</v>
      </c>
      <c r="S14" s="7">
        <f>'13'!S349</f>
        <v>1297.31</v>
      </c>
      <c r="T14" s="7">
        <f>'13'!T349</f>
        <v>732.58</v>
      </c>
      <c r="U14" s="7">
        <f>'13'!U349</f>
        <v>1105.63</v>
      </c>
      <c r="V14" s="7">
        <f>'13'!V349</f>
        <v>0</v>
      </c>
      <c r="W14" s="5">
        <f t="shared" si="0"/>
        <v>17838.905</v>
      </c>
    </row>
    <row r="15" spans="1:23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7">
        <f>'14'!M349</f>
        <v>2257.02</v>
      </c>
      <c r="N15" s="7">
        <f>'14'!N349</f>
        <v>2254.64</v>
      </c>
      <c r="O15" s="7">
        <f>'14'!O349</f>
        <v>2672.64</v>
      </c>
      <c r="P15" s="7">
        <f>'14'!P349</f>
        <v>3231.016</v>
      </c>
      <c r="Q15" s="7">
        <f>'14'!Q349</f>
        <v>1566.01</v>
      </c>
      <c r="R15" s="7">
        <f>'14'!R349</f>
        <v>0</v>
      </c>
      <c r="S15" s="7">
        <f>'14'!S349</f>
        <v>941.04</v>
      </c>
      <c r="T15" s="7">
        <f>'14'!T349</f>
        <v>664.91</v>
      </c>
      <c r="U15" s="7">
        <f>'14'!U349</f>
        <v>815.354</v>
      </c>
      <c r="V15" s="7">
        <f>'14'!V349</f>
        <v>0</v>
      </c>
      <c r="W15" s="5">
        <f t="shared" si="0"/>
        <v>14402.63</v>
      </c>
    </row>
    <row r="16" spans="1:23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7">
        <f>'15'!M349</f>
        <v>0</v>
      </c>
      <c r="N16" s="7">
        <f>'15'!N349</f>
        <v>0</v>
      </c>
      <c r="O16" s="7">
        <f>'15'!O349</f>
        <v>0</v>
      </c>
      <c r="P16" s="7">
        <f>'15'!P349</f>
        <v>0</v>
      </c>
      <c r="Q16" s="7">
        <f>'15'!Q349</f>
        <v>0</v>
      </c>
      <c r="R16" s="7">
        <f>'15'!R349</f>
        <v>0</v>
      </c>
      <c r="S16" s="7">
        <f>'15'!S349</f>
        <v>0</v>
      </c>
      <c r="T16" s="7">
        <f>'15'!T349</f>
        <v>0</v>
      </c>
      <c r="U16" s="7">
        <f>'15'!U349</f>
        <v>0</v>
      </c>
      <c r="V16" s="7">
        <f>'15'!V349</f>
        <v>0</v>
      </c>
      <c r="W16" s="5">
        <f t="shared" si="0"/>
        <v>0</v>
      </c>
    </row>
    <row r="17" spans="1:23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7">
        <f>'16'!M349</f>
        <v>2002.405</v>
      </c>
      <c r="N17" s="7">
        <f>'16'!N349</f>
        <v>1897.9</v>
      </c>
      <c r="O17" s="7">
        <f>'16'!O349</f>
        <v>2200.9</v>
      </c>
      <c r="P17" s="7">
        <f>'16'!P349</f>
        <v>2405.65</v>
      </c>
      <c r="Q17" s="7">
        <f>'16'!Q349</f>
        <v>1318.5</v>
      </c>
      <c r="R17" s="7">
        <f>'16'!R349</f>
        <v>0</v>
      </c>
      <c r="S17" s="7">
        <f>'16'!S349</f>
        <v>727.35</v>
      </c>
      <c r="T17" s="7">
        <f>'16'!T349</f>
        <v>416.45</v>
      </c>
      <c r="U17" s="7">
        <f>'16'!U349</f>
        <v>589.35</v>
      </c>
      <c r="V17" s="7">
        <f>'16'!V349</f>
        <v>0</v>
      </c>
      <c r="W17" s="5">
        <f t="shared" si="0"/>
        <v>11558.505</v>
      </c>
    </row>
    <row r="18" spans="1:23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7">
        <f>'17'!M349</f>
        <v>2044.1</v>
      </c>
      <c r="N18" s="7">
        <f>'17'!N349</f>
        <v>1742.4</v>
      </c>
      <c r="O18" s="7">
        <f>'17'!O349</f>
        <v>1954.7</v>
      </c>
      <c r="P18" s="7">
        <f>'17'!P349</f>
        <v>2420.05</v>
      </c>
      <c r="Q18" s="7">
        <f>'17'!Q349</f>
        <v>1193.2</v>
      </c>
      <c r="R18" s="7">
        <f>'17'!R349</f>
        <v>0</v>
      </c>
      <c r="S18" s="7">
        <f>'17'!S349</f>
        <v>681.55</v>
      </c>
      <c r="T18" s="7">
        <f>'17'!T349</f>
        <v>476.9</v>
      </c>
      <c r="U18" s="7">
        <f>'17'!U349</f>
        <v>697.6</v>
      </c>
      <c r="V18" s="7">
        <f>'17'!V349</f>
        <v>0</v>
      </c>
      <c r="W18" s="5">
        <f t="shared" si="0"/>
        <v>11210.5</v>
      </c>
    </row>
    <row r="19" spans="1:23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7">
        <f>'18'!M349</f>
        <v>1810.8</v>
      </c>
      <c r="N19" s="7">
        <f>'18'!N349</f>
        <v>1487.99</v>
      </c>
      <c r="O19" s="7">
        <f>'18'!O349</f>
        <v>1816.8</v>
      </c>
      <c r="P19" s="7">
        <f>'18'!P349</f>
        <v>2003.6</v>
      </c>
      <c r="Q19" s="7">
        <f>'18'!Q349</f>
        <v>950.5</v>
      </c>
      <c r="R19" s="7">
        <f>'18'!R349</f>
        <v>0</v>
      </c>
      <c r="S19" s="7">
        <f>'18'!S349</f>
        <v>462.85</v>
      </c>
      <c r="T19" s="7">
        <f>'18'!T349</f>
        <v>441.45</v>
      </c>
      <c r="U19" s="7">
        <f>'18'!U349</f>
        <v>518.15</v>
      </c>
      <c r="V19" s="7">
        <f>'18'!V349</f>
        <v>0</v>
      </c>
      <c r="W19" s="5">
        <f t="shared" si="0"/>
        <v>9492.14</v>
      </c>
    </row>
    <row r="20" spans="1:23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7">
        <f>'19'!M349</f>
        <v>1239.51</v>
      </c>
      <c r="N20" s="7">
        <f>'19'!N349</f>
        <v>1100.95</v>
      </c>
      <c r="O20" s="7">
        <f>'19'!O349</f>
        <v>1085.95</v>
      </c>
      <c r="P20" s="7">
        <f>'19'!P349</f>
        <v>1195</v>
      </c>
      <c r="Q20" s="7">
        <f>'19'!Q349</f>
        <v>606.55</v>
      </c>
      <c r="R20" s="7">
        <f>'19'!R349</f>
        <v>0</v>
      </c>
      <c r="S20" s="7">
        <f>'19'!S349</f>
        <v>505.6</v>
      </c>
      <c r="T20" s="7">
        <f>'19'!T349</f>
        <v>272.75</v>
      </c>
      <c r="U20" s="7">
        <f>'19'!U349</f>
        <v>337.7</v>
      </c>
      <c r="V20" s="7">
        <f>'19'!V349</f>
        <v>0</v>
      </c>
      <c r="W20" s="5">
        <f t="shared" si="0"/>
        <v>6344.01</v>
      </c>
    </row>
    <row r="21" spans="1:23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7">
        <f>'20'!M349</f>
        <v>0</v>
      </c>
      <c r="N21" s="7">
        <f>'20'!N349</f>
        <v>0</v>
      </c>
      <c r="O21" s="7">
        <f>'20'!O349</f>
        <v>0</v>
      </c>
      <c r="P21" s="7">
        <f>'20'!P349</f>
        <v>0</v>
      </c>
      <c r="Q21" s="7">
        <f>'20'!Q349</f>
        <v>0</v>
      </c>
      <c r="R21" s="7">
        <f>'20'!R349</f>
        <v>0</v>
      </c>
      <c r="S21" s="7">
        <f>'20'!S349</f>
        <v>0</v>
      </c>
      <c r="T21" s="7">
        <f>'20'!T349</f>
        <v>0</v>
      </c>
      <c r="U21" s="7">
        <f>'20'!U349</f>
        <v>0</v>
      </c>
      <c r="V21" s="7">
        <f>'20'!V349</f>
        <v>0</v>
      </c>
      <c r="W21" s="5">
        <f t="shared" si="0"/>
        <v>0</v>
      </c>
    </row>
    <row r="22" spans="1:23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7">
        <f>'21'!M349</f>
        <v>0</v>
      </c>
      <c r="N22" s="7">
        <f>'21'!N349</f>
        <v>0</v>
      </c>
      <c r="O22" s="7">
        <f>'21'!O349</f>
        <v>0</v>
      </c>
      <c r="P22" s="7">
        <f>'21'!P349</f>
        <v>0</v>
      </c>
      <c r="Q22" s="7">
        <f>'21'!Q349</f>
        <v>0</v>
      </c>
      <c r="R22" s="7">
        <f>'21'!R349</f>
        <v>0</v>
      </c>
      <c r="S22" s="7">
        <f>'21'!S349</f>
        <v>0</v>
      </c>
      <c r="T22" s="7">
        <f>'21'!T349</f>
        <v>0</v>
      </c>
      <c r="U22" s="7">
        <f>'21'!U349</f>
        <v>0</v>
      </c>
      <c r="V22" s="7">
        <f>'21'!V349</f>
        <v>0</v>
      </c>
      <c r="W22" s="5">
        <f t="shared" si="0"/>
        <v>0</v>
      </c>
    </row>
    <row r="23" spans="1:23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7">
        <f>'22'!M349</f>
        <v>0</v>
      </c>
      <c r="N23" s="7">
        <f>'22'!N349</f>
        <v>0</v>
      </c>
      <c r="O23" s="7">
        <f>'22'!O349</f>
        <v>0</v>
      </c>
      <c r="P23" s="7">
        <f>'22'!P349</f>
        <v>0</v>
      </c>
      <c r="Q23" s="7">
        <f>'22'!Q349</f>
        <v>0</v>
      </c>
      <c r="R23" s="7">
        <f>'22'!R349</f>
        <v>0</v>
      </c>
      <c r="S23" s="7">
        <f>'22'!S349</f>
        <v>0</v>
      </c>
      <c r="T23" s="7">
        <f>'22'!T349</f>
        <v>0</v>
      </c>
      <c r="U23" s="7">
        <f>'22'!U349</f>
        <v>0</v>
      </c>
      <c r="V23" s="7">
        <f>'22'!V349</f>
        <v>0</v>
      </c>
      <c r="W23" s="5">
        <f t="shared" si="0"/>
        <v>0</v>
      </c>
    </row>
    <row r="24" spans="1:23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7">
        <f>'23'!M349</f>
        <v>0</v>
      </c>
      <c r="N24" s="7">
        <f>'23'!N349</f>
        <v>0</v>
      </c>
      <c r="O24" s="7">
        <f>'23'!O349</f>
        <v>0</v>
      </c>
      <c r="P24" s="7">
        <f>'23'!P349</f>
        <v>0</v>
      </c>
      <c r="Q24" s="7">
        <f>'23'!Q349</f>
        <v>0</v>
      </c>
      <c r="R24" s="7">
        <f>'23'!R349</f>
        <v>0</v>
      </c>
      <c r="S24" s="7">
        <f>'23'!S349</f>
        <v>0</v>
      </c>
      <c r="T24" s="7">
        <f>'23'!T349</f>
        <v>0</v>
      </c>
      <c r="U24" s="7">
        <f>'23'!U349</f>
        <v>0</v>
      </c>
      <c r="V24" s="7">
        <f>'23'!V349</f>
        <v>0</v>
      </c>
      <c r="W24" s="5">
        <f t="shared" si="0"/>
        <v>0</v>
      </c>
    </row>
    <row r="25" spans="1:23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7">
        <f>'24'!M349</f>
        <v>0</v>
      </c>
      <c r="N25" s="7">
        <f>'24'!N349</f>
        <v>0</v>
      </c>
      <c r="O25" s="7">
        <f>'24'!O349</f>
        <v>0</v>
      </c>
      <c r="P25" s="7">
        <f>'24'!P349</f>
        <v>0</v>
      </c>
      <c r="Q25" s="7">
        <f>'24'!Q349</f>
        <v>0</v>
      </c>
      <c r="R25" s="7">
        <f>'24'!R349</f>
        <v>0</v>
      </c>
      <c r="S25" s="7">
        <f>'24'!S349</f>
        <v>0</v>
      </c>
      <c r="T25" s="7">
        <f>'24'!T349</f>
        <v>0</v>
      </c>
      <c r="U25" s="7">
        <f>'24'!U349</f>
        <v>0</v>
      </c>
      <c r="V25" s="7">
        <f>'24'!V349</f>
        <v>0</v>
      </c>
      <c r="W25" s="5">
        <f t="shared" si="0"/>
        <v>0</v>
      </c>
    </row>
    <row r="26" spans="1:23">
      <c r="A26" s="3">
        <v>25</v>
      </c>
      <c r="B26" s="3"/>
      <c r="C26" s="5"/>
      <c r="D26" s="5"/>
      <c r="E26" s="5"/>
      <c r="F26" s="5"/>
      <c r="G26" s="5"/>
      <c r="H26" s="5"/>
      <c r="I26" s="5"/>
      <c r="J26" s="5"/>
      <c r="K26" s="5"/>
      <c r="L26" s="5"/>
      <c r="M26" s="7">
        <f>'25'!M349</f>
        <v>0</v>
      </c>
      <c r="N26" s="7">
        <f>'25'!N349</f>
        <v>0</v>
      </c>
      <c r="O26" s="7">
        <f>'25'!O349</f>
        <v>0</v>
      </c>
      <c r="P26" s="7">
        <f>'25'!P349</f>
        <v>0</v>
      </c>
      <c r="Q26" s="7">
        <f>'25'!Q349</f>
        <v>0</v>
      </c>
      <c r="R26" s="7">
        <f>'25'!R349</f>
        <v>0</v>
      </c>
      <c r="S26" s="7">
        <f>'25'!S349</f>
        <v>0</v>
      </c>
      <c r="T26" s="7">
        <f>'25'!T349</f>
        <v>0</v>
      </c>
      <c r="U26" s="7">
        <f>'25'!U349</f>
        <v>0</v>
      </c>
      <c r="V26" s="7">
        <f>'25'!V349</f>
        <v>0</v>
      </c>
      <c r="W26" s="5">
        <f t="shared" si="0"/>
        <v>0</v>
      </c>
    </row>
    <row r="27" spans="1:23">
      <c r="A27" s="3">
        <v>26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7">
        <f>'26'!M349</f>
        <v>0</v>
      </c>
      <c r="N27" s="7">
        <f>'26'!N349</f>
        <v>0</v>
      </c>
      <c r="O27" s="7">
        <f>'26'!O349</f>
        <v>0</v>
      </c>
      <c r="P27" s="7">
        <f>'26'!P349</f>
        <v>0</v>
      </c>
      <c r="Q27" s="7">
        <f>'26'!Q349</f>
        <v>0</v>
      </c>
      <c r="R27" s="7">
        <f>'26'!R349</f>
        <v>0</v>
      </c>
      <c r="S27" s="7">
        <f>'26'!S349</f>
        <v>0</v>
      </c>
      <c r="T27" s="7">
        <f>'26'!T349</f>
        <v>0</v>
      </c>
      <c r="U27" s="7">
        <f>'26'!U349</f>
        <v>0</v>
      </c>
      <c r="V27" s="7">
        <f>'26'!V349</f>
        <v>0</v>
      </c>
      <c r="W27" s="5">
        <f t="shared" si="0"/>
        <v>0</v>
      </c>
    </row>
    <row r="28" spans="1:23">
      <c r="A28" s="3">
        <v>27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7">
        <f>'27'!M349</f>
        <v>0</v>
      </c>
      <c r="N28" s="7">
        <f>'27'!N349</f>
        <v>0</v>
      </c>
      <c r="O28" s="7">
        <f>'27'!O349</f>
        <v>0</v>
      </c>
      <c r="P28" s="7">
        <f>'27'!P349</f>
        <v>0</v>
      </c>
      <c r="Q28" s="7">
        <f>'27'!Q349</f>
        <v>0</v>
      </c>
      <c r="R28" s="7">
        <f>'27'!R349</f>
        <v>0</v>
      </c>
      <c r="S28" s="7">
        <f>'27'!S349</f>
        <v>0</v>
      </c>
      <c r="T28" s="7">
        <f>'27'!T349</f>
        <v>0</v>
      </c>
      <c r="U28" s="7">
        <f>'27'!U349</f>
        <v>0</v>
      </c>
      <c r="V28" s="7">
        <f>'27'!V349</f>
        <v>0</v>
      </c>
      <c r="W28" s="5">
        <f t="shared" si="0"/>
        <v>0</v>
      </c>
    </row>
    <row r="29" spans="1:23">
      <c r="A29" s="3">
        <v>28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7">
        <f>'28'!M349</f>
        <v>0</v>
      </c>
      <c r="N29" s="7">
        <f>'28'!N349</f>
        <v>0</v>
      </c>
      <c r="O29" s="7">
        <f>'28'!O349</f>
        <v>0</v>
      </c>
      <c r="P29" s="7">
        <f>'28'!P349</f>
        <v>0</v>
      </c>
      <c r="Q29" s="7">
        <f>'28'!Q349</f>
        <v>0</v>
      </c>
      <c r="R29" s="7">
        <f>'28'!R349</f>
        <v>0</v>
      </c>
      <c r="S29" s="7">
        <f>'28'!S349</f>
        <v>0</v>
      </c>
      <c r="T29" s="7">
        <f>'28'!T349</f>
        <v>0</v>
      </c>
      <c r="U29" s="7">
        <f>'28'!U349</f>
        <v>0</v>
      </c>
      <c r="V29" s="7">
        <f>'28'!V349</f>
        <v>0</v>
      </c>
      <c r="W29" s="5">
        <f t="shared" si="0"/>
        <v>0</v>
      </c>
    </row>
    <row r="30" spans="1:23">
      <c r="A30" s="3">
        <v>29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7">
        <f>'29'!M349</f>
        <v>0</v>
      </c>
      <c r="N30" s="7">
        <f>'29'!N349</f>
        <v>0</v>
      </c>
      <c r="O30" s="7">
        <f>'29'!O349</f>
        <v>0</v>
      </c>
      <c r="P30" s="7">
        <f>'29'!P349</f>
        <v>0</v>
      </c>
      <c r="Q30" s="7">
        <f>'29'!Q349</f>
        <v>0</v>
      </c>
      <c r="R30" s="7">
        <f>'29'!R349</f>
        <v>0</v>
      </c>
      <c r="S30" s="7">
        <f>'29'!S349</f>
        <v>0</v>
      </c>
      <c r="T30" s="7">
        <f>'29'!T349</f>
        <v>0</v>
      </c>
      <c r="U30" s="7">
        <f>'29'!U349</f>
        <v>0</v>
      </c>
      <c r="V30" s="7">
        <f>'29'!V349</f>
        <v>0</v>
      </c>
      <c r="W30" s="5">
        <f t="shared" si="0"/>
        <v>0</v>
      </c>
    </row>
    <row r="31" spans="1:23">
      <c r="A31" s="3">
        <v>30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7">
        <f>'30'!M349</f>
        <v>0</v>
      </c>
      <c r="N31" s="7">
        <f>'30'!N349</f>
        <v>0</v>
      </c>
      <c r="O31" s="7">
        <f>'30'!O349</f>
        <v>0</v>
      </c>
      <c r="P31" s="7">
        <f>'30'!P349</f>
        <v>0</v>
      </c>
      <c r="Q31" s="7">
        <f>'30'!Q349</f>
        <v>0</v>
      </c>
      <c r="R31" s="7">
        <f>'30'!R349</f>
        <v>0</v>
      </c>
      <c r="S31" s="7">
        <f>'30'!S349</f>
        <v>0</v>
      </c>
      <c r="T31" s="7">
        <f>'30'!T349</f>
        <v>0</v>
      </c>
      <c r="U31" s="7">
        <f>'30'!U349</f>
        <v>0</v>
      </c>
      <c r="V31" s="7">
        <f>'30'!V349</f>
        <v>0</v>
      </c>
      <c r="W31" s="5">
        <f t="shared" si="0"/>
        <v>0</v>
      </c>
    </row>
    <row r="32" spans="1:23">
      <c r="A32" s="3">
        <v>31</v>
      </c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7">
        <f>'31'!M349</f>
        <v>0</v>
      </c>
      <c r="N32" s="7">
        <f>'31'!N349</f>
        <v>0</v>
      </c>
      <c r="O32" s="7">
        <f>'31'!O349</f>
        <v>0</v>
      </c>
      <c r="P32" s="7">
        <f>'31'!P349</f>
        <v>0</v>
      </c>
      <c r="Q32" s="7">
        <f>'31'!Q349</f>
        <v>0</v>
      </c>
      <c r="R32" s="7">
        <f>'31'!R349</f>
        <v>0</v>
      </c>
      <c r="S32" s="7">
        <f>'31'!S349</f>
        <v>0</v>
      </c>
      <c r="T32" s="7">
        <f>'31'!T349</f>
        <v>0</v>
      </c>
      <c r="U32" s="7">
        <f>'31'!U349</f>
        <v>0</v>
      </c>
      <c r="V32" s="7">
        <f>'31'!V349</f>
        <v>0</v>
      </c>
      <c r="W32" s="5">
        <f t="shared" si="0"/>
        <v>0</v>
      </c>
    </row>
    <row r="33" spans="3:23">
      <c r="C33" s="6">
        <f t="shared" ref="C33:V33" si="1">SUM(C1:C32)</f>
        <v>0</v>
      </c>
      <c r="D33" s="6">
        <f t="shared" si="1"/>
        <v>0</v>
      </c>
      <c r="E33" s="6">
        <f t="shared" si="1"/>
        <v>0</v>
      </c>
      <c r="F33" s="6">
        <f t="shared" si="1"/>
        <v>0</v>
      </c>
      <c r="G33" s="6">
        <f t="shared" si="1"/>
        <v>0</v>
      </c>
      <c r="H33" s="6">
        <f t="shared" si="1"/>
        <v>0</v>
      </c>
      <c r="I33" s="6">
        <f t="shared" si="1"/>
        <v>0</v>
      </c>
      <c r="J33" s="6">
        <f t="shared" si="1"/>
        <v>0</v>
      </c>
      <c r="K33" s="6">
        <f t="shared" si="1"/>
        <v>0</v>
      </c>
      <c r="L33" s="6">
        <f t="shared" si="1"/>
        <v>0</v>
      </c>
      <c r="M33" s="6">
        <f t="shared" si="1"/>
        <v>29395.3</v>
      </c>
      <c r="N33" s="6">
        <f t="shared" si="1"/>
        <v>30065.298</v>
      </c>
      <c r="O33" s="6">
        <f t="shared" si="1"/>
        <v>31420.42</v>
      </c>
      <c r="P33" s="6">
        <f t="shared" si="1"/>
        <v>33198.436</v>
      </c>
      <c r="Q33" s="6">
        <f t="shared" si="1"/>
        <v>15172.42</v>
      </c>
      <c r="R33" s="6">
        <f t="shared" si="1"/>
        <v>0</v>
      </c>
      <c r="S33" s="6">
        <f t="shared" si="1"/>
        <v>15344.97</v>
      </c>
      <c r="T33" s="6">
        <f t="shared" si="1"/>
        <v>9560.49</v>
      </c>
      <c r="U33" s="6">
        <f t="shared" si="1"/>
        <v>9609.584</v>
      </c>
      <c r="V33" s="6">
        <f t="shared" si="1"/>
        <v>0</v>
      </c>
      <c r="W33" s="6">
        <f>SUM(W2:W32)</f>
        <v>173766.918</v>
      </c>
    </row>
  </sheetData>
  <pageMargins left="0.2" right="0.25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f t="shared" ref="W2:W67" si="0">SUM(C2:V2)</f>
        <v>0</v>
      </c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f t="shared" si="0"/>
        <v>0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0</v>
      </c>
      <c r="O349" s="6">
        <f t="shared" si="6"/>
        <v>0</v>
      </c>
      <c r="P349" s="6">
        <f t="shared" si="6"/>
        <v>0</v>
      </c>
      <c r="Q349" s="6">
        <f t="shared" si="6"/>
        <v>0</v>
      </c>
      <c r="R349" s="6">
        <f t="shared" si="6"/>
        <v>0</v>
      </c>
      <c r="S349" s="6">
        <f t="shared" si="6"/>
        <v>0</v>
      </c>
      <c r="T349" s="6">
        <f t="shared" si="6"/>
        <v>0</v>
      </c>
      <c r="U349" s="6">
        <f t="shared" si="6"/>
        <v>0</v>
      </c>
      <c r="V349" s="6">
        <f t="shared" si="6"/>
        <v>0</v>
      </c>
      <c r="W349" s="6">
        <f>SUM(W2:W348)</f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M30" sqref="M30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ht="15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5" spans="1:23">
      <c r="A2" s="10">
        <v>1014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10">
        <v>2.15</v>
      </c>
      <c r="N2" s="10">
        <v>1.65</v>
      </c>
      <c r="O2" s="11"/>
      <c r="P2" s="11"/>
      <c r="Q2" s="11"/>
      <c r="R2" s="11"/>
      <c r="S2" s="10">
        <v>3.7</v>
      </c>
      <c r="T2" s="11"/>
      <c r="U2" s="11"/>
      <c r="V2" s="5"/>
      <c r="W2" s="5">
        <f t="shared" ref="W2:W67" si="0">SUM(C2:V2)</f>
        <v>7.5</v>
      </c>
    </row>
    <row r="3" ht="15" spans="1:23">
      <c r="A3" s="10">
        <v>996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10">
        <v>17.1</v>
      </c>
      <c r="N3" s="10">
        <v>5.9</v>
      </c>
      <c r="O3" s="11"/>
      <c r="P3" s="11"/>
      <c r="Q3" s="11"/>
      <c r="R3" s="11"/>
      <c r="S3" s="10">
        <v>3.4</v>
      </c>
      <c r="T3" s="11"/>
      <c r="U3" s="11"/>
      <c r="V3" s="5"/>
      <c r="W3" s="5">
        <f t="shared" si="0"/>
        <v>26.4</v>
      </c>
    </row>
    <row r="4" ht="15" spans="1:23">
      <c r="A4" s="10">
        <v>354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10">
        <v>10.15</v>
      </c>
      <c r="N4" s="10">
        <v>17.8</v>
      </c>
      <c r="O4" s="10">
        <v>4.95</v>
      </c>
      <c r="P4" s="10">
        <v>5.95</v>
      </c>
      <c r="Q4" s="10">
        <v>4.85</v>
      </c>
      <c r="R4" s="11"/>
      <c r="S4" s="10">
        <v>26.75</v>
      </c>
      <c r="T4" s="11"/>
      <c r="U4" s="11"/>
      <c r="V4" s="5"/>
      <c r="W4" s="5">
        <f t="shared" si="0"/>
        <v>70.45</v>
      </c>
    </row>
    <row r="5" ht="15" spans="1:23">
      <c r="A5" s="10">
        <v>672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10">
        <v>85.85</v>
      </c>
      <c r="N5" s="10">
        <v>123.05</v>
      </c>
      <c r="O5" s="10">
        <v>124.65</v>
      </c>
      <c r="P5" s="10">
        <v>118.25</v>
      </c>
      <c r="Q5" s="10">
        <v>71.25</v>
      </c>
      <c r="R5" s="11"/>
      <c r="S5" s="10">
        <v>58.3</v>
      </c>
      <c r="T5" s="10">
        <v>38</v>
      </c>
      <c r="U5" s="10">
        <v>21.9</v>
      </c>
      <c r="V5" s="5"/>
      <c r="W5" s="5">
        <f t="shared" si="0"/>
        <v>641.25</v>
      </c>
    </row>
    <row r="6" ht="15" spans="1:23">
      <c r="A6" s="10">
        <v>672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10">
        <v>128.1</v>
      </c>
      <c r="N6" s="10">
        <v>126.45</v>
      </c>
      <c r="O6" s="10">
        <v>93.7</v>
      </c>
      <c r="P6" s="10">
        <v>107.25</v>
      </c>
      <c r="Q6" s="10">
        <v>21.05</v>
      </c>
      <c r="R6" s="11"/>
      <c r="S6" s="10">
        <v>45.5</v>
      </c>
      <c r="T6" s="10">
        <v>22.05</v>
      </c>
      <c r="U6" s="10">
        <v>11.15</v>
      </c>
      <c r="V6" s="5"/>
      <c r="W6" s="5">
        <f t="shared" si="0"/>
        <v>555.25</v>
      </c>
    </row>
    <row r="7" ht="15" spans="1:23">
      <c r="A7" s="10">
        <v>672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10">
        <v>36.35</v>
      </c>
      <c r="N7" s="10">
        <v>44.55</v>
      </c>
      <c r="O7" s="10">
        <v>40.75</v>
      </c>
      <c r="P7" s="10">
        <v>58.1</v>
      </c>
      <c r="Q7" s="10">
        <v>39.85</v>
      </c>
      <c r="R7" s="11"/>
      <c r="S7" s="10">
        <v>23.45</v>
      </c>
      <c r="T7" s="10">
        <v>22.9</v>
      </c>
      <c r="U7" s="10">
        <v>25.7</v>
      </c>
      <c r="V7" s="5"/>
      <c r="W7" s="5">
        <f t="shared" si="0"/>
        <v>291.65</v>
      </c>
    </row>
    <row r="8" ht="15" spans="1:23">
      <c r="A8" s="10">
        <v>1013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10">
        <v>51.8</v>
      </c>
      <c r="N8" s="10">
        <v>25.15</v>
      </c>
      <c r="O8" s="10">
        <v>35</v>
      </c>
      <c r="P8" s="10">
        <v>55.7</v>
      </c>
      <c r="Q8" s="10">
        <v>17.3</v>
      </c>
      <c r="R8" s="11"/>
      <c r="S8" s="10">
        <v>14.55</v>
      </c>
      <c r="T8" s="10">
        <v>21.95</v>
      </c>
      <c r="U8" s="10">
        <v>9.6</v>
      </c>
      <c r="V8" s="5"/>
      <c r="W8" s="5">
        <f t="shared" si="0"/>
        <v>231.05</v>
      </c>
    </row>
    <row r="9" ht="15" spans="1:23">
      <c r="A9" s="10">
        <v>1023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10">
        <v>125.3</v>
      </c>
      <c r="N9" s="10">
        <v>117.5</v>
      </c>
      <c r="O9" s="10">
        <v>100.6</v>
      </c>
      <c r="P9" s="10">
        <v>137.5</v>
      </c>
      <c r="Q9" s="10">
        <v>53.05</v>
      </c>
      <c r="R9" s="11"/>
      <c r="S9" s="10">
        <v>50.1</v>
      </c>
      <c r="T9" s="10">
        <v>26.9</v>
      </c>
      <c r="U9" s="10">
        <v>38.35</v>
      </c>
      <c r="V9" s="5"/>
      <c r="W9" s="5">
        <f t="shared" si="0"/>
        <v>649.3</v>
      </c>
    </row>
    <row r="10" ht="15" spans="1:23">
      <c r="A10" s="10">
        <v>1023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10">
        <v>69.6</v>
      </c>
      <c r="N10" s="10">
        <v>31.65</v>
      </c>
      <c r="O10" s="10">
        <v>44.6</v>
      </c>
      <c r="P10" s="10">
        <v>50.3</v>
      </c>
      <c r="Q10" s="10">
        <v>13.4</v>
      </c>
      <c r="R10" s="11"/>
      <c r="S10" s="10">
        <v>3.65</v>
      </c>
      <c r="T10" s="10">
        <v>7.15</v>
      </c>
      <c r="U10" s="10">
        <v>8.75</v>
      </c>
      <c r="V10" s="5"/>
      <c r="W10" s="5">
        <f t="shared" si="0"/>
        <v>229.1</v>
      </c>
    </row>
    <row r="11" ht="15" spans="1:23">
      <c r="A11" s="10">
        <v>1026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10">
        <v>5.3</v>
      </c>
      <c r="N11" s="10">
        <v>3.85</v>
      </c>
      <c r="O11" s="11"/>
      <c r="P11" s="11"/>
      <c r="Q11" s="11"/>
      <c r="R11" s="11"/>
      <c r="S11" s="11"/>
      <c r="T11" s="11"/>
      <c r="U11" s="11"/>
      <c r="V11" s="5"/>
      <c r="W11" s="5">
        <f t="shared" si="0"/>
        <v>9.15</v>
      </c>
    </row>
    <row r="12" ht="15" spans="1:23">
      <c r="A12" s="10">
        <v>1031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10">
        <v>13.15</v>
      </c>
      <c r="N12" s="10">
        <v>5.15</v>
      </c>
      <c r="O12" s="10">
        <v>10.15</v>
      </c>
      <c r="P12" s="10">
        <v>12.5</v>
      </c>
      <c r="Q12" s="10">
        <v>6.95</v>
      </c>
      <c r="R12" s="11"/>
      <c r="S12" s="10">
        <v>6.65</v>
      </c>
      <c r="T12" s="10">
        <v>6.1</v>
      </c>
      <c r="U12" s="10">
        <v>1.1</v>
      </c>
      <c r="V12" s="5"/>
      <c r="W12" s="5">
        <f t="shared" si="0"/>
        <v>61.75</v>
      </c>
    </row>
    <row r="13" ht="15" spans="1:23">
      <c r="A13" s="10">
        <v>478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10">
        <v>126.05</v>
      </c>
      <c r="N13" s="10">
        <v>123.65</v>
      </c>
      <c r="O13" s="10">
        <v>141.9</v>
      </c>
      <c r="P13" s="10">
        <v>105.75</v>
      </c>
      <c r="Q13" s="10">
        <v>65.15</v>
      </c>
      <c r="R13" s="11"/>
      <c r="S13" s="10">
        <v>167.55</v>
      </c>
      <c r="T13" s="10">
        <v>62.85</v>
      </c>
      <c r="U13" s="10">
        <v>85.3</v>
      </c>
      <c r="V13" s="5"/>
      <c r="W13" s="5">
        <f t="shared" si="0"/>
        <v>878.2</v>
      </c>
    </row>
    <row r="14" ht="15" spans="1:23">
      <c r="A14" s="10">
        <v>477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10">
        <v>5</v>
      </c>
      <c r="N14" s="10">
        <v>1.9</v>
      </c>
      <c r="O14" s="10">
        <v>5.9</v>
      </c>
      <c r="P14" s="10">
        <v>9.65</v>
      </c>
      <c r="Q14" s="10">
        <v>5.85</v>
      </c>
      <c r="R14" s="11"/>
      <c r="S14" s="11"/>
      <c r="T14" s="10">
        <v>6.2</v>
      </c>
      <c r="U14" s="10">
        <v>9.4</v>
      </c>
      <c r="V14" s="5"/>
      <c r="W14" s="5">
        <f t="shared" si="0"/>
        <v>43.9</v>
      </c>
    </row>
    <row r="15" ht="15" spans="1:23">
      <c r="A15" s="10">
        <v>1037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10">
        <v>5.6</v>
      </c>
      <c r="N15" s="10">
        <v>1.9</v>
      </c>
      <c r="O15" s="11"/>
      <c r="P15" s="11"/>
      <c r="Q15" s="11"/>
      <c r="R15" s="11"/>
      <c r="S15" s="10">
        <v>7.9</v>
      </c>
      <c r="T15" s="11"/>
      <c r="U15" s="11"/>
      <c r="V15" s="5"/>
      <c r="W15" s="5">
        <f t="shared" si="0"/>
        <v>15.4</v>
      </c>
    </row>
    <row r="16" ht="15" spans="1:23">
      <c r="A16" s="10">
        <v>2425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10">
        <v>27.75</v>
      </c>
      <c r="N16" s="10">
        <v>16.1</v>
      </c>
      <c r="O16" s="10">
        <v>7.45</v>
      </c>
      <c r="P16" s="10">
        <v>13.7</v>
      </c>
      <c r="Q16" s="10">
        <v>5.5</v>
      </c>
      <c r="R16" s="11"/>
      <c r="S16" s="10">
        <v>9.2</v>
      </c>
      <c r="T16" s="10">
        <v>1.6</v>
      </c>
      <c r="U16" s="10">
        <v>2.8</v>
      </c>
      <c r="V16" s="5"/>
      <c r="W16" s="5">
        <f t="shared" si="0"/>
        <v>84.1</v>
      </c>
    </row>
    <row r="17" ht="15" spans="1:23">
      <c r="A17" s="10">
        <v>1009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10">
        <v>14.35</v>
      </c>
      <c r="N17" s="10">
        <v>21.65</v>
      </c>
      <c r="O17" s="10">
        <v>9.15</v>
      </c>
      <c r="P17" s="10">
        <v>8.95</v>
      </c>
      <c r="Q17" s="10">
        <v>0.95</v>
      </c>
      <c r="R17" s="11"/>
      <c r="S17" s="10">
        <v>7.5</v>
      </c>
      <c r="T17" s="11"/>
      <c r="U17" s="10">
        <v>0.65</v>
      </c>
      <c r="V17" s="5"/>
      <c r="W17" s="5">
        <f t="shared" si="0"/>
        <v>63.2</v>
      </c>
    </row>
    <row r="18" ht="15" spans="1:23">
      <c r="A18" s="10">
        <v>206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10">
        <v>48</v>
      </c>
      <c r="N18" s="10">
        <v>9.45</v>
      </c>
      <c r="O18" s="10">
        <v>3.1</v>
      </c>
      <c r="P18" s="10">
        <v>3.65</v>
      </c>
      <c r="Q18" s="10">
        <v>0.95</v>
      </c>
      <c r="R18" s="11"/>
      <c r="S18" s="11"/>
      <c r="T18" s="11"/>
      <c r="U18" s="11"/>
      <c r="V18" s="5"/>
      <c r="W18" s="5">
        <f t="shared" si="0"/>
        <v>65.15</v>
      </c>
    </row>
    <row r="19" ht="15" spans="1:23">
      <c r="A19" s="10">
        <v>260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10">
        <v>43.1</v>
      </c>
      <c r="N19" s="10">
        <v>28.9</v>
      </c>
      <c r="O19" s="10">
        <v>25.65</v>
      </c>
      <c r="P19" s="10">
        <v>17.9</v>
      </c>
      <c r="Q19" s="10">
        <v>8.15</v>
      </c>
      <c r="R19" s="11"/>
      <c r="S19" s="10">
        <v>16.7</v>
      </c>
      <c r="T19" s="10">
        <v>6.75</v>
      </c>
      <c r="U19" s="10">
        <v>6.2</v>
      </c>
      <c r="V19" s="5"/>
      <c r="W19" s="5">
        <f t="shared" si="0"/>
        <v>153.35</v>
      </c>
    </row>
    <row r="20" ht="15" spans="1:23">
      <c r="A20" s="10">
        <v>1038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10">
        <v>19.35</v>
      </c>
      <c r="N20" s="10">
        <v>11.8</v>
      </c>
      <c r="O20" s="10">
        <v>18.35</v>
      </c>
      <c r="P20" s="10">
        <v>11.95</v>
      </c>
      <c r="Q20" s="10">
        <v>2.75</v>
      </c>
      <c r="R20" s="11"/>
      <c r="S20" s="11"/>
      <c r="T20" s="10">
        <v>1.3</v>
      </c>
      <c r="U20" s="10">
        <v>0.95</v>
      </c>
      <c r="V20" s="5"/>
      <c r="W20" s="5">
        <f t="shared" si="0"/>
        <v>66.45</v>
      </c>
    </row>
    <row r="21" ht="15" spans="1:23">
      <c r="A21" s="10">
        <v>4005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10">
        <v>111.1</v>
      </c>
      <c r="N21" s="10">
        <v>130.6</v>
      </c>
      <c r="O21" s="10">
        <v>128.85</v>
      </c>
      <c r="P21" s="10">
        <v>117.6</v>
      </c>
      <c r="Q21" s="10">
        <v>40.9</v>
      </c>
      <c r="R21" s="11"/>
      <c r="S21" s="10">
        <v>32.55</v>
      </c>
      <c r="T21" s="10">
        <v>53.2</v>
      </c>
      <c r="U21" s="10">
        <v>27.85</v>
      </c>
      <c r="V21" s="5"/>
      <c r="W21" s="5">
        <f t="shared" si="0"/>
        <v>642.65</v>
      </c>
    </row>
    <row r="22" ht="15" spans="1:23">
      <c r="A22" s="10">
        <v>672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10">
        <v>117.5</v>
      </c>
      <c r="N22" s="10">
        <v>102.45</v>
      </c>
      <c r="O22" s="10">
        <v>130.45</v>
      </c>
      <c r="P22" s="10">
        <v>116.55</v>
      </c>
      <c r="Q22" s="10">
        <v>36.35</v>
      </c>
      <c r="R22" s="11"/>
      <c r="S22" s="10">
        <v>10.25</v>
      </c>
      <c r="T22" s="10">
        <v>46.45</v>
      </c>
      <c r="U22" s="10">
        <v>30.05</v>
      </c>
      <c r="V22" s="5"/>
      <c r="W22" s="5">
        <f t="shared" si="0"/>
        <v>590.05</v>
      </c>
    </row>
    <row r="23" ht="15" spans="1:23">
      <c r="A23" s="10">
        <v>672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10">
        <v>15.05</v>
      </c>
      <c r="N23" s="10">
        <v>7.75</v>
      </c>
      <c r="O23" s="10">
        <v>9.15</v>
      </c>
      <c r="P23" s="10">
        <v>8.45</v>
      </c>
      <c r="Q23" s="10">
        <v>2.65</v>
      </c>
      <c r="R23" s="11"/>
      <c r="S23" s="10">
        <v>41.1</v>
      </c>
      <c r="T23" s="10">
        <v>21.5</v>
      </c>
      <c r="U23" s="10">
        <v>11.5</v>
      </c>
      <c r="V23" s="5"/>
      <c r="W23" s="5">
        <f t="shared" si="0"/>
        <v>117.15</v>
      </c>
    </row>
    <row r="24" ht="15" spans="1:23">
      <c r="A24" s="10">
        <v>1039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10">
        <v>30.9</v>
      </c>
      <c r="N24" s="10">
        <v>7.5</v>
      </c>
      <c r="O24" s="10">
        <v>32.55</v>
      </c>
      <c r="P24" s="10">
        <v>7.35</v>
      </c>
      <c r="Q24" s="10">
        <v>2.75</v>
      </c>
      <c r="R24" s="11"/>
      <c r="S24" s="10">
        <v>15.3</v>
      </c>
      <c r="T24" s="10">
        <v>19.1</v>
      </c>
      <c r="U24" s="11"/>
      <c r="V24" s="5"/>
      <c r="W24" s="5">
        <f t="shared" si="0"/>
        <v>115.45</v>
      </c>
    </row>
    <row r="25" ht="15" spans="1:23">
      <c r="A25" s="10">
        <v>2167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10">
        <v>84.25</v>
      </c>
      <c r="N25" s="10">
        <v>47.55</v>
      </c>
      <c r="O25" s="10">
        <v>82.45</v>
      </c>
      <c r="P25" s="10">
        <v>59.8</v>
      </c>
      <c r="Q25" s="10">
        <v>16.95</v>
      </c>
      <c r="R25" s="11"/>
      <c r="S25" s="10">
        <v>9.3</v>
      </c>
      <c r="T25" s="10">
        <v>12.7</v>
      </c>
      <c r="U25" s="10">
        <v>4.95</v>
      </c>
      <c r="V25" s="5"/>
      <c r="W25" s="5">
        <f t="shared" si="0"/>
        <v>317.95</v>
      </c>
    </row>
    <row r="26" ht="15" spans="1:23">
      <c r="A26" s="10">
        <v>445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10">
        <v>179.6</v>
      </c>
      <c r="N26" s="10">
        <v>201.95</v>
      </c>
      <c r="O26" s="10">
        <v>156.8</v>
      </c>
      <c r="P26" s="10">
        <v>93.3</v>
      </c>
      <c r="Q26" s="10">
        <v>24.75</v>
      </c>
      <c r="R26" s="11"/>
      <c r="S26" s="10">
        <v>28.4</v>
      </c>
      <c r="T26" s="10">
        <v>28</v>
      </c>
      <c r="U26" s="10">
        <v>11.5</v>
      </c>
      <c r="V26" s="5"/>
      <c r="W26" s="5">
        <f t="shared" si="0"/>
        <v>724.3</v>
      </c>
    </row>
    <row r="27" ht="15" spans="1:23">
      <c r="A27" s="10">
        <v>1023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10">
        <v>89.5</v>
      </c>
      <c r="N27" s="10">
        <v>114.9</v>
      </c>
      <c r="O27" s="10">
        <v>193.6</v>
      </c>
      <c r="P27" s="10">
        <v>201.3</v>
      </c>
      <c r="Q27" s="10">
        <v>56.15</v>
      </c>
      <c r="R27" s="11"/>
      <c r="S27" s="10">
        <v>27.35</v>
      </c>
      <c r="T27" s="10">
        <v>28.45</v>
      </c>
      <c r="U27" s="11"/>
      <c r="V27" s="5"/>
      <c r="W27" s="5">
        <f t="shared" si="0"/>
        <v>711.25</v>
      </c>
    </row>
    <row r="28" ht="15" spans="1:23">
      <c r="A28" s="10">
        <v>1023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10">
        <v>100.05</v>
      </c>
      <c r="N28" s="10">
        <v>192.85</v>
      </c>
      <c r="O28" s="10">
        <v>254.45</v>
      </c>
      <c r="P28" s="10">
        <v>182.8</v>
      </c>
      <c r="Q28" s="10">
        <v>52.15</v>
      </c>
      <c r="R28" s="11"/>
      <c r="S28" s="10">
        <v>44.4</v>
      </c>
      <c r="T28" s="10">
        <v>76.45</v>
      </c>
      <c r="U28" s="10">
        <v>49.6</v>
      </c>
      <c r="V28" s="5"/>
      <c r="W28" s="5">
        <f t="shared" si="0"/>
        <v>952.75</v>
      </c>
    </row>
    <row r="29" ht="15" spans="1:23">
      <c r="A29" s="10">
        <v>1023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10">
        <v>21.25</v>
      </c>
      <c r="N29" s="10">
        <v>57.2</v>
      </c>
      <c r="O29" s="10">
        <v>92.7</v>
      </c>
      <c r="P29" s="10">
        <v>166.15</v>
      </c>
      <c r="Q29" s="10">
        <v>47.6</v>
      </c>
      <c r="R29" s="11"/>
      <c r="S29" s="10">
        <v>26.6</v>
      </c>
      <c r="T29" s="10">
        <v>95.2</v>
      </c>
      <c r="U29" s="10">
        <v>52.25</v>
      </c>
      <c r="V29" s="5"/>
      <c r="W29" s="5">
        <f t="shared" si="0"/>
        <v>558.95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1583.25</v>
      </c>
      <c r="N349" s="6">
        <f t="shared" si="6"/>
        <v>1580.8</v>
      </c>
      <c r="O349" s="6">
        <f t="shared" si="6"/>
        <v>1746.9</v>
      </c>
      <c r="P349" s="6">
        <f t="shared" si="6"/>
        <v>1670.4</v>
      </c>
      <c r="Q349" s="6">
        <f t="shared" si="6"/>
        <v>597.25</v>
      </c>
      <c r="R349" s="6">
        <f t="shared" si="6"/>
        <v>0</v>
      </c>
      <c r="S349" s="6">
        <f t="shared" si="6"/>
        <v>680.15</v>
      </c>
      <c r="T349" s="6">
        <f t="shared" si="6"/>
        <v>604.8</v>
      </c>
      <c r="U349" s="6">
        <f t="shared" si="6"/>
        <v>409.55</v>
      </c>
      <c r="V349" s="6">
        <f t="shared" si="6"/>
        <v>0</v>
      </c>
      <c r="W349" s="6">
        <f>SUM(W2:W348)</f>
        <v>8873.1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2" activePane="bottomLeft" state="frozen"/>
      <selection/>
      <selection pane="bottomLeft" activeCell="M1" sqref="M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ht="15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5" spans="1:23">
      <c r="A2" s="10">
        <v>1014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10">
        <v>9.35</v>
      </c>
      <c r="N2" s="10">
        <v>3.35</v>
      </c>
      <c r="O2" s="10">
        <v>1.35</v>
      </c>
      <c r="P2" s="11"/>
      <c r="Q2" s="11"/>
      <c r="R2" s="11"/>
      <c r="S2" s="10">
        <v>5.3</v>
      </c>
      <c r="T2" s="11"/>
      <c r="U2" s="11"/>
      <c r="V2" s="5"/>
      <c r="W2" s="5">
        <f t="shared" ref="W2:W67" si="0">SUM(C2:V2)</f>
        <v>19.35</v>
      </c>
    </row>
    <row r="3" ht="15" spans="1:23">
      <c r="A3" s="10">
        <v>996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10">
        <v>32.6</v>
      </c>
      <c r="N3" s="10">
        <v>3.7</v>
      </c>
      <c r="O3" s="11"/>
      <c r="P3" s="11"/>
      <c r="Q3" s="11"/>
      <c r="R3" s="11"/>
      <c r="S3" s="10">
        <v>10.3</v>
      </c>
      <c r="T3" s="11"/>
      <c r="U3" s="11"/>
      <c r="V3" s="5"/>
      <c r="W3" s="5">
        <f t="shared" si="0"/>
        <v>46.6</v>
      </c>
    </row>
    <row r="4" ht="15" spans="1:23">
      <c r="A4" s="10">
        <v>444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10">
        <v>28.6</v>
      </c>
      <c r="N4" s="10">
        <v>53.9</v>
      </c>
      <c r="O4" s="10">
        <v>32.95</v>
      </c>
      <c r="P4" s="10">
        <v>38.95</v>
      </c>
      <c r="Q4" s="10">
        <v>12.05</v>
      </c>
      <c r="R4" s="11"/>
      <c r="S4" s="10">
        <v>7.55</v>
      </c>
      <c r="T4" s="10">
        <v>7.85</v>
      </c>
      <c r="U4" s="10">
        <v>8.25</v>
      </c>
      <c r="V4" s="5"/>
      <c r="W4" s="5">
        <f t="shared" si="0"/>
        <v>190.1</v>
      </c>
    </row>
    <row r="5" ht="15" spans="1:23">
      <c r="A5" s="10">
        <v>1651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10">
        <v>28.3</v>
      </c>
      <c r="N5" s="10">
        <v>28.1</v>
      </c>
      <c r="O5" s="10">
        <v>12.15</v>
      </c>
      <c r="P5" s="10">
        <v>5.65</v>
      </c>
      <c r="Q5" s="10">
        <v>0.9</v>
      </c>
      <c r="R5" s="11"/>
      <c r="S5" s="11"/>
      <c r="T5" s="11"/>
      <c r="U5" s="11"/>
      <c r="V5" s="5"/>
      <c r="W5" s="5">
        <f t="shared" si="0"/>
        <v>75.1</v>
      </c>
    </row>
    <row r="6" ht="15" spans="1:23">
      <c r="A6" s="10">
        <v>672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10">
        <v>157.8</v>
      </c>
      <c r="N6" s="10">
        <v>164.8</v>
      </c>
      <c r="O6" s="10">
        <v>121.1</v>
      </c>
      <c r="P6" s="10">
        <v>107.9</v>
      </c>
      <c r="Q6" s="10">
        <v>50.8</v>
      </c>
      <c r="R6" s="11"/>
      <c r="S6" s="10">
        <v>143.3</v>
      </c>
      <c r="T6" s="10">
        <v>19.55</v>
      </c>
      <c r="U6" s="11"/>
      <c r="V6" s="5"/>
      <c r="W6" s="5">
        <f t="shared" si="0"/>
        <v>765.25</v>
      </c>
    </row>
    <row r="7" ht="15" spans="1:23">
      <c r="A7" s="10">
        <v>672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10">
        <v>82.4</v>
      </c>
      <c r="N7" s="10">
        <v>79.65</v>
      </c>
      <c r="O7" s="10">
        <v>39.85</v>
      </c>
      <c r="P7" s="10">
        <v>36.75</v>
      </c>
      <c r="Q7" s="10">
        <v>14.65</v>
      </c>
      <c r="R7" s="11"/>
      <c r="S7" s="10">
        <v>40.55</v>
      </c>
      <c r="T7" s="10">
        <v>21.45</v>
      </c>
      <c r="U7" s="10">
        <v>36.35</v>
      </c>
      <c r="V7" s="5"/>
      <c r="W7" s="5">
        <f t="shared" si="0"/>
        <v>351.65</v>
      </c>
    </row>
    <row r="8" ht="15" spans="1:23">
      <c r="A8" s="10">
        <v>1010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10">
        <v>195.45</v>
      </c>
      <c r="N8" s="10">
        <v>175.1</v>
      </c>
      <c r="O8" s="10">
        <v>160.35</v>
      </c>
      <c r="P8" s="10">
        <v>143.5</v>
      </c>
      <c r="Q8" s="10">
        <v>34.8</v>
      </c>
      <c r="R8" s="11"/>
      <c r="S8" s="10">
        <v>19.35</v>
      </c>
      <c r="T8" s="10">
        <v>20.8</v>
      </c>
      <c r="U8" s="11"/>
      <c r="V8" s="5"/>
      <c r="W8" s="5">
        <f t="shared" si="0"/>
        <v>749.35</v>
      </c>
    </row>
    <row r="9" ht="15" spans="1:23">
      <c r="A9" s="10">
        <v>1010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10">
        <v>106.2</v>
      </c>
      <c r="N9" s="10">
        <v>133.4</v>
      </c>
      <c r="O9" s="10">
        <v>104.35</v>
      </c>
      <c r="P9" s="10">
        <v>92.85</v>
      </c>
      <c r="Q9" s="10">
        <v>51.3</v>
      </c>
      <c r="R9" s="11"/>
      <c r="S9" s="10">
        <v>70.65</v>
      </c>
      <c r="T9" s="10">
        <v>19.35</v>
      </c>
      <c r="U9" s="10">
        <v>26.3</v>
      </c>
      <c r="V9" s="5"/>
      <c r="W9" s="5">
        <f t="shared" si="0"/>
        <v>604.4</v>
      </c>
    </row>
    <row r="10" ht="15" spans="1:23">
      <c r="A10" s="10">
        <v>1011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11"/>
      <c r="N10" s="10">
        <v>1.85</v>
      </c>
      <c r="O10" s="10">
        <v>2.7</v>
      </c>
      <c r="P10" s="10">
        <v>11</v>
      </c>
      <c r="Q10" s="10">
        <v>4.3</v>
      </c>
      <c r="R10" s="11"/>
      <c r="S10" s="10">
        <v>5.35</v>
      </c>
      <c r="T10" s="10">
        <v>1.3</v>
      </c>
      <c r="U10" s="10">
        <v>4.9</v>
      </c>
      <c r="V10" s="5"/>
      <c r="W10" s="5">
        <f t="shared" si="0"/>
        <v>31.4</v>
      </c>
    </row>
    <row r="11" ht="15" spans="1:23">
      <c r="A11" s="10">
        <v>1038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10">
        <v>78.3</v>
      </c>
      <c r="N11" s="10">
        <v>60.4</v>
      </c>
      <c r="O11" s="10">
        <v>103.95</v>
      </c>
      <c r="P11" s="10">
        <v>110.65</v>
      </c>
      <c r="Q11" s="10">
        <v>74.35</v>
      </c>
      <c r="R11" s="11"/>
      <c r="S11" s="10">
        <v>21.1</v>
      </c>
      <c r="T11" s="10">
        <v>39.35</v>
      </c>
      <c r="U11" s="10">
        <v>38.05</v>
      </c>
      <c r="V11" s="5"/>
      <c r="W11" s="5">
        <f t="shared" si="0"/>
        <v>526.15</v>
      </c>
    </row>
    <row r="12" ht="15" spans="1:23">
      <c r="A12" s="10">
        <v>478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10">
        <v>123.7</v>
      </c>
      <c r="N12" s="10">
        <v>103.4</v>
      </c>
      <c r="O12" s="10">
        <v>99.75</v>
      </c>
      <c r="P12" s="10">
        <v>105.1</v>
      </c>
      <c r="Q12" s="10">
        <v>37</v>
      </c>
      <c r="R12" s="11"/>
      <c r="S12" s="10">
        <v>85.6</v>
      </c>
      <c r="T12" s="10">
        <v>21.85</v>
      </c>
      <c r="U12" s="10">
        <v>19.75</v>
      </c>
      <c r="V12" s="5"/>
      <c r="W12" s="5">
        <f t="shared" si="0"/>
        <v>596.15</v>
      </c>
    </row>
    <row r="13" ht="15" spans="1:23">
      <c r="A13" s="10">
        <v>1023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10">
        <v>155.3</v>
      </c>
      <c r="N13" s="10">
        <v>192.9</v>
      </c>
      <c r="O13" s="10">
        <v>145.05</v>
      </c>
      <c r="P13" s="10">
        <v>98.1</v>
      </c>
      <c r="Q13" s="10">
        <v>43.3</v>
      </c>
      <c r="R13" s="11"/>
      <c r="S13" s="10">
        <v>29.25</v>
      </c>
      <c r="T13" s="10">
        <v>18.1</v>
      </c>
      <c r="U13" s="10">
        <v>14.8</v>
      </c>
      <c r="V13" s="5"/>
      <c r="W13" s="5">
        <f t="shared" si="0"/>
        <v>696.8</v>
      </c>
    </row>
    <row r="14" ht="15" spans="1:23">
      <c r="A14" s="10">
        <v>1023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10">
        <v>119.8</v>
      </c>
      <c r="N14" s="10">
        <v>157.7</v>
      </c>
      <c r="O14" s="10">
        <v>142.3</v>
      </c>
      <c r="P14" s="10">
        <v>94.65</v>
      </c>
      <c r="Q14" s="10">
        <v>48.15</v>
      </c>
      <c r="R14" s="11"/>
      <c r="S14" s="10">
        <v>38</v>
      </c>
      <c r="T14" s="10">
        <v>38.45</v>
      </c>
      <c r="U14" s="10">
        <v>19.3</v>
      </c>
      <c r="V14" s="5"/>
      <c r="W14" s="5">
        <f t="shared" si="0"/>
        <v>658.35</v>
      </c>
    </row>
    <row r="15" ht="15" spans="1:23">
      <c r="A15" s="10">
        <v>1026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10">
        <v>12.8</v>
      </c>
      <c r="N15" s="11"/>
      <c r="O15" s="11"/>
      <c r="P15" s="10">
        <v>2.35</v>
      </c>
      <c r="Q15" s="11"/>
      <c r="R15" s="11"/>
      <c r="S15" s="10">
        <v>3.55</v>
      </c>
      <c r="T15" s="11"/>
      <c r="U15" s="11"/>
      <c r="V15" s="5"/>
      <c r="W15" s="5">
        <f t="shared" si="0"/>
        <v>18.7</v>
      </c>
    </row>
    <row r="16" ht="15" spans="1:23">
      <c r="A16" s="10">
        <v>1038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10">
        <v>17.1</v>
      </c>
      <c r="N16" s="10">
        <v>18.2</v>
      </c>
      <c r="O16" s="10">
        <v>23.8</v>
      </c>
      <c r="P16" s="10">
        <v>33</v>
      </c>
      <c r="Q16" s="10">
        <v>5.5</v>
      </c>
      <c r="R16" s="11"/>
      <c r="S16" s="10">
        <v>2.95</v>
      </c>
      <c r="T16" s="10">
        <v>9.3</v>
      </c>
      <c r="U16" s="10">
        <v>13.25</v>
      </c>
      <c r="V16" s="5"/>
      <c r="W16" s="5">
        <f t="shared" si="0"/>
        <v>123.1</v>
      </c>
    </row>
    <row r="17" ht="15" spans="1:23">
      <c r="A17" s="10">
        <v>1012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10">
        <v>22.3</v>
      </c>
      <c r="N17" s="10">
        <v>17</v>
      </c>
      <c r="O17" s="10">
        <v>4.55</v>
      </c>
      <c r="P17" s="10">
        <v>7.35</v>
      </c>
      <c r="Q17" s="10">
        <v>1.85</v>
      </c>
      <c r="R17" s="11"/>
      <c r="S17" s="11"/>
      <c r="T17" s="10">
        <v>9.95</v>
      </c>
      <c r="U17" s="10">
        <v>4.5</v>
      </c>
      <c r="V17" s="5"/>
      <c r="W17" s="5">
        <f t="shared" si="0"/>
        <v>67.5</v>
      </c>
    </row>
    <row r="18" ht="15" spans="1:23">
      <c r="A18" s="10">
        <v>309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10">
        <v>36.3</v>
      </c>
      <c r="N18" s="10">
        <v>152.5</v>
      </c>
      <c r="O18" s="10">
        <v>186.7</v>
      </c>
      <c r="P18" s="10">
        <v>185</v>
      </c>
      <c r="Q18" s="10">
        <v>82.35</v>
      </c>
      <c r="R18" s="11"/>
      <c r="S18" s="11"/>
      <c r="T18" s="10">
        <v>49</v>
      </c>
      <c r="U18" s="10">
        <v>57.75</v>
      </c>
      <c r="V18" s="5"/>
      <c r="W18" s="5">
        <f t="shared" si="0"/>
        <v>749.6</v>
      </c>
    </row>
    <row r="19" ht="15" spans="1:23">
      <c r="A19" s="10">
        <v>309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10">
        <v>238.25</v>
      </c>
      <c r="N19" s="10">
        <v>144.15</v>
      </c>
      <c r="O19" s="10">
        <v>125.05</v>
      </c>
      <c r="P19" s="10">
        <v>174.25</v>
      </c>
      <c r="Q19" s="10">
        <v>25.25</v>
      </c>
      <c r="R19" s="11"/>
      <c r="S19" s="10">
        <v>142.85</v>
      </c>
      <c r="T19" s="10">
        <v>37.2</v>
      </c>
      <c r="U19" s="10">
        <v>42.45</v>
      </c>
      <c r="V19" s="5"/>
      <c r="W19" s="5">
        <f t="shared" si="0"/>
        <v>929.45</v>
      </c>
    </row>
    <row r="20" ht="15" spans="1:23">
      <c r="A20" s="10">
        <v>309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10">
        <v>91.3</v>
      </c>
      <c r="N20" s="10">
        <v>64</v>
      </c>
      <c r="O20" s="10">
        <v>51.5</v>
      </c>
      <c r="P20" s="10">
        <v>38.5</v>
      </c>
      <c r="Q20" s="10">
        <v>19.2</v>
      </c>
      <c r="R20" s="11"/>
      <c r="S20" s="10">
        <v>83.45</v>
      </c>
      <c r="T20" s="10">
        <v>19.25</v>
      </c>
      <c r="U20" s="10">
        <v>13.05</v>
      </c>
      <c r="V20" s="5"/>
      <c r="W20" s="5">
        <f t="shared" si="0"/>
        <v>380.25</v>
      </c>
    </row>
    <row r="21" ht="15" spans="1:23">
      <c r="A21" s="10">
        <v>2161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10">
        <v>28</v>
      </c>
      <c r="N21" s="10">
        <v>44.7</v>
      </c>
      <c r="O21" s="10">
        <v>50.7</v>
      </c>
      <c r="P21" s="10">
        <v>62.45</v>
      </c>
      <c r="Q21" s="10">
        <v>47.25</v>
      </c>
      <c r="R21" s="11"/>
      <c r="S21" s="10">
        <v>27.7</v>
      </c>
      <c r="T21" s="10">
        <v>32.8</v>
      </c>
      <c r="U21" s="10">
        <v>34.2</v>
      </c>
      <c r="V21" s="5"/>
      <c r="W21" s="5">
        <f t="shared" si="0"/>
        <v>327.8</v>
      </c>
    </row>
    <row r="22" ht="15" spans="1:23">
      <c r="A22" s="10">
        <v>1037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10">
        <v>16.55</v>
      </c>
      <c r="N22" s="10">
        <v>5</v>
      </c>
      <c r="O22" s="11"/>
      <c r="P22" s="11"/>
      <c r="Q22" s="11"/>
      <c r="R22" s="11"/>
      <c r="S22" s="11"/>
      <c r="T22" s="11"/>
      <c r="U22" s="11"/>
      <c r="V22" s="5"/>
      <c r="W22" s="5">
        <f t="shared" si="0"/>
        <v>21.55</v>
      </c>
    </row>
    <row r="23" ht="15" spans="1:23">
      <c r="A23" s="10">
        <v>4005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10">
        <v>241.45</v>
      </c>
      <c r="N23" s="10">
        <v>240.85</v>
      </c>
      <c r="O23" s="10">
        <v>112.95</v>
      </c>
      <c r="P23" s="10">
        <v>67.5</v>
      </c>
      <c r="Q23" s="10">
        <v>18.15</v>
      </c>
      <c r="R23" s="11"/>
      <c r="S23" s="10">
        <v>133.45</v>
      </c>
      <c r="T23" s="10">
        <v>54.3</v>
      </c>
      <c r="U23" s="11"/>
      <c r="V23" s="5"/>
      <c r="W23" s="5">
        <f t="shared" si="0"/>
        <v>868.65</v>
      </c>
    </row>
    <row r="24" ht="15" spans="1:23">
      <c r="A24" s="10">
        <v>4005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10">
        <v>95.15</v>
      </c>
      <c r="N24" s="10">
        <v>86.5</v>
      </c>
      <c r="O24" s="10">
        <v>74.25</v>
      </c>
      <c r="P24" s="10">
        <v>53.15</v>
      </c>
      <c r="Q24" s="10">
        <v>22.95</v>
      </c>
      <c r="R24" s="11"/>
      <c r="S24" s="10">
        <v>88.3</v>
      </c>
      <c r="T24" s="10">
        <v>51.05</v>
      </c>
      <c r="U24" s="10">
        <v>44.4</v>
      </c>
      <c r="V24" s="5"/>
      <c r="W24" s="5">
        <f t="shared" si="0"/>
        <v>515.75</v>
      </c>
    </row>
    <row r="25" ht="15" spans="1:23">
      <c r="A25" s="10">
        <v>1013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10">
        <v>128.35</v>
      </c>
      <c r="N25" s="10">
        <v>139.3</v>
      </c>
      <c r="O25" s="10">
        <v>132.4</v>
      </c>
      <c r="P25" s="10">
        <v>116.8</v>
      </c>
      <c r="Q25" s="10">
        <v>40.2</v>
      </c>
      <c r="R25" s="11"/>
      <c r="S25" s="10">
        <v>80.05</v>
      </c>
      <c r="T25" s="10">
        <v>55.7</v>
      </c>
      <c r="U25" s="10">
        <v>29.85</v>
      </c>
      <c r="V25" s="5"/>
      <c r="W25" s="5">
        <f t="shared" si="0"/>
        <v>722.65</v>
      </c>
    </row>
    <row r="26" ht="15" spans="1:23">
      <c r="A26" s="10">
        <v>1039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10">
        <v>20</v>
      </c>
      <c r="N26" s="10">
        <v>33.5</v>
      </c>
      <c r="O26" s="10">
        <v>7.55</v>
      </c>
      <c r="P26" s="10">
        <v>4.9</v>
      </c>
      <c r="Q26" s="11"/>
      <c r="R26" s="11"/>
      <c r="S26" s="10">
        <v>19.1</v>
      </c>
      <c r="T26" s="10">
        <v>8.05</v>
      </c>
      <c r="U26" s="11"/>
      <c r="V26" s="5"/>
      <c r="W26" s="5">
        <f t="shared" si="0"/>
        <v>93.1</v>
      </c>
    </row>
    <row r="27" ht="15" spans="1:23">
      <c r="A27" s="10">
        <v>206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10">
        <v>77.1</v>
      </c>
      <c r="N27" s="10">
        <v>61.85</v>
      </c>
      <c r="O27" s="10">
        <v>41.55</v>
      </c>
      <c r="P27" s="10">
        <v>71.95</v>
      </c>
      <c r="Q27" s="10">
        <v>33.2</v>
      </c>
      <c r="R27" s="11"/>
      <c r="S27" s="10">
        <v>22.25</v>
      </c>
      <c r="T27" s="10">
        <v>20.7</v>
      </c>
      <c r="U27" s="10">
        <v>9.65</v>
      </c>
      <c r="V27" s="5"/>
      <c r="W27" s="5">
        <f t="shared" si="0"/>
        <v>338.25</v>
      </c>
    </row>
    <row r="28" ht="15" spans="1:23">
      <c r="A28" s="10">
        <v>1031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10">
        <v>6.55</v>
      </c>
      <c r="N28" s="11"/>
      <c r="O28" s="11"/>
      <c r="P28" s="11"/>
      <c r="Q28" s="10">
        <v>1.7</v>
      </c>
      <c r="R28" s="11"/>
      <c r="S28" s="10">
        <v>19.35</v>
      </c>
      <c r="T28" s="10">
        <v>9.9</v>
      </c>
      <c r="U28" s="10">
        <v>1.9</v>
      </c>
      <c r="V28" s="5"/>
      <c r="W28" s="5">
        <f t="shared" si="0"/>
        <v>39.4</v>
      </c>
    </row>
    <row r="29" ht="15" spans="1:23">
      <c r="A29" s="10">
        <v>2425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10">
        <v>56.55</v>
      </c>
      <c r="N29" s="10">
        <v>70.5</v>
      </c>
      <c r="O29" s="10">
        <v>81.2</v>
      </c>
      <c r="P29" s="10">
        <v>73.2</v>
      </c>
      <c r="Q29" s="10">
        <v>16.3</v>
      </c>
      <c r="R29" s="11"/>
      <c r="S29" s="10">
        <v>17.25</v>
      </c>
      <c r="T29" s="10">
        <v>32.15</v>
      </c>
      <c r="U29" s="10">
        <v>10</v>
      </c>
      <c r="V29" s="5"/>
      <c r="W29" s="5">
        <f t="shared" si="0"/>
        <v>357.15</v>
      </c>
    </row>
    <row r="30" ht="15" spans="1:23">
      <c r="A30" s="10">
        <v>1009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10">
        <v>30.25</v>
      </c>
      <c r="N30" s="10">
        <v>20.15</v>
      </c>
      <c r="O30" s="10">
        <v>12</v>
      </c>
      <c r="P30" s="10">
        <v>7</v>
      </c>
      <c r="Q30" s="11"/>
      <c r="R30" s="11"/>
      <c r="S30" s="10">
        <v>28</v>
      </c>
      <c r="T30" s="10">
        <v>6.8</v>
      </c>
      <c r="U30" s="10">
        <v>2.6</v>
      </c>
      <c r="V30" s="5"/>
      <c r="W30" s="5">
        <f t="shared" si="0"/>
        <v>106.8</v>
      </c>
    </row>
    <row r="31" ht="15" spans="1:23">
      <c r="A31" s="10">
        <v>478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10">
        <v>138.26</v>
      </c>
      <c r="N31" s="10">
        <v>84.15</v>
      </c>
      <c r="O31" s="10">
        <v>72.3</v>
      </c>
      <c r="P31" s="10">
        <v>12.2</v>
      </c>
      <c r="Q31" s="10">
        <v>3.6</v>
      </c>
      <c r="R31" s="11"/>
      <c r="S31" s="10">
        <v>142.45</v>
      </c>
      <c r="T31" s="10">
        <v>16.7</v>
      </c>
      <c r="U31" s="10">
        <v>13.15</v>
      </c>
      <c r="V31" s="5"/>
      <c r="W31" s="5">
        <f t="shared" si="0"/>
        <v>482.81</v>
      </c>
    </row>
    <row r="32" ht="15" spans="1:23">
      <c r="A32" s="10">
        <v>1027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11"/>
      <c r="N32" s="10">
        <v>3.45</v>
      </c>
      <c r="O32" s="11"/>
      <c r="P32" s="10">
        <v>3</v>
      </c>
      <c r="Q32" s="11"/>
      <c r="R32" s="11"/>
      <c r="S32" s="11"/>
      <c r="T32" s="10">
        <v>2.55</v>
      </c>
      <c r="U32" s="10">
        <v>1.5</v>
      </c>
      <c r="V32" s="5"/>
      <c r="W32" s="5">
        <f t="shared" si="0"/>
        <v>10.5</v>
      </c>
    </row>
    <row r="33" ht="15" spans="1:23">
      <c r="A33" s="10">
        <v>2167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10">
        <v>230.65</v>
      </c>
      <c r="N33" s="10">
        <v>116.4</v>
      </c>
      <c r="O33" s="10">
        <v>105.15</v>
      </c>
      <c r="P33" s="10">
        <v>49.3</v>
      </c>
      <c r="Q33" s="10">
        <v>10.15</v>
      </c>
      <c r="R33" s="11"/>
      <c r="S33" s="10">
        <v>168.75</v>
      </c>
      <c r="T33" s="10">
        <v>57</v>
      </c>
      <c r="U33" s="10">
        <v>25.15</v>
      </c>
      <c r="V33" s="5"/>
      <c r="W33" s="5">
        <f t="shared" si="0"/>
        <v>762.55</v>
      </c>
    </row>
    <row r="34" ht="15" spans="1:23">
      <c r="A34" s="10">
        <v>444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10">
        <v>27.9</v>
      </c>
      <c r="N34" s="10">
        <v>22.35</v>
      </c>
      <c r="O34" s="10">
        <v>25.25</v>
      </c>
      <c r="P34" s="10">
        <v>10.2</v>
      </c>
      <c r="Q34" s="10">
        <v>3.8</v>
      </c>
      <c r="R34" s="11"/>
      <c r="S34" s="10">
        <v>13</v>
      </c>
      <c r="T34" s="10">
        <v>2.6</v>
      </c>
      <c r="U34" s="10">
        <v>1.65</v>
      </c>
      <c r="V34" s="5"/>
      <c r="W34" s="5">
        <f t="shared" si="0"/>
        <v>106.75</v>
      </c>
    </row>
    <row r="35" ht="15" spans="1:23">
      <c r="A35" s="10">
        <v>260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10">
        <v>115.65</v>
      </c>
      <c r="N35" s="10">
        <v>87.05</v>
      </c>
      <c r="O35" s="10">
        <v>105.55</v>
      </c>
      <c r="P35" s="10">
        <v>96.95</v>
      </c>
      <c r="Q35" s="10">
        <v>23.35</v>
      </c>
      <c r="R35" s="11"/>
      <c r="S35" s="10">
        <v>115.2</v>
      </c>
      <c r="T35" s="10">
        <v>53.05</v>
      </c>
      <c r="U35" s="10">
        <v>40.85</v>
      </c>
      <c r="V35" s="5"/>
      <c r="W35" s="5">
        <f t="shared" si="0"/>
        <v>637.65</v>
      </c>
    </row>
    <row r="36" ht="15" spans="1:23">
      <c r="A36" s="10">
        <v>2443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10">
        <v>39</v>
      </c>
      <c r="N36" s="10">
        <v>16.95</v>
      </c>
      <c r="O36" s="10">
        <v>44.05</v>
      </c>
      <c r="P36" s="10">
        <v>39.1</v>
      </c>
      <c r="Q36" s="10">
        <v>14.65</v>
      </c>
      <c r="R36" s="11"/>
      <c r="S36" s="10">
        <v>16.95</v>
      </c>
      <c r="T36" s="10">
        <v>13.1</v>
      </c>
      <c r="U36" s="10">
        <v>10.75</v>
      </c>
      <c r="V36" s="5"/>
      <c r="W36" s="5">
        <f t="shared" si="0"/>
        <v>194.55</v>
      </c>
    </row>
    <row r="37" ht="15" spans="1:23">
      <c r="A37" s="10">
        <v>354</v>
      </c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10">
        <v>92.55</v>
      </c>
      <c r="N37" s="10">
        <v>96.8</v>
      </c>
      <c r="O37" s="10">
        <v>108.35</v>
      </c>
      <c r="P37" s="10">
        <v>138.3</v>
      </c>
      <c r="Q37" s="10">
        <v>41.15</v>
      </c>
      <c r="R37" s="11"/>
      <c r="S37" s="10">
        <v>43.55</v>
      </c>
      <c r="T37" s="10">
        <v>28.15</v>
      </c>
      <c r="U37" s="10">
        <v>15.85</v>
      </c>
      <c r="V37" s="5"/>
      <c r="W37" s="5">
        <f t="shared" si="0"/>
        <v>564.7</v>
      </c>
    </row>
    <row r="38" ht="15" spans="1:23">
      <c r="A38" s="10">
        <v>1792</v>
      </c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10">
        <v>63</v>
      </c>
      <c r="N38" s="10">
        <v>71.15</v>
      </c>
      <c r="O38" s="10">
        <v>52</v>
      </c>
      <c r="P38" s="10">
        <v>39.9</v>
      </c>
      <c r="Q38" s="10">
        <v>9.55</v>
      </c>
      <c r="R38" s="11"/>
      <c r="S38" s="10">
        <v>23.7</v>
      </c>
      <c r="T38" s="10">
        <v>17</v>
      </c>
      <c r="U38" s="10">
        <v>10.55</v>
      </c>
      <c r="V38" s="5"/>
      <c r="W38" s="5">
        <f t="shared" si="0"/>
        <v>286.85</v>
      </c>
    </row>
    <row r="39" ht="15" spans="1:23">
      <c r="A39" s="10">
        <v>368</v>
      </c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10">
        <v>31.6</v>
      </c>
      <c r="N39" s="10">
        <v>27.5</v>
      </c>
      <c r="O39" s="10">
        <v>48.1</v>
      </c>
      <c r="P39" s="10">
        <v>33.1</v>
      </c>
      <c r="Q39" s="10">
        <v>9.05</v>
      </c>
      <c r="R39" s="11"/>
      <c r="S39" s="10">
        <v>13.4</v>
      </c>
      <c r="T39" s="10">
        <v>6.25</v>
      </c>
      <c r="U39" s="10">
        <v>9.75</v>
      </c>
      <c r="V39" s="5"/>
      <c r="W39" s="5">
        <f t="shared" si="0"/>
        <v>178.75</v>
      </c>
    </row>
    <row r="40" ht="15" spans="1:23">
      <c r="A40" s="10">
        <v>1791</v>
      </c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10">
        <v>18.3</v>
      </c>
      <c r="N40" s="10">
        <v>17.55</v>
      </c>
      <c r="O40" s="10">
        <v>27.4</v>
      </c>
      <c r="P40" s="10">
        <v>21.85</v>
      </c>
      <c r="Q40" s="10">
        <v>5.8</v>
      </c>
      <c r="R40" s="11"/>
      <c r="S40" s="10">
        <v>2.5</v>
      </c>
      <c r="T40" s="10">
        <v>3.5</v>
      </c>
      <c r="U40" s="10">
        <v>2.35</v>
      </c>
      <c r="V40" s="5"/>
      <c r="W40" s="5">
        <f t="shared" si="0"/>
        <v>99.25</v>
      </c>
    </row>
    <row r="41" ht="15" spans="1:23">
      <c r="A41" s="10">
        <v>3641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10">
        <v>13.3</v>
      </c>
      <c r="N41" s="10">
        <v>21.5</v>
      </c>
      <c r="O41" s="10">
        <v>4.3</v>
      </c>
      <c r="P41" s="10">
        <v>8.1</v>
      </c>
      <c r="Q41" s="11"/>
      <c r="R41" s="11"/>
      <c r="S41" s="10">
        <v>25.8</v>
      </c>
      <c r="T41" s="10">
        <v>7.8</v>
      </c>
      <c r="U41" s="10">
        <v>2.65</v>
      </c>
      <c r="V41" s="5"/>
      <c r="W41" s="5">
        <f t="shared" si="0"/>
        <v>83.45</v>
      </c>
    </row>
    <row r="42" ht="15" spans="1:23">
      <c r="A42" s="10">
        <v>672</v>
      </c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10">
        <v>85.85</v>
      </c>
      <c r="N42" s="10">
        <v>78.7</v>
      </c>
      <c r="O42" s="10">
        <v>88.25</v>
      </c>
      <c r="P42" s="10">
        <v>103.1</v>
      </c>
      <c r="Q42" s="10">
        <v>37.65</v>
      </c>
      <c r="R42" s="11"/>
      <c r="S42" s="10">
        <v>36.6</v>
      </c>
      <c r="T42" s="10">
        <v>34.5</v>
      </c>
      <c r="U42" s="10">
        <v>31.3</v>
      </c>
      <c r="V42" s="5"/>
      <c r="W42" s="5">
        <f t="shared" si="0"/>
        <v>495.95</v>
      </c>
    </row>
    <row r="43" ht="15" spans="1:23">
      <c r="A43" s="10">
        <v>1010</v>
      </c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10">
        <v>84</v>
      </c>
      <c r="N43" s="10">
        <v>60.15</v>
      </c>
      <c r="O43" s="10">
        <v>66.8</v>
      </c>
      <c r="P43" s="10">
        <v>77.4</v>
      </c>
      <c r="Q43" s="10">
        <v>37.6</v>
      </c>
      <c r="R43" s="11"/>
      <c r="S43" s="10">
        <v>34</v>
      </c>
      <c r="T43" s="10">
        <v>26.65</v>
      </c>
      <c r="U43" s="10">
        <v>35.3</v>
      </c>
      <c r="V43" s="5"/>
      <c r="W43" s="5">
        <f t="shared" si="0"/>
        <v>421.9</v>
      </c>
    </row>
    <row r="44" ht="15" spans="1:23">
      <c r="A44" s="10">
        <v>445</v>
      </c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10">
        <v>265.85</v>
      </c>
      <c r="N44" s="10">
        <v>242.7</v>
      </c>
      <c r="O44" s="10">
        <v>179.85</v>
      </c>
      <c r="P44" s="10">
        <v>62.05</v>
      </c>
      <c r="Q44" s="10">
        <v>20</v>
      </c>
      <c r="R44" s="11"/>
      <c r="S44" s="10">
        <v>163.5</v>
      </c>
      <c r="T44" s="10">
        <v>22.85</v>
      </c>
      <c r="U44" s="11"/>
      <c r="V44" s="5"/>
      <c r="W44" s="5">
        <f t="shared" si="0"/>
        <v>956.8</v>
      </c>
    </row>
    <row r="45" ht="15" spans="1:23">
      <c r="A45" s="10">
        <v>445</v>
      </c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10">
        <v>89.8</v>
      </c>
      <c r="N45" s="10">
        <v>93.25</v>
      </c>
      <c r="O45" s="10">
        <v>28.65</v>
      </c>
      <c r="P45" s="10">
        <v>39.8</v>
      </c>
      <c r="Q45" s="10">
        <v>12.6</v>
      </c>
      <c r="R45" s="11"/>
      <c r="S45" s="10">
        <v>24.2</v>
      </c>
      <c r="T45" s="10">
        <v>28.4</v>
      </c>
      <c r="U45" s="10">
        <v>7.9</v>
      </c>
      <c r="V45" s="5"/>
      <c r="W45" s="5">
        <f t="shared" si="0"/>
        <v>324.6</v>
      </c>
    </row>
    <row r="46" ht="15" spans="1:23">
      <c r="A46" s="10">
        <v>1006</v>
      </c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10">
        <v>13.85</v>
      </c>
      <c r="N46" s="10">
        <v>23.95</v>
      </c>
      <c r="O46" s="10">
        <v>32.85</v>
      </c>
      <c r="P46" s="10">
        <v>14.75</v>
      </c>
      <c r="Q46" s="10">
        <v>0.95</v>
      </c>
      <c r="R46" s="11"/>
      <c r="S46" s="10">
        <v>20.95</v>
      </c>
      <c r="T46" s="10">
        <v>6.7</v>
      </c>
      <c r="U46" s="10">
        <v>3</v>
      </c>
      <c r="V46" s="5"/>
      <c r="W46" s="5">
        <f t="shared" si="0"/>
        <v>117</v>
      </c>
    </row>
    <row r="47" ht="15" spans="1:23">
      <c r="A47" s="10">
        <v>1005</v>
      </c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10">
        <v>17.3</v>
      </c>
      <c r="N47" s="10">
        <v>13.3</v>
      </c>
      <c r="O47" s="10">
        <v>10.5</v>
      </c>
      <c r="P47" s="10">
        <v>5.85</v>
      </c>
      <c r="Q47" s="10">
        <v>0.8</v>
      </c>
      <c r="R47" s="11"/>
      <c r="S47" s="10">
        <v>9.6</v>
      </c>
      <c r="T47" s="10">
        <v>1.65</v>
      </c>
      <c r="U47" s="11"/>
      <c r="V47" s="5"/>
      <c r="W47" s="5">
        <f t="shared" si="0"/>
        <v>59</v>
      </c>
    </row>
    <row r="48" ht="15" spans="1:23">
      <c r="A48" s="10">
        <v>999</v>
      </c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10">
        <v>12.8</v>
      </c>
      <c r="N48" s="10">
        <v>29.6</v>
      </c>
      <c r="O48" s="10">
        <v>41.65</v>
      </c>
      <c r="P48" s="10">
        <v>45.3</v>
      </c>
      <c r="Q48" s="10">
        <v>14</v>
      </c>
      <c r="R48" s="11"/>
      <c r="S48" s="10">
        <v>61.25</v>
      </c>
      <c r="T48" s="10">
        <v>23.5</v>
      </c>
      <c r="U48" s="10">
        <v>9.5</v>
      </c>
      <c r="V48" s="5"/>
      <c r="W48" s="5">
        <f t="shared" si="0"/>
        <v>237.6</v>
      </c>
    </row>
    <row r="49" ht="15" spans="1:23">
      <c r="A49" s="10">
        <v>2415</v>
      </c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10">
        <v>20.8</v>
      </c>
      <c r="N49" s="10">
        <v>30.25</v>
      </c>
      <c r="O49" s="10">
        <v>7.85</v>
      </c>
      <c r="P49" s="10">
        <v>8</v>
      </c>
      <c r="Q49" s="10">
        <v>1.65</v>
      </c>
      <c r="R49" s="11"/>
      <c r="S49" s="10">
        <v>19.8</v>
      </c>
      <c r="T49" s="10">
        <v>3.75</v>
      </c>
      <c r="U49" s="10">
        <v>3.6</v>
      </c>
      <c r="V49" s="5"/>
      <c r="W49" s="5">
        <f t="shared" si="0"/>
        <v>95.7</v>
      </c>
    </row>
    <row r="50" ht="15" spans="1:23">
      <c r="A50" s="10">
        <v>1029</v>
      </c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10">
        <v>23.15</v>
      </c>
      <c r="N50" s="10">
        <v>17.55</v>
      </c>
      <c r="O50" s="10">
        <v>15.8</v>
      </c>
      <c r="P50" s="10">
        <v>16.45</v>
      </c>
      <c r="Q50" s="10">
        <v>4.45</v>
      </c>
      <c r="R50" s="11"/>
      <c r="S50" s="10">
        <v>6.95</v>
      </c>
      <c r="T50" s="10">
        <v>1.25</v>
      </c>
      <c r="U50" s="10">
        <v>4.1</v>
      </c>
      <c r="V50" s="5"/>
      <c r="W50" s="5">
        <f t="shared" si="0"/>
        <v>89.7</v>
      </c>
    </row>
    <row r="51" ht="15" spans="1:23">
      <c r="A51" s="10">
        <v>1030</v>
      </c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10">
        <v>7.25</v>
      </c>
      <c r="N51" s="10">
        <v>10.6</v>
      </c>
      <c r="O51" s="10">
        <v>5.8</v>
      </c>
      <c r="P51" s="10">
        <v>7.15</v>
      </c>
      <c r="Q51" s="10">
        <v>0.85</v>
      </c>
      <c r="R51" s="11"/>
      <c r="S51" s="10">
        <v>27.05</v>
      </c>
      <c r="T51" s="10">
        <v>18.35</v>
      </c>
      <c r="U51" s="10">
        <v>7</v>
      </c>
      <c r="V51" s="5"/>
      <c r="W51" s="5">
        <f t="shared" si="0"/>
        <v>84.05</v>
      </c>
    </row>
    <row r="52" ht="15" spans="1:23">
      <c r="A52" s="10">
        <v>1023</v>
      </c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10">
        <v>72.6</v>
      </c>
      <c r="N52" s="10">
        <v>95.35</v>
      </c>
      <c r="O52" s="10">
        <v>76.65</v>
      </c>
      <c r="P52" s="10">
        <v>91.8</v>
      </c>
      <c r="Q52" s="10">
        <v>35.45</v>
      </c>
      <c r="R52" s="11"/>
      <c r="S52" s="10">
        <v>17.15</v>
      </c>
      <c r="T52" s="10">
        <v>19.5</v>
      </c>
      <c r="U52" s="10">
        <v>43.6</v>
      </c>
      <c r="V52" s="5"/>
      <c r="W52" s="5">
        <f t="shared" si="0"/>
        <v>452.1</v>
      </c>
    </row>
    <row r="53" ht="15" spans="1:23">
      <c r="A53" s="10">
        <v>1023</v>
      </c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10">
        <v>51.8</v>
      </c>
      <c r="N53" s="10">
        <v>66.05</v>
      </c>
      <c r="O53" s="10">
        <v>208.9</v>
      </c>
      <c r="P53" s="10">
        <v>258.2</v>
      </c>
      <c r="Q53" s="10">
        <v>103.05</v>
      </c>
      <c r="R53" s="11"/>
      <c r="S53" s="10">
        <v>26.5</v>
      </c>
      <c r="T53" s="10">
        <v>38.15</v>
      </c>
      <c r="U53" s="11"/>
      <c r="V53" s="5"/>
      <c r="W53" s="5">
        <f t="shared" si="0"/>
        <v>752.65</v>
      </c>
    </row>
    <row r="54" ht="15" spans="1:23">
      <c r="A54" s="10">
        <v>1023</v>
      </c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10">
        <v>184.8</v>
      </c>
      <c r="N54" s="10">
        <v>203.85</v>
      </c>
      <c r="O54" s="10">
        <v>239.65</v>
      </c>
      <c r="P54" s="10">
        <v>172</v>
      </c>
      <c r="Q54" s="10">
        <v>38.55</v>
      </c>
      <c r="R54" s="11"/>
      <c r="S54" s="10">
        <v>43.85</v>
      </c>
      <c r="T54" s="10">
        <v>63</v>
      </c>
      <c r="U54" s="10">
        <v>45.25</v>
      </c>
      <c r="V54" s="5"/>
      <c r="W54" s="5">
        <f t="shared" si="0"/>
        <v>990.95</v>
      </c>
    </row>
    <row r="55" ht="15" spans="1:23">
      <c r="A55" s="10">
        <v>1023</v>
      </c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10">
        <v>72.35</v>
      </c>
      <c r="N55" s="10">
        <v>71.4</v>
      </c>
      <c r="O55" s="10">
        <v>103.4</v>
      </c>
      <c r="P55" s="10">
        <v>88.45</v>
      </c>
      <c r="Q55" s="10">
        <v>33.45</v>
      </c>
      <c r="R55" s="11"/>
      <c r="S55" s="10">
        <v>49.55</v>
      </c>
      <c r="T55" s="10">
        <v>62.25</v>
      </c>
      <c r="U55" s="10">
        <v>46.2</v>
      </c>
      <c r="V55" s="5"/>
      <c r="W55" s="5">
        <f t="shared" si="0"/>
        <v>527.05</v>
      </c>
    </row>
    <row r="56" ht="15" spans="1:23">
      <c r="A56" s="10">
        <v>1038</v>
      </c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10">
        <v>16</v>
      </c>
      <c r="N56" s="10">
        <v>40.35</v>
      </c>
      <c r="O56" s="10">
        <v>33</v>
      </c>
      <c r="P56" s="10">
        <v>87.85</v>
      </c>
      <c r="Q56" s="10">
        <v>50.5</v>
      </c>
      <c r="R56" s="11"/>
      <c r="S56" s="10">
        <v>31.45</v>
      </c>
      <c r="T56" s="10">
        <v>22.95</v>
      </c>
      <c r="U56" s="10">
        <v>29.95</v>
      </c>
      <c r="V56" s="5"/>
      <c r="W56" s="5">
        <f t="shared" si="0"/>
        <v>312.05</v>
      </c>
    </row>
    <row r="57" ht="15" spans="1:23">
      <c r="A57" s="10">
        <v>260</v>
      </c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10">
        <v>129.65</v>
      </c>
      <c r="N57" s="10">
        <v>175.14</v>
      </c>
      <c r="O57" s="10">
        <v>118.65</v>
      </c>
      <c r="P57" s="10">
        <v>86.15</v>
      </c>
      <c r="Q57" s="10">
        <v>48.5</v>
      </c>
      <c r="R57" s="11"/>
      <c r="S57" s="10">
        <v>136.35</v>
      </c>
      <c r="T57" s="10">
        <v>81.05</v>
      </c>
      <c r="U57" s="10">
        <v>41.35</v>
      </c>
      <c r="V57" s="5"/>
      <c r="W57" s="5">
        <f t="shared" si="0"/>
        <v>816.84</v>
      </c>
    </row>
    <row r="58" ht="15" spans="1:23">
      <c r="A58" s="10">
        <v>4005</v>
      </c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10">
        <v>19.05</v>
      </c>
      <c r="N58" s="10">
        <v>27</v>
      </c>
      <c r="O58" s="10">
        <v>26.75</v>
      </c>
      <c r="P58" s="10">
        <v>48.6</v>
      </c>
      <c r="Q58" s="10">
        <v>23.35</v>
      </c>
      <c r="R58" s="11"/>
      <c r="S58" s="10">
        <v>39.35</v>
      </c>
      <c r="T58" s="10">
        <v>11.3</v>
      </c>
      <c r="U58" s="10">
        <v>21.15</v>
      </c>
      <c r="V58" s="5"/>
      <c r="W58" s="5">
        <f t="shared" si="0"/>
        <v>216.55</v>
      </c>
    </row>
    <row r="59" ht="15" spans="1:23">
      <c r="A59" s="10">
        <v>477</v>
      </c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10">
        <v>276.1</v>
      </c>
      <c r="N59" s="10">
        <v>153.35</v>
      </c>
      <c r="O59" s="10">
        <v>156.1</v>
      </c>
      <c r="P59" s="10">
        <v>157.95</v>
      </c>
      <c r="Q59" s="10">
        <v>63.5</v>
      </c>
      <c r="R59" s="11"/>
      <c r="S59" s="10">
        <v>45.45</v>
      </c>
      <c r="T59" s="10">
        <v>45.55</v>
      </c>
      <c r="U59" s="10">
        <v>42.3</v>
      </c>
      <c r="V59" s="5"/>
      <c r="W59" s="5">
        <f t="shared" si="0"/>
        <v>940.3</v>
      </c>
    </row>
    <row r="60" ht="15" spans="1:23">
      <c r="A60" s="10">
        <v>309</v>
      </c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10">
        <v>14.5</v>
      </c>
      <c r="N60" s="10">
        <v>21.5</v>
      </c>
      <c r="O60" s="10">
        <v>15.55</v>
      </c>
      <c r="P60" s="10">
        <v>25.4</v>
      </c>
      <c r="Q60" s="11"/>
      <c r="R60" s="11"/>
      <c r="S60" s="10">
        <v>29.2</v>
      </c>
      <c r="T60" s="10">
        <v>44.55</v>
      </c>
      <c r="U60" s="10">
        <v>24.15</v>
      </c>
      <c r="V60" s="5"/>
      <c r="W60" s="5">
        <f t="shared" si="0"/>
        <v>174.85</v>
      </c>
    </row>
    <row r="61" ht="15" spans="1:23">
      <c r="A61" s="10">
        <v>2161</v>
      </c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10">
        <v>7.3</v>
      </c>
      <c r="N61" s="10">
        <v>18.15</v>
      </c>
      <c r="O61" s="10">
        <v>42.15</v>
      </c>
      <c r="P61" s="10">
        <v>64.65</v>
      </c>
      <c r="Q61" s="10">
        <v>44.25</v>
      </c>
      <c r="R61" s="11"/>
      <c r="S61" s="10">
        <v>2.4</v>
      </c>
      <c r="T61" s="10">
        <v>128.9</v>
      </c>
      <c r="U61" s="10">
        <v>161.75</v>
      </c>
      <c r="V61" s="5"/>
      <c r="W61" s="5">
        <f t="shared" si="0"/>
        <v>469.55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4470.81</v>
      </c>
      <c r="N349" s="6">
        <f t="shared" si="6"/>
        <v>4293.49</v>
      </c>
      <c r="O349" s="6">
        <f t="shared" si="6"/>
        <v>3961.3</v>
      </c>
      <c r="P349" s="6">
        <f t="shared" si="6"/>
        <v>3655.4</v>
      </c>
      <c r="Q349" s="6">
        <f t="shared" si="6"/>
        <v>1377.75</v>
      </c>
      <c r="R349" s="6">
        <f t="shared" si="6"/>
        <v>0</v>
      </c>
      <c r="S349" s="6">
        <f t="shared" si="6"/>
        <v>2535</v>
      </c>
      <c r="T349" s="6">
        <f t="shared" si="6"/>
        <v>1496.7</v>
      </c>
      <c r="U349" s="6">
        <f t="shared" si="6"/>
        <v>1122.9</v>
      </c>
      <c r="V349" s="6">
        <f t="shared" si="6"/>
        <v>0</v>
      </c>
      <c r="W349" s="6">
        <f>SUM(W2:W348)</f>
        <v>22913.35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abdo</cp:lastModifiedBy>
  <dcterms:created xsi:type="dcterms:W3CDTF">2014-10-22T10:40:00Z</dcterms:created>
  <cp:lastPrinted>2017-01-03T09:25:00Z</cp:lastPrinted>
  <dcterms:modified xsi:type="dcterms:W3CDTF">2022-12-21T21:20:45Z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/>
  </property>
  <property fmtid="{D5CDD505-2E9C-101B-9397-08002B2CF9AE}" pid="4" name="KSOProductBuildVer">
    <vt:lpwstr>1033-11.1.0.11664</vt:lpwstr>
  </property>
</Properties>
</file>